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cburgerova\Desktop\Revitalizace městských bytů v Šumperku\E_Rozpočet\"/>
    </mc:Choice>
  </mc:AlternateContent>
  <xr:revisionPtr revIDLastSave="0" documentId="13_ncr:1_{5348EE17-8225-4EC5-BB11-3C4A9AA5C24F}" xr6:coauthVersionLast="47" xr6:coauthVersionMax="47" xr10:uidLastSave="{00000000-0000-0000-0000-000000000000}"/>
  <bookViews>
    <workbookView xWindow="1470" yWindow="1470" windowWidth="25110" windowHeight="11850" activeTab="3" xr2:uid="{00000000-000D-0000-FFFF-FFFF00000000}"/>
  </bookViews>
  <sheets>
    <sheet name="Krycí list rozpočtu" sheetId="3" r:id="rId1"/>
    <sheet name="Stavební rozpočet" sheetId="1" r:id="rId2"/>
    <sheet name="Výkaz výměr" sheetId="2" r:id="rId3"/>
    <sheet name="Výpis materiálu elektro" sheetId="5" r:id="rId4"/>
    <sheet name="VORN" sheetId="4" state="hidden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4" l="1"/>
  <c r="I35" i="4"/>
  <c r="I26" i="4"/>
  <c r="I25" i="4"/>
  <c r="I24" i="4"/>
  <c r="I23" i="4"/>
  <c r="I22" i="4"/>
  <c r="I15" i="3" s="1"/>
  <c r="I21" i="4"/>
  <c r="I18" i="4"/>
  <c r="I17" i="4"/>
  <c r="I16" i="4"/>
  <c r="I15" i="4"/>
  <c r="I10" i="4"/>
  <c r="F10" i="4"/>
  <c r="C10" i="4"/>
  <c r="F8" i="4"/>
  <c r="C8" i="4"/>
  <c r="F6" i="4"/>
  <c r="C6" i="4"/>
  <c r="F4" i="4"/>
  <c r="C4" i="4"/>
  <c r="F2" i="4"/>
  <c r="C2" i="4"/>
  <c r="I24" i="3"/>
  <c r="F22" i="3"/>
  <c r="I19" i="3"/>
  <c r="I18" i="3"/>
  <c r="I17" i="3"/>
  <c r="I16" i="3"/>
  <c r="F16" i="3"/>
  <c r="F15" i="3"/>
  <c r="I14" i="3"/>
  <c r="F14" i="3"/>
  <c r="I10" i="3"/>
  <c r="F10" i="3"/>
  <c r="C10" i="3"/>
  <c r="F8" i="3"/>
  <c r="C8" i="3"/>
  <c r="F6" i="3"/>
  <c r="C6" i="3"/>
  <c r="F4" i="3"/>
  <c r="C4" i="3"/>
  <c r="F2" i="3"/>
  <c r="C2" i="3"/>
  <c r="F8" i="2"/>
  <c r="C8" i="2"/>
  <c r="F6" i="2"/>
  <c r="C6" i="2"/>
  <c r="F4" i="2"/>
  <c r="C4" i="2"/>
  <c r="F2" i="2"/>
  <c r="C2" i="2"/>
  <c r="BJ251" i="1"/>
  <c r="BF251" i="1"/>
  <c r="BD251" i="1"/>
  <c r="AW251" i="1"/>
  <c r="AP251" i="1"/>
  <c r="AO251" i="1"/>
  <c r="H251" i="1" s="1"/>
  <c r="AL251" i="1"/>
  <c r="AJ251" i="1"/>
  <c r="AH251" i="1"/>
  <c r="AG251" i="1"/>
  <c r="AF251" i="1"/>
  <c r="AE251" i="1"/>
  <c r="AD251" i="1"/>
  <c r="AC251" i="1"/>
  <c r="AB251" i="1"/>
  <c r="Z251" i="1"/>
  <c r="J251" i="1"/>
  <c r="AK251" i="1" s="1"/>
  <c r="BJ249" i="1"/>
  <c r="BI249" i="1"/>
  <c r="BF249" i="1"/>
  <c r="BD249" i="1"/>
  <c r="AX249" i="1"/>
  <c r="AP249" i="1"/>
  <c r="I249" i="1" s="1"/>
  <c r="AO249" i="1"/>
  <c r="H249" i="1" s="1"/>
  <c r="AL249" i="1"/>
  <c r="AJ249" i="1"/>
  <c r="AH249" i="1"/>
  <c r="AG249" i="1"/>
  <c r="AE249" i="1"/>
  <c r="AD249" i="1"/>
  <c r="AC249" i="1"/>
  <c r="AB249" i="1"/>
  <c r="Z249" i="1"/>
  <c r="J249" i="1"/>
  <c r="AK249" i="1" s="1"/>
  <c r="BJ247" i="1"/>
  <c r="BH247" i="1"/>
  <c r="BF247" i="1"/>
  <c r="BD247" i="1"/>
  <c r="AW247" i="1"/>
  <c r="AP247" i="1"/>
  <c r="I247" i="1" s="1"/>
  <c r="AO247" i="1"/>
  <c r="AL247" i="1"/>
  <c r="AK247" i="1"/>
  <c r="AJ247" i="1"/>
  <c r="AH247" i="1"/>
  <c r="AF247" i="1"/>
  <c r="AE247" i="1"/>
  <c r="AD247" i="1"/>
  <c r="AC247" i="1"/>
  <c r="AB247" i="1"/>
  <c r="Z247" i="1"/>
  <c r="J247" i="1"/>
  <c r="H247" i="1"/>
  <c r="BJ245" i="1"/>
  <c r="BI245" i="1"/>
  <c r="BH245" i="1"/>
  <c r="BF245" i="1"/>
  <c r="BD245" i="1"/>
  <c r="AX245" i="1"/>
  <c r="AV245" i="1" s="1"/>
  <c r="AW245" i="1"/>
  <c r="AP245" i="1"/>
  <c r="AO245" i="1"/>
  <c r="AL245" i="1"/>
  <c r="AK245" i="1"/>
  <c r="AJ245" i="1"/>
  <c r="AH245" i="1"/>
  <c r="AG245" i="1"/>
  <c r="AF245" i="1"/>
  <c r="AE245" i="1"/>
  <c r="AD245" i="1"/>
  <c r="AC245" i="1"/>
  <c r="AB245" i="1"/>
  <c r="Z245" i="1"/>
  <c r="J245" i="1"/>
  <c r="I245" i="1"/>
  <c r="H245" i="1"/>
  <c r="BJ243" i="1"/>
  <c r="BI243" i="1"/>
  <c r="AG243" i="1" s="1"/>
  <c r="BH243" i="1"/>
  <c r="BF243" i="1"/>
  <c r="BD243" i="1"/>
  <c r="BC243" i="1"/>
  <c r="AX243" i="1"/>
  <c r="AW243" i="1"/>
  <c r="AV243" i="1" s="1"/>
  <c r="AP243" i="1"/>
  <c r="AO243" i="1"/>
  <c r="AL243" i="1"/>
  <c r="AK243" i="1"/>
  <c r="AJ243" i="1"/>
  <c r="AH243" i="1"/>
  <c r="AF243" i="1"/>
  <c r="AE243" i="1"/>
  <c r="AD243" i="1"/>
  <c r="AC243" i="1"/>
  <c r="AB243" i="1"/>
  <c r="Z243" i="1"/>
  <c r="J243" i="1"/>
  <c r="I243" i="1"/>
  <c r="H243" i="1"/>
  <c r="BJ241" i="1"/>
  <c r="BI241" i="1"/>
  <c r="AG241" i="1" s="1"/>
  <c r="BH241" i="1"/>
  <c r="AF241" i="1" s="1"/>
  <c r="BF241" i="1"/>
  <c r="BD241" i="1"/>
  <c r="AX241" i="1"/>
  <c r="AP241" i="1"/>
  <c r="AO241" i="1"/>
  <c r="AW241" i="1" s="1"/>
  <c r="AL241" i="1"/>
  <c r="AK241" i="1"/>
  <c r="AJ241" i="1"/>
  <c r="AH241" i="1"/>
  <c r="AE241" i="1"/>
  <c r="AD241" i="1"/>
  <c r="AC241" i="1"/>
  <c r="AB241" i="1"/>
  <c r="Z241" i="1"/>
  <c r="J241" i="1"/>
  <c r="I241" i="1"/>
  <c r="H241" i="1"/>
  <c r="BJ239" i="1"/>
  <c r="BI239" i="1"/>
  <c r="BF239" i="1"/>
  <c r="BD239" i="1"/>
  <c r="AP239" i="1"/>
  <c r="AX239" i="1" s="1"/>
  <c r="AO239" i="1"/>
  <c r="AW239" i="1" s="1"/>
  <c r="AL239" i="1"/>
  <c r="AJ239" i="1"/>
  <c r="AH239" i="1"/>
  <c r="AG239" i="1"/>
  <c r="AE239" i="1"/>
  <c r="AD239" i="1"/>
  <c r="AC239" i="1"/>
  <c r="AB239" i="1"/>
  <c r="Z239" i="1"/>
  <c r="J239" i="1"/>
  <c r="AK239" i="1" s="1"/>
  <c r="I239" i="1"/>
  <c r="H239" i="1"/>
  <c r="BJ237" i="1"/>
  <c r="BH237" i="1"/>
  <c r="AF237" i="1" s="1"/>
  <c r="BF237" i="1"/>
  <c r="BD237" i="1"/>
  <c r="AP237" i="1"/>
  <c r="AX237" i="1" s="1"/>
  <c r="AO237" i="1"/>
  <c r="AW237" i="1" s="1"/>
  <c r="AL237" i="1"/>
  <c r="AJ237" i="1"/>
  <c r="AH237" i="1"/>
  <c r="AE237" i="1"/>
  <c r="AD237" i="1"/>
  <c r="AC237" i="1"/>
  <c r="AB237" i="1"/>
  <c r="Z237" i="1"/>
  <c r="J237" i="1"/>
  <c r="AK237" i="1" s="1"/>
  <c r="I237" i="1"/>
  <c r="H237" i="1"/>
  <c r="BJ235" i="1"/>
  <c r="BF235" i="1"/>
  <c r="BD235" i="1"/>
  <c r="AW235" i="1"/>
  <c r="BC235" i="1" s="1"/>
  <c r="AP235" i="1"/>
  <c r="AX235" i="1" s="1"/>
  <c r="AO235" i="1"/>
  <c r="BH235" i="1" s="1"/>
  <c r="AF235" i="1" s="1"/>
  <c r="AL235" i="1"/>
  <c r="AJ235" i="1"/>
  <c r="AH235" i="1"/>
  <c r="AE235" i="1"/>
  <c r="AD235" i="1"/>
  <c r="AC235" i="1"/>
  <c r="AB235" i="1"/>
  <c r="Z235" i="1"/>
  <c r="J235" i="1"/>
  <c r="AK235" i="1" s="1"/>
  <c r="I235" i="1"/>
  <c r="H235" i="1"/>
  <c r="BJ233" i="1"/>
  <c r="BF233" i="1"/>
  <c r="BD233" i="1"/>
  <c r="AX233" i="1"/>
  <c r="AP233" i="1"/>
  <c r="BI233" i="1" s="1"/>
  <c r="AG233" i="1" s="1"/>
  <c r="AO233" i="1"/>
  <c r="AL233" i="1"/>
  <c r="AK233" i="1"/>
  <c r="AJ233" i="1"/>
  <c r="AH233" i="1"/>
  <c r="AE233" i="1"/>
  <c r="AD233" i="1"/>
  <c r="AC233" i="1"/>
  <c r="AB233" i="1"/>
  <c r="Z233" i="1"/>
  <c r="J233" i="1"/>
  <c r="I233" i="1"/>
  <c r="H233" i="1"/>
  <c r="BJ231" i="1"/>
  <c r="BF231" i="1"/>
  <c r="BD231" i="1"/>
  <c r="AW231" i="1"/>
  <c r="AP231" i="1"/>
  <c r="AO231" i="1"/>
  <c r="BH231" i="1" s="1"/>
  <c r="AF231" i="1" s="1"/>
  <c r="AL231" i="1"/>
  <c r="AU228" i="1" s="1"/>
  <c r="AJ231" i="1"/>
  <c r="AH231" i="1"/>
  <c r="AE231" i="1"/>
  <c r="AD231" i="1"/>
  <c r="AC231" i="1"/>
  <c r="AB231" i="1"/>
  <c r="Z231" i="1"/>
  <c r="J231" i="1"/>
  <c r="AK231" i="1" s="1"/>
  <c r="I231" i="1"/>
  <c r="H231" i="1"/>
  <c r="BJ229" i="1"/>
  <c r="BF229" i="1"/>
  <c r="BD229" i="1"/>
  <c r="AX229" i="1"/>
  <c r="AP229" i="1"/>
  <c r="BI229" i="1" s="1"/>
  <c r="AG229" i="1" s="1"/>
  <c r="AO229" i="1"/>
  <c r="AL229" i="1"/>
  <c r="AJ229" i="1"/>
  <c r="AH229" i="1"/>
  <c r="AE229" i="1"/>
  <c r="AD229" i="1"/>
  <c r="AC229" i="1"/>
  <c r="AB229" i="1"/>
  <c r="Z229" i="1"/>
  <c r="J229" i="1"/>
  <c r="I229" i="1"/>
  <c r="BJ227" i="1"/>
  <c r="BI227" i="1"/>
  <c r="BF227" i="1"/>
  <c r="BD227" i="1"/>
  <c r="AP227" i="1"/>
  <c r="AX227" i="1" s="1"/>
  <c r="AO227" i="1"/>
  <c r="AW227" i="1" s="1"/>
  <c r="AL227" i="1"/>
  <c r="AJ227" i="1"/>
  <c r="AH227" i="1"/>
  <c r="AG227" i="1"/>
  <c r="AF227" i="1"/>
  <c r="AE227" i="1"/>
  <c r="AD227" i="1"/>
  <c r="AC227" i="1"/>
  <c r="AB227" i="1"/>
  <c r="Z227" i="1"/>
  <c r="J227" i="1"/>
  <c r="AK227" i="1" s="1"/>
  <c r="I227" i="1"/>
  <c r="H227" i="1"/>
  <c r="BJ226" i="1"/>
  <c r="BH226" i="1"/>
  <c r="AF226" i="1" s="1"/>
  <c r="BF226" i="1"/>
  <c r="BD226" i="1"/>
  <c r="AP226" i="1"/>
  <c r="AX226" i="1" s="1"/>
  <c r="AO226" i="1"/>
  <c r="AW226" i="1" s="1"/>
  <c r="AL226" i="1"/>
  <c r="AK226" i="1"/>
  <c r="AJ226" i="1"/>
  <c r="AH226" i="1"/>
  <c r="AE226" i="1"/>
  <c r="AD226" i="1"/>
  <c r="AC226" i="1"/>
  <c r="AB226" i="1"/>
  <c r="Z226" i="1"/>
  <c r="J226" i="1"/>
  <c r="I226" i="1"/>
  <c r="H226" i="1"/>
  <c r="BJ225" i="1"/>
  <c r="BH225" i="1"/>
  <c r="BF225" i="1"/>
  <c r="BD225" i="1"/>
  <c r="AW225" i="1"/>
  <c r="AP225" i="1"/>
  <c r="AX225" i="1" s="1"/>
  <c r="AO225" i="1"/>
  <c r="AL225" i="1"/>
  <c r="AJ225" i="1"/>
  <c r="AH225" i="1"/>
  <c r="AG225" i="1"/>
  <c r="AF225" i="1"/>
  <c r="AE225" i="1"/>
  <c r="AD225" i="1"/>
  <c r="AB225" i="1"/>
  <c r="Z225" i="1"/>
  <c r="J225" i="1"/>
  <c r="AK225" i="1" s="1"/>
  <c r="I225" i="1"/>
  <c r="H225" i="1"/>
  <c r="BJ223" i="1"/>
  <c r="BF223" i="1"/>
  <c r="BD223" i="1"/>
  <c r="AX223" i="1"/>
  <c r="AP223" i="1"/>
  <c r="BI223" i="1" s="1"/>
  <c r="AC223" i="1" s="1"/>
  <c r="AO223" i="1"/>
  <c r="AL223" i="1"/>
  <c r="AK223" i="1"/>
  <c r="AJ223" i="1"/>
  <c r="AH223" i="1"/>
  <c r="AG223" i="1"/>
  <c r="AF223" i="1"/>
  <c r="AE223" i="1"/>
  <c r="AD223" i="1"/>
  <c r="Z223" i="1"/>
  <c r="J223" i="1"/>
  <c r="I223" i="1"/>
  <c r="H223" i="1"/>
  <c r="BJ222" i="1"/>
  <c r="BH222" i="1"/>
  <c r="BF222" i="1"/>
  <c r="BD222" i="1"/>
  <c r="AW222" i="1"/>
  <c r="AP222" i="1"/>
  <c r="AO222" i="1"/>
  <c r="AL222" i="1"/>
  <c r="AJ222" i="1"/>
  <c r="AH222" i="1"/>
  <c r="AG222" i="1"/>
  <c r="AF222" i="1"/>
  <c r="AE222" i="1"/>
  <c r="AD222" i="1"/>
  <c r="AB222" i="1"/>
  <c r="Z222" i="1"/>
  <c r="J222" i="1"/>
  <c r="AK222" i="1" s="1"/>
  <c r="I222" i="1"/>
  <c r="H222" i="1"/>
  <c r="BJ221" i="1"/>
  <c r="BI221" i="1"/>
  <c r="BF221" i="1"/>
  <c r="BD221" i="1"/>
  <c r="AX221" i="1"/>
  <c r="AP221" i="1"/>
  <c r="AO221" i="1"/>
  <c r="AL221" i="1"/>
  <c r="AJ221" i="1"/>
  <c r="AH221" i="1"/>
  <c r="AG221" i="1"/>
  <c r="AF221" i="1"/>
  <c r="AE221" i="1"/>
  <c r="AD221" i="1"/>
  <c r="AC221" i="1"/>
  <c r="Z221" i="1"/>
  <c r="J221" i="1"/>
  <c r="AK221" i="1" s="1"/>
  <c r="I221" i="1"/>
  <c r="BJ220" i="1"/>
  <c r="BF220" i="1"/>
  <c r="BD220" i="1"/>
  <c r="AW220" i="1"/>
  <c r="AP220" i="1"/>
  <c r="AO220" i="1"/>
  <c r="BH220" i="1" s="1"/>
  <c r="AB220" i="1" s="1"/>
  <c r="AL220" i="1"/>
  <c r="AJ220" i="1"/>
  <c r="AH220" i="1"/>
  <c r="AG220" i="1"/>
  <c r="AF220" i="1"/>
  <c r="AE220" i="1"/>
  <c r="AD220" i="1"/>
  <c r="Z220" i="1"/>
  <c r="J220" i="1"/>
  <c r="AK220" i="1" s="1"/>
  <c r="H220" i="1"/>
  <c r="BJ219" i="1"/>
  <c r="BH219" i="1"/>
  <c r="BF219" i="1"/>
  <c r="BD219" i="1"/>
  <c r="AX219" i="1"/>
  <c r="AV219" i="1" s="1"/>
  <c r="AP219" i="1"/>
  <c r="BI219" i="1" s="1"/>
  <c r="AC219" i="1" s="1"/>
  <c r="AO219" i="1"/>
  <c r="AW219" i="1" s="1"/>
  <c r="AL219" i="1"/>
  <c r="AJ219" i="1"/>
  <c r="AH219" i="1"/>
  <c r="AG219" i="1"/>
  <c r="AF219" i="1"/>
  <c r="AE219" i="1"/>
  <c r="AD219" i="1"/>
  <c r="AB219" i="1"/>
  <c r="Z219" i="1"/>
  <c r="J219" i="1"/>
  <c r="AK219" i="1" s="1"/>
  <c r="I219" i="1"/>
  <c r="H219" i="1"/>
  <c r="BJ218" i="1"/>
  <c r="BI218" i="1"/>
  <c r="BH218" i="1"/>
  <c r="BF218" i="1"/>
  <c r="BD218" i="1"/>
  <c r="AW218" i="1"/>
  <c r="AP218" i="1"/>
  <c r="AX218" i="1" s="1"/>
  <c r="BC218" i="1" s="1"/>
  <c r="AO218" i="1"/>
  <c r="AL218" i="1"/>
  <c r="AJ218" i="1"/>
  <c r="AH218" i="1"/>
  <c r="AG218" i="1"/>
  <c r="AF218" i="1"/>
  <c r="AE218" i="1"/>
  <c r="AD218" i="1"/>
  <c r="AC218" i="1"/>
  <c r="AB218" i="1"/>
  <c r="Z218" i="1"/>
  <c r="J218" i="1"/>
  <c r="AK218" i="1" s="1"/>
  <c r="I218" i="1"/>
  <c r="H218" i="1"/>
  <c r="BJ217" i="1"/>
  <c r="BI217" i="1"/>
  <c r="BH217" i="1"/>
  <c r="AB217" i="1" s="1"/>
  <c r="BF217" i="1"/>
  <c r="BD217" i="1"/>
  <c r="AX217" i="1"/>
  <c r="AP217" i="1"/>
  <c r="AO217" i="1"/>
  <c r="AW217" i="1" s="1"/>
  <c r="AL217" i="1"/>
  <c r="AJ217" i="1"/>
  <c r="AH217" i="1"/>
  <c r="AG217" i="1"/>
  <c r="AF217" i="1"/>
  <c r="AE217" i="1"/>
  <c r="AD217" i="1"/>
  <c r="AC217" i="1"/>
  <c r="Z217" i="1"/>
  <c r="J217" i="1"/>
  <c r="AK217" i="1" s="1"/>
  <c r="I217" i="1"/>
  <c r="H217" i="1"/>
  <c r="BJ216" i="1"/>
  <c r="BI216" i="1"/>
  <c r="AC216" i="1" s="1"/>
  <c r="BF216" i="1"/>
  <c r="BD216" i="1"/>
  <c r="BC216" i="1"/>
  <c r="AW216" i="1"/>
  <c r="AP216" i="1"/>
  <c r="AX216" i="1" s="1"/>
  <c r="AO216" i="1"/>
  <c r="BH216" i="1" s="1"/>
  <c r="AB216" i="1" s="1"/>
  <c r="AL216" i="1"/>
  <c r="AK216" i="1"/>
  <c r="AJ216" i="1"/>
  <c r="AH216" i="1"/>
  <c r="AG216" i="1"/>
  <c r="AF216" i="1"/>
  <c r="AE216" i="1"/>
  <c r="AD216" i="1"/>
  <c r="Z216" i="1"/>
  <c r="J216" i="1"/>
  <c r="I216" i="1"/>
  <c r="H216" i="1"/>
  <c r="BJ215" i="1"/>
  <c r="BH215" i="1"/>
  <c r="AB215" i="1" s="1"/>
  <c r="BF215" i="1"/>
  <c r="BD215" i="1"/>
  <c r="AX215" i="1"/>
  <c r="AP215" i="1"/>
  <c r="BI215" i="1" s="1"/>
  <c r="AC215" i="1" s="1"/>
  <c r="AO215" i="1"/>
  <c r="AW215" i="1" s="1"/>
  <c r="AL215" i="1"/>
  <c r="AK215" i="1"/>
  <c r="AJ215" i="1"/>
  <c r="AH215" i="1"/>
  <c r="AG215" i="1"/>
  <c r="AF215" i="1"/>
  <c r="AE215" i="1"/>
  <c r="AD215" i="1"/>
  <c r="Z215" i="1"/>
  <c r="J215" i="1"/>
  <c r="I215" i="1"/>
  <c r="H215" i="1"/>
  <c r="BJ214" i="1"/>
  <c r="BI214" i="1"/>
  <c r="AC214" i="1" s="1"/>
  <c r="BF214" i="1"/>
  <c r="BD214" i="1"/>
  <c r="AW214" i="1"/>
  <c r="BC214" i="1" s="1"/>
  <c r="AP214" i="1"/>
  <c r="AX214" i="1" s="1"/>
  <c r="AO214" i="1"/>
  <c r="BH214" i="1" s="1"/>
  <c r="AB214" i="1" s="1"/>
  <c r="AL214" i="1"/>
  <c r="AJ214" i="1"/>
  <c r="AH214" i="1"/>
  <c r="AG214" i="1"/>
  <c r="AF214" i="1"/>
  <c r="AE214" i="1"/>
  <c r="AD214" i="1"/>
  <c r="Z214" i="1"/>
  <c r="J214" i="1"/>
  <c r="AK214" i="1" s="1"/>
  <c r="I214" i="1"/>
  <c r="H214" i="1"/>
  <c r="BJ213" i="1"/>
  <c r="BF213" i="1"/>
  <c r="BD213" i="1"/>
  <c r="AX213" i="1"/>
  <c r="AP213" i="1"/>
  <c r="BI213" i="1" s="1"/>
  <c r="AG213" i="1" s="1"/>
  <c r="AO213" i="1"/>
  <c r="AW213" i="1" s="1"/>
  <c r="AL213" i="1"/>
  <c r="AJ213" i="1"/>
  <c r="AH213" i="1"/>
  <c r="AE213" i="1"/>
  <c r="AD213" i="1"/>
  <c r="AC213" i="1"/>
  <c r="AB213" i="1"/>
  <c r="Z213" i="1"/>
  <c r="J213" i="1"/>
  <c r="AK213" i="1" s="1"/>
  <c r="I213" i="1"/>
  <c r="H213" i="1"/>
  <c r="BJ212" i="1"/>
  <c r="BI212" i="1"/>
  <c r="AC212" i="1" s="1"/>
  <c r="BH212" i="1"/>
  <c r="BF212" i="1"/>
  <c r="BD212" i="1"/>
  <c r="AW212" i="1"/>
  <c r="BC212" i="1" s="1"/>
  <c r="AP212" i="1"/>
  <c r="AX212" i="1" s="1"/>
  <c r="AO212" i="1"/>
  <c r="AL212" i="1"/>
  <c r="AJ212" i="1"/>
  <c r="AH212" i="1"/>
  <c r="AG212" i="1"/>
  <c r="AF212" i="1"/>
  <c r="AE212" i="1"/>
  <c r="AD212" i="1"/>
  <c r="AB212" i="1"/>
  <c r="Z212" i="1"/>
  <c r="J212" i="1"/>
  <c r="AK212" i="1" s="1"/>
  <c r="I212" i="1"/>
  <c r="H212" i="1"/>
  <c r="BJ211" i="1"/>
  <c r="BI211" i="1"/>
  <c r="BF211" i="1"/>
  <c r="BD211" i="1"/>
  <c r="AX211" i="1"/>
  <c r="AP211" i="1"/>
  <c r="AO211" i="1"/>
  <c r="H211" i="1" s="1"/>
  <c r="AL211" i="1"/>
  <c r="AJ211" i="1"/>
  <c r="AH211" i="1"/>
  <c r="AG211" i="1"/>
  <c r="AE211" i="1"/>
  <c r="AD211" i="1"/>
  <c r="AC211" i="1"/>
  <c r="AB211" i="1"/>
  <c r="Z211" i="1"/>
  <c r="J211" i="1"/>
  <c r="AK211" i="1" s="1"/>
  <c r="I211" i="1"/>
  <c r="BJ209" i="1"/>
  <c r="BF209" i="1"/>
  <c r="BD209" i="1"/>
  <c r="AW209" i="1"/>
  <c r="AP209" i="1"/>
  <c r="AO209" i="1"/>
  <c r="BH209" i="1" s="1"/>
  <c r="AF209" i="1" s="1"/>
  <c r="AL209" i="1"/>
  <c r="AK209" i="1"/>
  <c r="AJ209" i="1"/>
  <c r="AH209" i="1"/>
  <c r="AE209" i="1"/>
  <c r="AD209" i="1"/>
  <c r="AC209" i="1"/>
  <c r="AB209" i="1"/>
  <c r="Z209" i="1"/>
  <c r="J209" i="1"/>
  <c r="I209" i="1"/>
  <c r="H209" i="1"/>
  <c r="BJ207" i="1"/>
  <c r="BI207" i="1"/>
  <c r="BF207" i="1"/>
  <c r="BD207" i="1"/>
  <c r="AX207" i="1"/>
  <c r="AP207" i="1"/>
  <c r="AO207" i="1"/>
  <c r="AL207" i="1"/>
  <c r="AJ207" i="1"/>
  <c r="AH207" i="1"/>
  <c r="AG207" i="1"/>
  <c r="AE207" i="1"/>
  <c r="AD207" i="1"/>
  <c r="AC207" i="1"/>
  <c r="AB207" i="1"/>
  <c r="Z207" i="1"/>
  <c r="J207" i="1"/>
  <c r="AK207" i="1" s="1"/>
  <c r="I207" i="1"/>
  <c r="BJ205" i="1"/>
  <c r="BF205" i="1"/>
  <c r="BD205" i="1"/>
  <c r="AW205" i="1"/>
  <c r="AP205" i="1"/>
  <c r="AO205" i="1"/>
  <c r="BH205" i="1" s="1"/>
  <c r="AF205" i="1" s="1"/>
  <c r="AL205" i="1"/>
  <c r="AJ205" i="1"/>
  <c r="AH205" i="1"/>
  <c r="AE205" i="1"/>
  <c r="AD205" i="1"/>
  <c r="AC205" i="1"/>
  <c r="AB205" i="1"/>
  <c r="Z205" i="1"/>
  <c r="J205" i="1"/>
  <c r="AK205" i="1" s="1"/>
  <c r="H205" i="1"/>
  <c r="BJ203" i="1"/>
  <c r="BH203" i="1"/>
  <c r="BF203" i="1"/>
  <c r="BD203" i="1"/>
  <c r="AX203" i="1"/>
  <c r="AV203" i="1" s="1"/>
  <c r="AP203" i="1"/>
  <c r="BI203" i="1" s="1"/>
  <c r="AG203" i="1" s="1"/>
  <c r="AO203" i="1"/>
  <c r="AW203" i="1" s="1"/>
  <c r="AL203" i="1"/>
  <c r="AK203" i="1"/>
  <c r="AJ203" i="1"/>
  <c r="AH203" i="1"/>
  <c r="AF203" i="1"/>
  <c r="AE203" i="1"/>
  <c r="AD203" i="1"/>
  <c r="AC203" i="1"/>
  <c r="AB203" i="1"/>
  <c r="Z203" i="1"/>
  <c r="J203" i="1"/>
  <c r="I203" i="1"/>
  <c r="H203" i="1"/>
  <c r="BJ202" i="1"/>
  <c r="BI202" i="1"/>
  <c r="BH202" i="1"/>
  <c r="BF202" i="1"/>
  <c r="BD202" i="1"/>
  <c r="AW202" i="1"/>
  <c r="AV202" i="1" s="1"/>
  <c r="AP202" i="1"/>
  <c r="AX202" i="1" s="1"/>
  <c r="AO202" i="1"/>
  <c r="AL202" i="1"/>
  <c r="AJ202" i="1"/>
  <c r="AH202" i="1"/>
  <c r="AG202" i="1"/>
  <c r="AF202" i="1"/>
  <c r="AE202" i="1"/>
  <c r="AD202" i="1"/>
  <c r="AC202" i="1"/>
  <c r="AB202" i="1"/>
  <c r="Z202" i="1"/>
  <c r="J202" i="1"/>
  <c r="AK202" i="1" s="1"/>
  <c r="I202" i="1"/>
  <c r="H202" i="1"/>
  <c r="BJ201" i="1"/>
  <c r="BI201" i="1"/>
  <c r="BH201" i="1"/>
  <c r="AF201" i="1" s="1"/>
  <c r="BF201" i="1"/>
  <c r="BD201" i="1"/>
  <c r="AX201" i="1"/>
  <c r="AP201" i="1"/>
  <c r="AO201" i="1"/>
  <c r="AW201" i="1" s="1"/>
  <c r="AL201" i="1"/>
  <c r="AJ201" i="1"/>
  <c r="AH201" i="1"/>
  <c r="AG201" i="1"/>
  <c r="AE201" i="1"/>
  <c r="AD201" i="1"/>
  <c r="AC201" i="1"/>
  <c r="AB201" i="1"/>
  <c r="Z201" i="1"/>
  <c r="J201" i="1"/>
  <c r="AK201" i="1" s="1"/>
  <c r="I201" i="1"/>
  <c r="H201" i="1"/>
  <c r="BJ200" i="1"/>
  <c r="BI200" i="1"/>
  <c r="AC200" i="1" s="1"/>
  <c r="BF200" i="1"/>
  <c r="BD200" i="1"/>
  <c r="AW200" i="1"/>
  <c r="AP200" i="1"/>
  <c r="AX200" i="1" s="1"/>
  <c r="BC200" i="1" s="1"/>
  <c r="AO200" i="1"/>
  <c r="BH200" i="1" s="1"/>
  <c r="AB200" i="1" s="1"/>
  <c r="AL200" i="1"/>
  <c r="AK200" i="1"/>
  <c r="AJ200" i="1"/>
  <c r="AH200" i="1"/>
  <c r="AG200" i="1"/>
  <c r="AF200" i="1"/>
  <c r="AE200" i="1"/>
  <c r="AD200" i="1"/>
  <c r="Z200" i="1"/>
  <c r="J200" i="1"/>
  <c r="I200" i="1"/>
  <c r="H200" i="1"/>
  <c r="BJ199" i="1"/>
  <c r="BI199" i="1"/>
  <c r="BH199" i="1"/>
  <c r="AB199" i="1" s="1"/>
  <c r="BF199" i="1"/>
  <c r="BD199" i="1"/>
  <c r="AX199" i="1"/>
  <c r="AP199" i="1"/>
  <c r="AO199" i="1"/>
  <c r="AW199" i="1" s="1"/>
  <c r="AL199" i="1"/>
  <c r="AK199" i="1"/>
  <c r="AJ199" i="1"/>
  <c r="AH199" i="1"/>
  <c r="AG199" i="1"/>
  <c r="AF199" i="1"/>
  <c r="AE199" i="1"/>
  <c r="AD199" i="1"/>
  <c r="AC199" i="1"/>
  <c r="Z199" i="1"/>
  <c r="J199" i="1"/>
  <c r="I199" i="1"/>
  <c r="H199" i="1"/>
  <c r="BJ198" i="1"/>
  <c r="BI198" i="1"/>
  <c r="AC198" i="1" s="1"/>
  <c r="BF198" i="1"/>
  <c r="BD198" i="1"/>
  <c r="AW198" i="1"/>
  <c r="BC198" i="1" s="1"/>
  <c r="AP198" i="1"/>
  <c r="AX198" i="1" s="1"/>
  <c r="AO198" i="1"/>
  <c r="BH198" i="1" s="1"/>
  <c r="AB198" i="1" s="1"/>
  <c r="AL198" i="1"/>
  <c r="AJ198" i="1"/>
  <c r="AH198" i="1"/>
  <c r="AG198" i="1"/>
  <c r="AF198" i="1"/>
  <c r="AE198" i="1"/>
  <c r="AD198" i="1"/>
  <c r="Z198" i="1"/>
  <c r="J198" i="1"/>
  <c r="AK198" i="1" s="1"/>
  <c r="I198" i="1"/>
  <c r="H198" i="1"/>
  <c r="BJ197" i="1"/>
  <c r="BH197" i="1"/>
  <c r="AB197" i="1" s="1"/>
  <c r="BF197" i="1"/>
  <c r="BD197" i="1"/>
  <c r="AX197" i="1"/>
  <c r="AP197" i="1"/>
  <c r="BI197" i="1" s="1"/>
  <c r="AC197" i="1" s="1"/>
  <c r="AO197" i="1"/>
  <c r="AW197" i="1" s="1"/>
  <c r="AL197" i="1"/>
  <c r="AK197" i="1"/>
  <c r="AJ197" i="1"/>
  <c r="AH197" i="1"/>
  <c r="AG197" i="1"/>
  <c r="AF197" i="1"/>
  <c r="AE197" i="1"/>
  <c r="AD197" i="1"/>
  <c r="Z197" i="1"/>
  <c r="J197" i="1"/>
  <c r="I197" i="1"/>
  <c r="H197" i="1"/>
  <c r="BJ196" i="1"/>
  <c r="BI196" i="1"/>
  <c r="AG196" i="1" s="1"/>
  <c r="BF196" i="1"/>
  <c r="BD196" i="1"/>
  <c r="AW196" i="1"/>
  <c r="AP196" i="1"/>
  <c r="AX196" i="1" s="1"/>
  <c r="AO196" i="1"/>
  <c r="BH196" i="1" s="1"/>
  <c r="AF196" i="1" s="1"/>
  <c r="AL196" i="1"/>
  <c r="AJ196" i="1"/>
  <c r="AH196" i="1"/>
  <c r="AE196" i="1"/>
  <c r="AD196" i="1"/>
  <c r="AC196" i="1"/>
  <c r="AB196" i="1"/>
  <c r="Z196" i="1"/>
  <c r="J196" i="1"/>
  <c r="AK196" i="1" s="1"/>
  <c r="AT188" i="1" s="1"/>
  <c r="H196" i="1"/>
  <c r="BJ195" i="1"/>
  <c r="BF195" i="1"/>
  <c r="BD195" i="1"/>
  <c r="AX195" i="1"/>
  <c r="AP195" i="1"/>
  <c r="BI195" i="1" s="1"/>
  <c r="AC195" i="1" s="1"/>
  <c r="AO195" i="1"/>
  <c r="AL195" i="1"/>
  <c r="AK195" i="1"/>
  <c r="AJ195" i="1"/>
  <c r="AH195" i="1"/>
  <c r="AG195" i="1"/>
  <c r="AF195" i="1"/>
  <c r="AE195" i="1"/>
  <c r="AD195" i="1"/>
  <c r="Z195" i="1"/>
  <c r="J195" i="1"/>
  <c r="I195" i="1"/>
  <c r="H195" i="1"/>
  <c r="BJ194" i="1"/>
  <c r="BH194" i="1"/>
  <c r="AF194" i="1" s="1"/>
  <c r="BF194" i="1"/>
  <c r="BD194" i="1"/>
  <c r="AW194" i="1"/>
  <c r="AP194" i="1"/>
  <c r="AO194" i="1"/>
  <c r="AL194" i="1"/>
  <c r="AJ194" i="1"/>
  <c r="AH194" i="1"/>
  <c r="AE194" i="1"/>
  <c r="AD194" i="1"/>
  <c r="AC194" i="1"/>
  <c r="AB194" i="1"/>
  <c r="Z194" i="1"/>
  <c r="J194" i="1"/>
  <c r="AK194" i="1" s="1"/>
  <c r="I194" i="1"/>
  <c r="H194" i="1"/>
  <c r="BJ193" i="1"/>
  <c r="BI193" i="1"/>
  <c r="BF193" i="1"/>
  <c r="BD193" i="1"/>
  <c r="AX193" i="1"/>
  <c r="AP193" i="1"/>
  <c r="AO193" i="1"/>
  <c r="AL193" i="1"/>
  <c r="AJ193" i="1"/>
  <c r="AH193" i="1"/>
  <c r="AG193" i="1"/>
  <c r="AF193" i="1"/>
  <c r="AE193" i="1"/>
  <c r="AD193" i="1"/>
  <c r="AC193" i="1"/>
  <c r="Z193" i="1"/>
  <c r="J193" i="1"/>
  <c r="AK193" i="1" s="1"/>
  <c r="I193" i="1"/>
  <c r="BJ192" i="1"/>
  <c r="BF192" i="1"/>
  <c r="BD192" i="1"/>
  <c r="AW192" i="1"/>
  <c r="AP192" i="1"/>
  <c r="AO192" i="1"/>
  <c r="BH192" i="1" s="1"/>
  <c r="AF192" i="1" s="1"/>
  <c r="AL192" i="1"/>
  <c r="AJ192" i="1"/>
  <c r="AH192" i="1"/>
  <c r="AE192" i="1"/>
  <c r="AD192" i="1"/>
  <c r="AC192" i="1"/>
  <c r="AB192" i="1"/>
  <c r="Z192" i="1"/>
  <c r="J192" i="1"/>
  <c r="AK192" i="1" s="1"/>
  <c r="H192" i="1"/>
  <c r="BJ191" i="1"/>
  <c r="BH191" i="1"/>
  <c r="BF191" i="1"/>
  <c r="BD191" i="1"/>
  <c r="AX191" i="1"/>
  <c r="AV191" i="1" s="1"/>
  <c r="AP191" i="1"/>
  <c r="BI191" i="1" s="1"/>
  <c r="AC191" i="1" s="1"/>
  <c r="AO191" i="1"/>
  <c r="AW191" i="1" s="1"/>
  <c r="AL191" i="1"/>
  <c r="AJ191" i="1"/>
  <c r="AH191" i="1"/>
  <c r="AG191" i="1"/>
  <c r="AF191" i="1"/>
  <c r="AE191" i="1"/>
  <c r="AD191" i="1"/>
  <c r="AB191" i="1"/>
  <c r="Z191" i="1"/>
  <c r="J191" i="1"/>
  <c r="AK191" i="1" s="1"/>
  <c r="I191" i="1"/>
  <c r="H191" i="1"/>
  <c r="BJ190" i="1"/>
  <c r="BI190" i="1"/>
  <c r="BF190" i="1"/>
  <c r="BD190" i="1"/>
  <c r="AW190" i="1"/>
  <c r="AP190" i="1"/>
  <c r="AX190" i="1" s="1"/>
  <c r="AO190" i="1"/>
  <c r="H190" i="1" s="1"/>
  <c r="AL190" i="1"/>
  <c r="AJ190" i="1"/>
  <c r="AH190" i="1"/>
  <c r="AG190" i="1"/>
  <c r="AE190" i="1"/>
  <c r="AD190" i="1"/>
  <c r="AC190" i="1"/>
  <c r="AB190" i="1"/>
  <c r="Z190" i="1"/>
  <c r="J190" i="1"/>
  <c r="AK190" i="1" s="1"/>
  <c r="I190" i="1"/>
  <c r="BJ189" i="1"/>
  <c r="BH189" i="1"/>
  <c r="AF189" i="1" s="1"/>
  <c r="BF189" i="1"/>
  <c r="BD189" i="1"/>
  <c r="AX189" i="1"/>
  <c r="AP189" i="1"/>
  <c r="I189" i="1" s="1"/>
  <c r="AO189" i="1"/>
  <c r="AW189" i="1" s="1"/>
  <c r="AL189" i="1"/>
  <c r="AJ189" i="1"/>
  <c r="AH189" i="1"/>
  <c r="AE189" i="1"/>
  <c r="AD189" i="1"/>
  <c r="AC189" i="1"/>
  <c r="AB189" i="1"/>
  <c r="Z189" i="1"/>
  <c r="J189" i="1"/>
  <c r="AK189" i="1" s="1"/>
  <c r="H189" i="1"/>
  <c r="BJ187" i="1"/>
  <c r="BH187" i="1"/>
  <c r="BF187" i="1"/>
  <c r="BD187" i="1"/>
  <c r="AW187" i="1"/>
  <c r="AP187" i="1"/>
  <c r="AO187" i="1"/>
  <c r="AL187" i="1"/>
  <c r="AU183" i="1" s="1"/>
  <c r="AK187" i="1"/>
  <c r="AJ187" i="1"/>
  <c r="AH187" i="1"/>
  <c r="AF187" i="1"/>
  <c r="AE187" i="1"/>
  <c r="AD187" i="1"/>
  <c r="AC187" i="1"/>
  <c r="AB187" i="1"/>
  <c r="Z187" i="1"/>
  <c r="J187" i="1"/>
  <c r="I187" i="1"/>
  <c r="H187" i="1"/>
  <c r="BJ186" i="1"/>
  <c r="BI186" i="1"/>
  <c r="BF186" i="1"/>
  <c r="BD186" i="1"/>
  <c r="AX186" i="1"/>
  <c r="AP186" i="1"/>
  <c r="AO186" i="1"/>
  <c r="AL186" i="1"/>
  <c r="AJ186" i="1"/>
  <c r="AH186" i="1"/>
  <c r="AG186" i="1"/>
  <c r="AF186" i="1"/>
  <c r="AE186" i="1"/>
  <c r="AD186" i="1"/>
  <c r="AC186" i="1"/>
  <c r="Z186" i="1"/>
  <c r="J186" i="1"/>
  <c r="AK186" i="1" s="1"/>
  <c r="I186" i="1"/>
  <c r="BJ185" i="1"/>
  <c r="BF185" i="1"/>
  <c r="BD185" i="1"/>
  <c r="AW185" i="1"/>
  <c r="AP185" i="1"/>
  <c r="AO185" i="1"/>
  <c r="BH185" i="1" s="1"/>
  <c r="AB185" i="1" s="1"/>
  <c r="AL185" i="1"/>
  <c r="AJ185" i="1"/>
  <c r="AH185" i="1"/>
  <c r="AG185" i="1"/>
  <c r="AF185" i="1"/>
  <c r="AE185" i="1"/>
  <c r="AD185" i="1"/>
  <c r="Z185" i="1"/>
  <c r="J185" i="1"/>
  <c r="AK185" i="1" s="1"/>
  <c r="AT183" i="1" s="1"/>
  <c r="H185" i="1"/>
  <c r="BJ184" i="1"/>
  <c r="BH184" i="1"/>
  <c r="BF184" i="1"/>
  <c r="BD184" i="1"/>
  <c r="AX184" i="1"/>
  <c r="AV184" i="1"/>
  <c r="AP184" i="1"/>
  <c r="BI184" i="1" s="1"/>
  <c r="AC184" i="1" s="1"/>
  <c r="AO184" i="1"/>
  <c r="AW184" i="1" s="1"/>
  <c r="BC184" i="1" s="1"/>
  <c r="AL184" i="1"/>
  <c r="AK184" i="1"/>
  <c r="AJ184" i="1"/>
  <c r="AH184" i="1"/>
  <c r="AG184" i="1"/>
  <c r="AF184" i="1"/>
  <c r="AE184" i="1"/>
  <c r="AD184" i="1"/>
  <c r="AB184" i="1"/>
  <c r="Z184" i="1"/>
  <c r="J184" i="1"/>
  <c r="I184" i="1"/>
  <c r="H184" i="1"/>
  <c r="AS183" i="1"/>
  <c r="J183" i="1"/>
  <c r="BJ182" i="1"/>
  <c r="BF182" i="1"/>
  <c r="BD182" i="1"/>
  <c r="AW182" i="1"/>
  <c r="AP182" i="1"/>
  <c r="AX182" i="1" s="1"/>
  <c r="AO182" i="1"/>
  <c r="BH182" i="1" s="1"/>
  <c r="AD182" i="1" s="1"/>
  <c r="AL182" i="1"/>
  <c r="AJ182" i="1"/>
  <c r="AS181" i="1" s="1"/>
  <c r="AH182" i="1"/>
  <c r="AG182" i="1"/>
  <c r="AF182" i="1"/>
  <c r="AC182" i="1"/>
  <c r="AB182" i="1"/>
  <c r="Z182" i="1"/>
  <c r="J182" i="1"/>
  <c r="AK182" i="1" s="1"/>
  <c r="AT181" i="1" s="1"/>
  <c r="AU181" i="1"/>
  <c r="J181" i="1"/>
  <c r="BJ179" i="1"/>
  <c r="BH179" i="1"/>
  <c r="AD179" i="1" s="1"/>
  <c r="BF179" i="1"/>
  <c r="BD179" i="1"/>
  <c r="AX179" i="1"/>
  <c r="AP179" i="1"/>
  <c r="BI179" i="1" s="1"/>
  <c r="AE179" i="1" s="1"/>
  <c r="AO179" i="1"/>
  <c r="AW179" i="1" s="1"/>
  <c r="AL179" i="1"/>
  <c r="AJ179" i="1"/>
  <c r="AH179" i="1"/>
  <c r="AG179" i="1"/>
  <c r="AF179" i="1"/>
  <c r="AC179" i="1"/>
  <c r="AB179" i="1"/>
  <c r="Z179" i="1"/>
  <c r="J179" i="1"/>
  <c r="AK179" i="1" s="1"/>
  <c r="I179" i="1"/>
  <c r="H179" i="1"/>
  <c r="BJ178" i="1"/>
  <c r="BI178" i="1"/>
  <c r="AE178" i="1" s="1"/>
  <c r="BF178" i="1"/>
  <c r="BD178" i="1"/>
  <c r="AP178" i="1"/>
  <c r="AX178" i="1" s="1"/>
  <c r="AO178" i="1"/>
  <c r="AW178" i="1" s="1"/>
  <c r="AL178" i="1"/>
  <c r="AJ178" i="1"/>
  <c r="AS175" i="1" s="1"/>
  <c r="AH178" i="1"/>
  <c r="AG178" i="1"/>
  <c r="AF178" i="1"/>
  <c r="AC178" i="1"/>
  <c r="AB178" i="1"/>
  <c r="Z178" i="1"/>
  <c r="J178" i="1"/>
  <c r="AK178" i="1" s="1"/>
  <c r="AT175" i="1" s="1"/>
  <c r="I178" i="1"/>
  <c r="H178" i="1"/>
  <c r="BJ176" i="1"/>
  <c r="BH176" i="1"/>
  <c r="AD176" i="1" s="1"/>
  <c r="BF176" i="1"/>
  <c r="BD176" i="1"/>
  <c r="AP176" i="1"/>
  <c r="AX176" i="1" s="1"/>
  <c r="AO176" i="1"/>
  <c r="AW176" i="1" s="1"/>
  <c r="AL176" i="1"/>
  <c r="AK176" i="1"/>
  <c r="AJ176" i="1"/>
  <c r="AH176" i="1"/>
  <c r="AG176" i="1"/>
  <c r="AF176" i="1"/>
  <c r="AC176" i="1"/>
  <c r="AB176" i="1"/>
  <c r="Z176" i="1"/>
  <c r="J176" i="1"/>
  <c r="I176" i="1"/>
  <c r="I175" i="1" s="1"/>
  <c r="H176" i="1"/>
  <c r="H175" i="1" s="1"/>
  <c r="AU175" i="1"/>
  <c r="J175" i="1"/>
  <c r="BJ174" i="1"/>
  <c r="BF174" i="1"/>
  <c r="BD174" i="1"/>
  <c r="AW174" i="1"/>
  <c r="AP174" i="1"/>
  <c r="AO174" i="1"/>
  <c r="BH174" i="1" s="1"/>
  <c r="AL174" i="1"/>
  <c r="AJ174" i="1"/>
  <c r="AH174" i="1"/>
  <c r="AG174" i="1"/>
  <c r="AF174" i="1"/>
  <c r="AE174" i="1"/>
  <c r="AD174" i="1"/>
  <c r="AC174" i="1"/>
  <c r="AB174" i="1"/>
  <c r="Z174" i="1"/>
  <c r="J174" i="1"/>
  <c r="AK174" i="1" s="1"/>
  <c r="H174" i="1"/>
  <c r="BJ173" i="1"/>
  <c r="BH173" i="1"/>
  <c r="BF173" i="1"/>
  <c r="BD173" i="1"/>
  <c r="AX173" i="1"/>
  <c r="AP173" i="1"/>
  <c r="BI173" i="1" s="1"/>
  <c r="AE173" i="1" s="1"/>
  <c r="AO173" i="1"/>
  <c r="AW173" i="1" s="1"/>
  <c r="AL173" i="1"/>
  <c r="AJ173" i="1"/>
  <c r="AH173" i="1"/>
  <c r="AG173" i="1"/>
  <c r="AF173" i="1"/>
  <c r="AD173" i="1"/>
  <c r="AC173" i="1"/>
  <c r="AB173" i="1"/>
  <c r="Z173" i="1"/>
  <c r="J173" i="1"/>
  <c r="AK173" i="1" s="1"/>
  <c r="I173" i="1"/>
  <c r="H173" i="1"/>
  <c r="BJ172" i="1"/>
  <c r="BI172" i="1"/>
  <c r="BH172" i="1"/>
  <c r="BF172" i="1"/>
  <c r="BD172" i="1"/>
  <c r="AW172" i="1"/>
  <c r="AP172" i="1"/>
  <c r="AX172" i="1" s="1"/>
  <c r="AO172" i="1"/>
  <c r="AL172" i="1"/>
  <c r="AJ172" i="1"/>
  <c r="AH172" i="1"/>
  <c r="AG172" i="1"/>
  <c r="AF172" i="1"/>
  <c r="AE172" i="1"/>
  <c r="AD172" i="1"/>
  <c r="AC172" i="1"/>
  <c r="AB172" i="1"/>
  <c r="Z172" i="1"/>
  <c r="J172" i="1"/>
  <c r="AK172" i="1" s="1"/>
  <c r="I172" i="1"/>
  <c r="H172" i="1"/>
  <c r="BJ171" i="1"/>
  <c r="BI171" i="1"/>
  <c r="BH171" i="1"/>
  <c r="BF171" i="1"/>
  <c r="BD171" i="1"/>
  <c r="AX171" i="1"/>
  <c r="AP171" i="1"/>
  <c r="AO171" i="1"/>
  <c r="AW171" i="1" s="1"/>
  <c r="AL171" i="1"/>
  <c r="AK171" i="1"/>
  <c r="AJ171" i="1"/>
  <c r="AH171" i="1"/>
  <c r="AG171" i="1"/>
  <c r="AF171" i="1"/>
  <c r="AE171" i="1"/>
  <c r="AD171" i="1"/>
  <c r="AC171" i="1"/>
  <c r="AB171" i="1"/>
  <c r="Z171" i="1"/>
  <c r="J171" i="1"/>
  <c r="I171" i="1"/>
  <c r="H171" i="1"/>
  <c r="BJ170" i="1"/>
  <c r="BI170" i="1"/>
  <c r="BH170" i="1"/>
  <c r="BF170" i="1"/>
  <c r="BD170" i="1"/>
  <c r="BC170" i="1"/>
  <c r="AW170" i="1"/>
  <c r="AV170" i="1" s="1"/>
  <c r="AP170" i="1"/>
  <c r="AX170" i="1" s="1"/>
  <c r="AO170" i="1"/>
  <c r="AL170" i="1"/>
  <c r="AK170" i="1"/>
  <c r="AJ170" i="1"/>
  <c r="AH170" i="1"/>
  <c r="AG170" i="1"/>
  <c r="AF170" i="1"/>
  <c r="AE170" i="1"/>
  <c r="AD170" i="1"/>
  <c r="AC170" i="1"/>
  <c r="AB170" i="1"/>
  <c r="Z170" i="1"/>
  <c r="J170" i="1"/>
  <c r="I170" i="1"/>
  <c r="H170" i="1"/>
  <c r="BJ169" i="1"/>
  <c r="BI169" i="1"/>
  <c r="BH169" i="1"/>
  <c r="AD169" i="1" s="1"/>
  <c r="BF169" i="1"/>
  <c r="BD169" i="1"/>
  <c r="AX169" i="1"/>
  <c r="AP169" i="1"/>
  <c r="AO169" i="1"/>
  <c r="AW169" i="1" s="1"/>
  <c r="AL169" i="1"/>
  <c r="AK169" i="1"/>
  <c r="AJ169" i="1"/>
  <c r="AH169" i="1"/>
  <c r="AG169" i="1"/>
  <c r="AF169" i="1"/>
  <c r="AE169" i="1"/>
  <c r="AC169" i="1"/>
  <c r="AB169" i="1"/>
  <c r="Z169" i="1"/>
  <c r="J169" i="1"/>
  <c r="I169" i="1"/>
  <c r="H169" i="1"/>
  <c r="BJ168" i="1"/>
  <c r="BI168" i="1"/>
  <c r="AE168" i="1" s="1"/>
  <c r="BF168" i="1"/>
  <c r="BD168" i="1"/>
  <c r="AP168" i="1"/>
  <c r="AX168" i="1" s="1"/>
  <c r="AO168" i="1"/>
  <c r="AW168" i="1" s="1"/>
  <c r="AL168" i="1"/>
  <c r="AJ168" i="1"/>
  <c r="AH168" i="1"/>
  <c r="AG168" i="1"/>
  <c r="AF168" i="1"/>
  <c r="AC168" i="1"/>
  <c r="AB168" i="1"/>
  <c r="Z168" i="1"/>
  <c r="J168" i="1"/>
  <c r="AK168" i="1" s="1"/>
  <c r="I168" i="1"/>
  <c r="H168" i="1"/>
  <c r="BJ166" i="1"/>
  <c r="BF166" i="1"/>
  <c r="BD166" i="1"/>
  <c r="AP166" i="1"/>
  <c r="AX166" i="1" s="1"/>
  <c r="AO166" i="1"/>
  <c r="AW166" i="1" s="1"/>
  <c r="AL166" i="1"/>
  <c r="AK166" i="1"/>
  <c r="AJ166" i="1"/>
  <c r="AH166" i="1"/>
  <c r="AG166" i="1"/>
  <c r="AF166" i="1"/>
  <c r="AC166" i="1"/>
  <c r="AB166" i="1"/>
  <c r="Z166" i="1"/>
  <c r="J166" i="1"/>
  <c r="I166" i="1"/>
  <c r="H166" i="1"/>
  <c r="BJ165" i="1"/>
  <c r="BH165" i="1"/>
  <c r="BF165" i="1"/>
  <c r="BD165" i="1"/>
  <c r="AW165" i="1"/>
  <c r="AP165" i="1"/>
  <c r="AX165" i="1" s="1"/>
  <c r="AO165" i="1"/>
  <c r="AL165" i="1"/>
  <c r="AJ165" i="1"/>
  <c r="AH165" i="1"/>
  <c r="AG165" i="1"/>
  <c r="AF165" i="1"/>
  <c r="AD165" i="1"/>
  <c r="AC165" i="1"/>
  <c r="AB165" i="1"/>
  <c r="Z165" i="1"/>
  <c r="J165" i="1"/>
  <c r="AK165" i="1" s="1"/>
  <c r="I165" i="1"/>
  <c r="H165" i="1"/>
  <c r="BJ164" i="1"/>
  <c r="BI164" i="1"/>
  <c r="BF164" i="1"/>
  <c r="BD164" i="1"/>
  <c r="AX164" i="1"/>
  <c r="AP164" i="1"/>
  <c r="AO164" i="1"/>
  <c r="AL164" i="1"/>
  <c r="AK164" i="1"/>
  <c r="AJ164" i="1"/>
  <c r="AH164" i="1"/>
  <c r="AG164" i="1"/>
  <c r="AF164" i="1"/>
  <c r="AE164" i="1"/>
  <c r="AC164" i="1"/>
  <c r="AB164" i="1"/>
  <c r="Z164" i="1"/>
  <c r="J164" i="1"/>
  <c r="I164" i="1"/>
  <c r="H164" i="1"/>
  <c r="BJ163" i="1"/>
  <c r="BH163" i="1"/>
  <c r="BF163" i="1"/>
  <c r="BD163" i="1"/>
  <c r="AW163" i="1"/>
  <c r="AP163" i="1"/>
  <c r="AO163" i="1"/>
  <c r="AL163" i="1"/>
  <c r="AK163" i="1"/>
  <c r="AJ163" i="1"/>
  <c r="AH163" i="1"/>
  <c r="AG163" i="1"/>
  <c r="AF163" i="1"/>
  <c r="AD163" i="1"/>
  <c r="AC163" i="1"/>
  <c r="AB163" i="1"/>
  <c r="Z163" i="1"/>
  <c r="J163" i="1"/>
  <c r="H163" i="1"/>
  <c r="BJ161" i="1"/>
  <c r="BI161" i="1"/>
  <c r="BF161" i="1"/>
  <c r="BD161" i="1"/>
  <c r="AX161" i="1"/>
  <c r="AP161" i="1"/>
  <c r="AO161" i="1"/>
  <c r="AL161" i="1"/>
  <c r="AJ161" i="1"/>
  <c r="AH161" i="1"/>
  <c r="AG161" i="1"/>
  <c r="AF161" i="1"/>
  <c r="AE161" i="1"/>
  <c r="AC161" i="1"/>
  <c r="AB161" i="1"/>
  <c r="Z161" i="1"/>
  <c r="J161" i="1"/>
  <c r="AK161" i="1" s="1"/>
  <c r="I161" i="1"/>
  <c r="BJ160" i="1"/>
  <c r="BF160" i="1"/>
  <c r="BD160" i="1"/>
  <c r="AW160" i="1"/>
  <c r="AP160" i="1"/>
  <c r="AO160" i="1"/>
  <c r="BH160" i="1" s="1"/>
  <c r="AD160" i="1" s="1"/>
  <c r="AL160" i="1"/>
  <c r="AJ160" i="1"/>
  <c r="AH160" i="1"/>
  <c r="AG160" i="1"/>
  <c r="AF160" i="1"/>
  <c r="AC160" i="1"/>
  <c r="AB160" i="1"/>
  <c r="Z160" i="1"/>
  <c r="J160" i="1"/>
  <c r="AK160" i="1" s="1"/>
  <c r="H160" i="1"/>
  <c r="BJ159" i="1"/>
  <c r="BH159" i="1"/>
  <c r="BF159" i="1"/>
  <c r="BD159" i="1"/>
  <c r="AX159" i="1"/>
  <c r="AV159" i="1"/>
  <c r="AP159" i="1"/>
  <c r="BI159" i="1" s="1"/>
  <c r="AE159" i="1" s="1"/>
  <c r="AO159" i="1"/>
  <c r="AW159" i="1" s="1"/>
  <c r="BC159" i="1" s="1"/>
  <c r="AL159" i="1"/>
  <c r="AJ159" i="1"/>
  <c r="AH159" i="1"/>
  <c r="AG159" i="1"/>
  <c r="AF159" i="1"/>
  <c r="AD159" i="1"/>
  <c r="AC159" i="1"/>
  <c r="AB159" i="1"/>
  <c r="Z159" i="1"/>
  <c r="J159" i="1"/>
  <c r="AK159" i="1" s="1"/>
  <c r="I159" i="1"/>
  <c r="H159" i="1"/>
  <c r="BJ157" i="1"/>
  <c r="BI157" i="1"/>
  <c r="BH157" i="1"/>
  <c r="AD157" i="1" s="1"/>
  <c r="BF157" i="1"/>
  <c r="BD157" i="1"/>
  <c r="AW157" i="1"/>
  <c r="AP157" i="1"/>
  <c r="AX157" i="1" s="1"/>
  <c r="AO157" i="1"/>
  <c r="H157" i="1" s="1"/>
  <c r="AL157" i="1"/>
  <c r="AJ157" i="1"/>
  <c r="AH157" i="1"/>
  <c r="AG157" i="1"/>
  <c r="AF157" i="1"/>
  <c r="AE157" i="1"/>
  <c r="AC157" i="1"/>
  <c r="AB157" i="1"/>
  <c r="Z157" i="1"/>
  <c r="J157" i="1"/>
  <c r="AK157" i="1" s="1"/>
  <c r="I157" i="1"/>
  <c r="BJ155" i="1"/>
  <c r="BI155" i="1"/>
  <c r="BH155" i="1"/>
  <c r="BF155" i="1"/>
  <c r="BD155" i="1"/>
  <c r="AX155" i="1"/>
  <c r="AP155" i="1"/>
  <c r="AO155" i="1"/>
  <c r="AW155" i="1" s="1"/>
  <c r="AL155" i="1"/>
  <c r="AJ155" i="1"/>
  <c r="AH155" i="1"/>
  <c r="AG155" i="1"/>
  <c r="AF155" i="1"/>
  <c r="AE155" i="1"/>
  <c r="AD155" i="1"/>
  <c r="AC155" i="1"/>
  <c r="AB155" i="1"/>
  <c r="Z155" i="1"/>
  <c r="J155" i="1"/>
  <c r="AK155" i="1" s="1"/>
  <c r="I155" i="1"/>
  <c r="H155" i="1"/>
  <c r="BJ153" i="1"/>
  <c r="BI153" i="1"/>
  <c r="AE153" i="1" s="1"/>
  <c r="BH153" i="1"/>
  <c r="BF153" i="1"/>
  <c r="BD153" i="1"/>
  <c r="AW153" i="1"/>
  <c r="AV153" i="1" s="1"/>
  <c r="AP153" i="1"/>
  <c r="AX153" i="1" s="1"/>
  <c r="BC153" i="1" s="1"/>
  <c r="AO153" i="1"/>
  <c r="AL153" i="1"/>
  <c r="AK153" i="1"/>
  <c r="AJ153" i="1"/>
  <c r="AH153" i="1"/>
  <c r="AG153" i="1"/>
  <c r="AF153" i="1"/>
  <c r="AD153" i="1"/>
  <c r="AC153" i="1"/>
  <c r="AB153" i="1"/>
  <c r="Z153" i="1"/>
  <c r="J153" i="1"/>
  <c r="I153" i="1"/>
  <c r="H153" i="1"/>
  <c r="BJ152" i="1"/>
  <c r="BI152" i="1"/>
  <c r="BH152" i="1"/>
  <c r="AD152" i="1" s="1"/>
  <c r="BF152" i="1"/>
  <c r="BD152" i="1"/>
  <c r="AX152" i="1"/>
  <c r="AP152" i="1"/>
  <c r="AO152" i="1"/>
  <c r="AW152" i="1" s="1"/>
  <c r="AL152" i="1"/>
  <c r="AK152" i="1"/>
  <c r="AJ152" i="1"/>
  <c r="AH152" i="1"/>
  <c r="AG152" i="1"/>
  <c r="AF152" i="1"/>
  <c r="AE152" i="1"/>
  <c r="AC152" i="1"/>
  <c r="AB152" i="1"/>
  <c r="Z152" i="1"/>
  <c r="J152" i="1"/>
  <c r="I152" i="1"/>
  <c r="H152" i="1"/>
  <c r="BJ151" i="1"/>
  <c r="BI151" i="1"/>
  <c r="AE151" i="1" s="1"/>
  <c r="BF151" i="1"/>
  <c r="BD151" i="1"/>
  <c r="AP151" i="1"/>
  <c r="AX151" i="1" s="1"/>
  <c r="AO151" i="1"/>
  <c r="AW151" i="1" s="1"/>
  <c r="AL151" i="1"/>
  <c r="AJ151" i="1"/>
  <c r="AS139" i="1" s="1"/>
  <c r="AH151" i="1"/>
  <c r="AG151" i="1"/>
  <c r="AF151" i="1"/>
  <c r="AC151" i="1"/>
  <c r="AB151" i="1"/>
  <c r="Z151" i="1"/>
  <c r="J151" i="1"/>
  <c r="AK151" i="1" s="1"/>
  <c r="I151" i="1"/>
  <c r="H151" i="1"/>
  <c r="BJ150" i="1"/>
  <c r="BH150" i="1"/>
  <c r="AD150" i="1" s="1"/>
  <c r="BF150" i="1"/>
  <c r="BD150" i="1"/>
  <c r="AX150" i="1"/>
  <c r="AP150" i="1"/>
  <c r="BI150" i="1" s="1"/>
  <c r="AE150" i="1" s="1"/>
  <c r="AO150" i="1"/>
  <c r="AW150" i="1" s="1"/>
  <c r="AL150" i="1"/>
  <c r="AK150" i="1"/>
  <c r="AJ150" i="1"/>
  <c r="AH150" i="1"/>
  <c r="AG150" i="1"/>
  <c r="AF150" i="1"/>
  <c r="AC150" i="1"/>
  <c r="AB150" i="1"/>
  <c r="Z150" i="1"/>
  <c r="J150" i="1"/>
  <c r="I150" i="1"/>
  <c r="H150" i="1"/>
  <c r="BJ149" i="1"/>
  <c r="BH149" i="1"/>
  <c r="BF149" i="1"/>
  <c r="BD149" i="1"/>
  <c r="AW149" i="1"/>
  <c r="AP149" i="1"/>
  <c r="AX149" i="1" s="1"/>
  <c r="BC149" i="1" s="1"/>
  <c r="AO149" i="1"/>
  <c r="AL149" i="1"/>
  <c r="AU139" i="1" s="1"/>
  <c r="AJ149" i="1"/>
  <c r="AH149" i="1"/>
  <c r="AG149" i="1"/>
  <c r="AF149" i="1"/>
  <c r="AE149" i="1"/>
  <c r="AD149" i="1"/>
  <c r="AC149" i="1"/>
  <c r="AB149" i="1"/>
  <c r="Z149" i="1"/>
  <c r="J149" i="1"/>
  <c r="AK149" i="1" s="1"/>
  <c r="H149" i="1"/>
  <c r="BJ148" i="1"/>
  <c r="Z148" i="1" s="1"/>
  <c r="BI148" i="1"/>
  <c r="BF148" i="1"/>
  <c r="BD148" i="1"/>
  <c r="AX148" i="1"/>
  <c r="AP148" i="1"/>
  <c r="AO148" i="1"/>
  <c r="AL148" i="1"/>
  <c r="AK148" i="1"/>
  <c r="AJ148" i="1"/>
  <c r="AH148" i="1"/>
  <c r="AG148" i="1"/>
  <c r="AF148" i="1"/>
  <c r="AE148" i="1"/>
  <c r="AD148" i="1"/>
  <c r="AC148" i="1"/>
  <c r="AB148" i="1"/>
  <c r="J148" i="1"/>
  <c r="I148" i="1"/>
  <c r="H148" i="1"/>
  <c r="BJ147" i="1"/>
  <c r="BH147" i="1"/>
  <c r="BF147" i="1"/>
  <c r="BD147" i="1"/>
  <c r="AW147" i="1"/>
  <c r="AP147" i="1"/>
  <c r="I147" i="1" s="1"/>
  <c r="AO147" i="1"/>
  <c r="AL147" i="1"/>
  <c r="AK147" i="1"/>
  <c r="AJ147" i="1"/>
  <c r="AH147" i="1"/>
  <c r="AG147" i="1"/>
  <c r="AF147" i="1"/>
  <c r="AE147" i="1"/>
  <c r="AD147" i="1"/>
  <c r="AC147" i="1"/>
  <c r="AB147" i="1"/>
  <c r="Z147" i="1"/>
  <c r="J147" i="1"/>
  <c r="H147" i="1"/>
  <c r="BJ146" i="1"/>
  <c r="Z146" i="1" s="1"/>
  <c r="BI146" i="1"/>
  <c r="BF146" i="1"/>
  <c r="BD146" i="1"/>
  <c r="AX146" i="1"/>
  <c r="AP146" i="1"/>
  <c r="AO146" i="1"/>
  <c r="AL146" i="1"/>
  <c r="AJ146" i="1"/>
  <c r="AH146" i="1"/>
  <c r="AG146" i="1"/>
  <c r="AF146" i="1"/>
  <c r="AE146" i="1"/>
  <c r="AD146" i="1"/>
  <c r="AC146" i="1"/>
  <c r="AB146" i="1"/>
  <c r="J146" i="1"/>
  <c r="I146" i="1"/>
  <c r="BJ145" i="1"/>
  <c r="BF145" i="1"/>
  <c r="BD145" i="1"/>
  <c r="AW145" i="1"/>
  <c r="AP145" i="1"/>
  <c r="AO145" i="1"/>
  <c r="BH145" i="1" s="1"/>
  <c r="AD145" i="1" s="1"/>
  <c r="AL145" i="1"/>
  <c r="AJ145" i="1"/>
  <c r="AH145" i="1"/>
  <c r="AG145" i="1"/>
  <c r="AF145" i="1"/>
  <c r="AC145" i="1"/>
  <c r="AB145" i="1"/>
  <c r="Z145" i="1"/>
  <c r="J145" i="1"/>
  <c r="AK145" i="1" s="1"/>
  <c r="H145" i="1"/>
  <c r="BJ143" i="1"/>
  <c r="BF143" i="1"/>
  <c r="BD143" i="1"/>
  <c r="AX143" i="1"/>
  <c r="AP143" i="1"/>
  <c r="BI143" i="1" s="1"/>
  <c r="AE143" i="1" s="1"/>
  <c r="AO143" i="1"/>
  <c r="BH143" i="1" s="1"/>
  <c r="AD143" i="1" s="1"/>
  <c r="AL143" i="1"/>
  <c r="AJ143" i="1"/>
  <c r="AH143" i="1"/>
  <c r="AG143" i="1"/>
  <c r="AF143" i="1"/>
  <c r="AC143" i="1"/>
  <c r="AB143" i="1"/>
  <c r="Z143" i="1"/>
  <c r="J143" i="1"/>
  <c r="AK143" i="1" s="1"/>
  <c r="I143" i="1"/>
  <c r="H143" i="1"/>
  <c r="BJ142" i="1"/>
  <c r="BI142" i="1"/>
  <c r="BF142" i="1"/>
  <c r="BD142" i="1"/>
  <c r="AW142" i="1"/>
  <c r="AP142" i="1"/>
  <c r="AX142" i="1" s="1"/>
  <c r="BC142" i="1" s="1"/>
  <c r="AO142" i="1"/>
  <c r="BH142" i="1" s="1"/>
  <c r="AD142" i="1" s="1"/>
  <c r="AL142" i="1"/>
  <c r="AJ142" i="1"/>
  <c r="AH142" i="1"/>
  <c r="AG142" i="1"/>
  <c r="AF142" i="1"/>
  <c r="AE142" i="1"/>
  <c r="AC142" i="1"/>
  <c r="AB142" i="1"/>
  <c r="Z142" i="1"/>
  <c r="J142" i="1"/>
  <c r="AK142" i="1" s="1"/>
  <c r="I142" i="1"/>
  <c r="H142" i="1"/>
  <c r="BJ141" i="1"/>
  <c r="BH141" i="1"/>
  <c r="BF141" i="1"/>
  <c r="BD141" i="1"/>
  <c r="AX141" i="1"/>
  <c r="AP141" i="1"/>
  <c r="BI141" i="1" s="1"/>
  <c r="AE141" i="1" s="1"/>
  <c r="AO141" i="1"/>
  <c r="AW141" i="1" s="1"/>
  <c r="AL141" i="1"/>
  <c r="AK141" i="1"/>
  <c r="AJ141" i="1"/>
  <c r="AH141" i="1"/>
  <c r="AG141" i="1"/>
  <c r="AF141" i="1"/>
  <c r="AD141" i="1"/>
  <c r="AC141" i="1"/>
  <c r="AB141" i="1"/>
  <c r="Z141" i="1"/>
  <c r="J141" i="1"/>
  <c r="I141" i="1"/>
  <c r="H141" i="1"/>
  <c r="BJ140" i="1"/>
  <c r="BI140" i="1"/>
  <c r="BF140" i="1"/>
  <c r="BD140" i="1"/>
  <c r="BC140" i="1"/>
  <c r="AX140" i="1"/>
  <c r="AW140" i="1"/>
  <c r="AV140" i="1" s="1"/>
  <c r="AP140" i="1"/>
  <c r="AO140" i="1"/>
  <c r="BH140" i="1" s="1"/>
  <c r="AD140" i="1" s="1"/>
  <c r="AL140" i="1"/>
  <c r="AK140" i="1"/>
  <c r="AJ140" i="1"/>
  <c r="AH140" i="1"/>
  <c r="AG140" i="1"/>
  <c r="AF140" i="1"/>
  <c r="AE140" i="1"/>
  <c r="AC140" i="1"/>
  <c r="AB140" i="1"/>
  <c r="Z140" i="1"/>
  <c r="J140" i="1"/>
  <c r="I140" i="1"/>
  <c r="H140" i="1"/>
  <c r="BJ138" i="1"/>
  <c r="BF138" i="1"/>
  <c r="BD138" i="1"/>
  <c r="AX138" i="1"/>
  <c r="AP138" i="1"/>
  <c r="BI138" i="1" s="1"/>
  <c r="AE138" i="1" s="1"/>
  <c r="AO138" i="1"/>
  <c r="AL138" i="1"/>
  <c r="AU137" i="1" s="1"/>
  <c r="AJ138" i="1"/>
  <c r="AS137" i="1" s="1"/>
  <c r="AH138" i="1"/>
  <c r="AG138" i="1"/>
  <c r="AF138" i="1"/>
  <c r="AC138" i="1"/>
  <c r="AB138" i="1"/>
  <c r="Z138" i="1"/>
  <c r="J138" i="1"/>
  <c r="I138" i="1"/>
  <c r="I137" i="1"/>
  <c r="BJ136" i="1"/>
  <c r="BI136" i="1"/>
  <c r="BF136" i="1"/>
  <c r="BD136" i="1"/>
  <c r="AP136" i="1"/>
  <c r="AX136" i="1" s="1"/>
  <c r="AO136" i="1"/>
  <c r="AW136" i="1" s="1"/>
  <c r="AL136" i="1"/>
  <c r="AJ136" i="1"/>
  <c r="AH136" i="1"/>
  <c r="AG136" i="1"/>
  <c r="AF136" i="1"/>
  <c r="AE136" i="1"/>
  <c r="AD136" i="1"/>
  <c r="AC136" i="1"/>
  <c r="AB136" i="1"/>
  <c r="Z136" i="1"/>
  <c r="J136" i="1"/>
  <c r="AK136" i="1" s="1"/>
  <c r="I136" i="1"/>
  <c r="H136" i="1"/>
  <c r="BJ134" i="1"/>
  <c r="BH134" i="1"/>
  <c r="AD134" i="1" s="1"/>
  <c r="BF134" i="1"/>
  <c r="BD134" i="1"/>
  <c r="AP134" i="1"/>
  <c r="AX134" i="1" s="1"/>
  <c r="AO134" i="1"/>
  <c r="AW134" i="1" s="1"/>
  <c r="AL134" i="1"/>
  <c r="AJ134" i="1"/>
  <c r="AH134" i="1"/>
  <c r="AG134" i="1"/>
  <c r="AF134" i="1"/>
  <c r="AC134" i="1"/>
  <c r="AB134" i="1"/>
  <c r="Z134" i="1"/>
  <c r="J134" i="1"/>
  <c r="AK134" i="1" s="1"/>
  <c r="I134" i="1"/>
  <c r="H134" i="1"/>
  <c r="BJ133" i="1"/>
  <c r="BF133" i="1"/>
  <c r="BD133" i="1"/>
  <c r="AW133" i="1"/>
  <c r="AP133" i="1"/>
  <c r="AX133" i="1" s="1"/>
  <c r="AO133" i="1"/>
  <c r="BH133" i="1" s="1"/>
  <c r="AD133" i="1" s="1"/>
  <c r="AL133" i="1"/>
  <c r="AU131" i="1" s="1"/>
  <c r="AJ133" i="1"/>
  <c r="AH133" i="1"/>
  <c r="AG133" i="1"/>
  <c r="AF133" i="1"/>
  <c r="AC133" i="1"/>
  <c r="AB133" i="1"/>
  <c r="Z133" i="1"/>
  <c r="J133" i="1"/>
  <c r="AK133" i="1" s="1"/>
  <c r="H133" i="1"/>
  <c r="BJ132" i="1"/>
  <c r="BI132" i="1"/>
  <c r="BF132" i="1"/>
  <c r="BD132" i="1"/>
  <c r="AX132" i="1"/>
  <c r="AP132" i="1"/>
  <c r="AO132" i="1"/>
  <c r="AL132" i="1"/>
  <c r="AK132" i="1"/>
  <c r="AJ132" i="1"/>
  <c r="AH132" i="1"/>
  <c r="AG132" i="1"/>
  <c r="AF132" i="1"/>
  <c r="AE132" i="1"/>
  <c r="AC132" i="1"/>
  <c r="AB132" i="1"/>
  <c r="Z132" i="1"/>
  <c r="J132" i="1"/>
  <c r="I132" i="1"/>
  <c r="H132" i="1"/>
  <c r="H131" i="1" s="1"/>
  <c r="BJ130" i="1"/>
  <c r="BI130" i="1"/>
  <c r="BF130" i="1"/>
  <c r="BD130" i="1"/>
  <c r="BC130" i="1"/>
  <c r="AP130" i="1"/>
  <c r="AX130" i="1" s="1"/>
  <c r="AO130" i="1"/>
  <c r="AW130" i="1" s="1"/>
  <c r="AV130" i="1" s="1"/>
  <c r="AL130" i="1"/>
  <c r="AK130" i="1"/>
  <c r="AJ130" i="1"/>
  <c r="AH130" i="1"/>
  <c r="AG130" i="1"/>
  <c r="AF130" i="1"/>
  <c r="AE130" i="1"/>
  <c r="AD130" i="1"/>
  <c r="AC130" i="1"/>
  <c r="AB130" i="1"/>
  <c r="Z130" i="1"/>
  <c r="J130" i="1"/>
  <c r="I130" i="1"/>
  <c r="H130" i="1"/>
  <c r="BJ128" i="1"/>
  <c r="BH128" i="1"/>
  <c r="AD128" i="1" s="1"/>
  <c r="BF128" i="1"/>
  <c r="BD128" i="1"/>
  <c r="AX128" i="1"/>
  <c r="AP128" i="1"/>
  <c r="BI128" i="1" s="1"/>
  <c r="AE128" i="1" s="1"/>
  <c r="AO128" i="1"/>
  <c r="AW128" i="1" s="1"/>
  <c r="AL128" i="1"/>
  <c r="AK128" i="1"/>
  <c r="AJ128" i="1"/>
  <c r="AH128" i="1"/>
  <c r="AG128" i="1"/>
  <c r="AF128" i="1"/>
  <c r="AC128" i="1"/>
  <c r="AB128" i="1"/>
  <c r="Z128" i="1"/>
  <c r="J128" i="1"/>
  <c r="I128" i="1"/>
  <c r="H128" i="1"/>
  <c r="H126" i="1" s="1"/>
  <c r="BJ127" i="1"/>
  <c r="BI127" i="1"/>
  <c r="AE127" i="1" s="1"/>
  <c r="BF127" i="1"/>
  <c r="BD127" i="1"/>
  <c r="AW127" i="1"/>
  <c r="AP127" i="1"/>
  <c r="AX127" i="1" s="1"/>
  <c r="AO127" i="1"/>
  <c r="BH127" i="1" s="1"/>
  <c r="AD127" i="1" s="1"/>
  <c r="AL127" i="1"/>
  <c r="AU126" i="1" s="1"/>
  <c r="AJ127" i="1"/>
  <c r="AS126" i="1" s="1"/>
  <c r="AH127" i="1"/>
  <c r="AG127" i="1"/>
  <c r="AF127" i="1"/>
  <c r="AC127" i="1"/>
  <c r="AB127" i="1"/>
  <c r="Z127" i="1"/>
  <c r="J127" i="1"/>
  <c r="AK127" i="1" s="1"/>
  <c r="AT126" i="1" s="1"/>
  <c r="I127" i="1"/>
  <c r="I126" i="1" s="1"/>
  <c r="H127" i="1"/>
  <c r="J126" i="1"/>
  <c r="BJ125" i="1"/>
  <c r="BF125" i="1"/>
  <c r="BD125" i="1"/>
  <c r="AX125" i="1"/>
  <c r="AP125" i="1"/>
  <c r="BI125" i="1" s="1"/>
  <c r="AO125" i="1"/>
  <c r="BH125" i="1" s="1"/>
  <c r="AL125" i="1"/>
  <c r="AJ125" i="1"/>
  <c r="AH125" i="1"/>
  <c r="AG125" i="1"/>
  <c r="AF125" i="1"/>
  <c r="AE125" i="1"/>
  <c r="AD125" i="1"/>
  <c r="AC125" i="1"/>
  <c r="AB125" i="1"/>
  <c r="Z125" i="1"/>
  <c r="J125" i="1"/>
  <c r="AK125" i="1" s="1"/>
  <c r="I125" i="1"/>
  <c r="H125" i="1"/>
  <c r="BJ124" i="1"/>
  <c r="BF124" i="1"/>
  <c r="BD124" i="1"/>
  <c r="AW124" i="1"/>
  <c r="AP124" i="1"/>
  <c r="BI124" i="1" s="1"/>
  <c r="AE124" i="1" s="1"/>
  <c r="AO124" i="1"/>
  <c r="H124" i="1" s="1"/>
  <c r="AL124" i="1"/>
  <c r="AJ124" i="1"/>
  <c r="AH124" i="1"/>
  <c r="AG124" i="1"/>
  <c r="AF124" i="1"/>
  <c r="AC124" i="1"/>
  <c r="AB124" i="1"/>
  <c r="Z124" i="1"/>
  <c r="J124" i="1"/>
  <c r="AK124" i="1" s="1"/>
  <c r="I124" i="1"/>
  <c r="BJ122" i="1"/>
  <c r="BH122" i="1"/>
  <c r="AD122" i="1" s="1"/>
  <c r="BF122" i="1"/>
  <c r="BD122" i="1"/>
  <c r="AX122" i="1"/>
  <c r="AP122" i="1"/>
  <c r="I122" i="1" s="1"/>
  <c r="I121" i="1" s="1"/>
  <c r="AO122" i="1"/>
  <c r="AW122" i="1" s="1"/>
  <c r="AL122" i="1"/>
  <c r="AJ122" i="1"/>
  <c r="AH122" i="1"/>
  <c r="AG122" i="1"/>
  <c r="AF122" i="1"/>
  <c r="AC122" i="1"/>
  <c r="AB122" i="1"/>
  <c r="Z122" i="1"/>
  <c r="J122" i="1"/>
  <c r="AK122" i="1" s="1"/>
  <c r="AT121" i="1" s="1"/>
  <c r="H122" i="1"/>
  <c r="AU121" i="1"/>
  <c r="AS121" i="1"/>
  <c r="J121" i="1"/>
  <c r="H121" i="1"/>
  <c r="BJ120" i="1"/>
  <c r="BH120" i="1"/>
  <c r="BF120" i="1"/>
  <c r="BD120" i="1"/>
  <c r="AW120" i="1"/>
  <c r="AP120" i="1"/>
  <c r="I120" i="1" s="1"/>
  <c r="AO120" i="1"/>
  <c r="AL120" i="1"/>
  <c r="AU115" i="1" s="1"/>
  <c r="AK120" i="1"/>
  <c r="AJ120" i="1"/>
  <c r="AH120" i="1"/>
  <c r="AG120" i="1"/>
  <c r="AF120" i="1"/>
  <c r="AE120" i="1"/>
  <c r="AD120" i="1"/>
  <c r="AC120" i="1"/>
  <c r="AB120" i="1"/>
  <c r="Z120" i="1"/>
  <c r="J120" i="1"/>
  <c r="H120" i="1"/>
  <c r="BJ119" i="1"/>
  <c r="BI119" i="1"/>
  <c r="BF119" i="1"/>
  <c r="BD119" i="1"/>
  <c r="AX119" i="1"/>
  <c r="AP119" i="1"/>
  <c r="AO119" i="1"/>
  <c r="AL119" i="1"/>
  <c r="AJ119" i="1"/>
  <c r="AH119" i="1"/>
  <c r="AG119" i="1"/>
  <c r="AF119" i="1"/>
  <c r="AE119" i="1"/>
  <c r="AC119" i="1"/>
  <c r="AB119" i="1"/>
  <c r="Z119" i="1"/>
  <c r="J119" i="1"/>
  <c r="AK119" i="1" s="1"/>
  <c r="I119" i="1"/>
  <c r="BJ117" i="1"/>
  <c r="BF117" i="1"/>
  <c r="BD117" i="1"/>
  <c r="AW117" i="1"/>
  <c r="AP117" i="1"/>
  <c r="AO117" i="1"/>
  <c r="BH117" i="1" s="1"/>
  <c r="AD117" i="1" s="1"/>
  <c r="AL117" i="1"/>
  <c r="AJ117" i="1"/>
  <c r="AH117" i="1"/>
  <c r="AG117" i="1"/>
  <c r="AF117" i="1"/>
  <c r="AC117" i="1"/>
  <c r="AB117" i="1"/>
  <c r="Z117" i="1"/>
  <c r="J117" i="1"/>
  <c r="AK117" i="1" s="1"/>
  <c r="H117" i="1"/>
  <c r="BJ116" i="1"/>
  <c r="BF116" i="1"/>
  <c r="BD116" i="1"/>
  <c r="AX116" i="1"/>
  <c r="AP116" i="1"/>
  <c r="BI116" i="1" s="1"/>
  <c r="AE116" i="1" s="1"/>
  <c r="AO116" i="1"/>
  <c r="BH116" i="1" s="1"/>
  <c r="AL116" i="1"/>
  <c r="AJ116" i="1"/>
  <c r="AH116" i="1"/>
  <c r="AG116" i="1"/>
  <c r="AF116" i="1"/>
  <c r="AD116" i="1"/>
  <c r="AC116" i="1"/>
  <c r="AB116" i="1"/>
  <c r="Z116" i="1"/>
  <c r="J116" i="1"/>
  <c r="AK116" i="1" s="1"/>
  <c r="I116" i="1"/>
  <c r="H116" i="1"/>
  <c r="AS115" i="1"/>
  <c r="J115" i="1"/>
  <c r="BJ114" i="1"/>
  <c r="BF114" i="1"/>
  <c r="BD114" i="1"/>
  <c r="AW114" i="1"/>
  <c r="AP114" i="1"/>
  <c r="AO114" i="1"/>
  <c r="BH114" i="1" s="1"/>
  <c r="AD114" i="1" s="1"/>
  <c r="AL114" i="1"/>
  <c r="AU113" i="1" s="1"/>
  <c r="AJ114" i="1"/>
  <c r="AS113" i="1" s="1"/>
  <c r="AH114" i="1"/>
  <c r="AG114" i="1"/>
  <c r="AF114" i="1"/>
  <c r="AC114" i="1"/>
  <c r="AB114" i="1"/>
  <c r="Z114" i="1"/>
  <c r="J114" i="1"/>
  <c r="AK114" i="1" s="1"/>
  <c r="AT113" i="1" s="1"/>
  <c r="H114" i="1"/>
  <c r="J113" i="1"/>
  <c r="H113" i="1"/>
  <c r="BJ112" i="1"/>
  <c r="BH112" i="1"/>
  <c r="BF112" i="1"/>
  <c r="BD112" i="1"/>
  <c r="AX112" i="1"/>
  <c r="AP112" i="1"/>
  <c r="BI112" i="1" s="1"/>
  <c r="AO112" i="1"/>
  <c r="AW112" i="1" s="1"/>
  <c r="AL112" i="1"/>
  <c r="AK112" i="1"/>
  <c r="AJ112" i="1"/>
  <c r="AH112" i="1"/>
  <c r="AG112" i="1"/>
  <c r="AF112" i="1"/>
  <c r="AE112" i="1"/>
  <c r="AD112" i="1"/>
  <c r="AC112" i="1"/>
  <c r="AB112" i="1"/>
  <c r="Z112" i="1"/>
  <c r="J112" i="1"/>
  <c r="I112" i="1"/>
  <c r="H112" i="1"/>
  <c r="BJ111" i="1"/>
  <c r="BF111" i="1"/>
  <c r="BD111" i="1"/>
  <c r="AP111" i="1"/>
  <c r="AX111" i="1" s="1"/>
  <c r="AO111" i="1"/>
  <c r="BH111" i="1" s="1"/>
  <c r="AD111" i="1" s="1"/>
  <c r="AL111" i="1"/>
  <c r="AK111" i="1"/>
  <c r="AJ111" i="1"/>
  <c r="AH111" i="1"/>
  <c r="AG111" i="1"/>
  <c r="AF111" i="1"/>
  <c r="AC111" i="1"/>
  <c r="AB111" i="1"/>
  <c r="Z111" i="1"/>
  <c r="J111" i="1"/>
  <c r="H111" i="1"/>
  <c r="BJ110" i="1"/>
  <c r="BH110" i="1"/>
  <c r="AD110" i="1" s="1"/>
  <c r="BF110" i="1"/>
  <c r="BD110" i="1"/>
  <c r="AW110" i="1"/>
  <c r="BC110" i="1" s="1"/>
  <c r="AP110" i="1"/>
  <c r="AX110" i="1" s="1"/>
  <c r="AV110" i="1" s="1"/>
  <c r="AO110" i="1"/>
  <c r="H110" i="1" s="1"/>
  <c r="AL110" i="1"/>
  <c r="AU102" i="1" s="1"/>
  <c r="AJ110" i="1"/>
  <c r="AH110" i="1"/>
  <c r="AG110" i="1"/>
  <c r="AF110" i="1"/>
  <c r="AC110" i="1"/>
  <c r="AB110" i="1"/>
  <c r="Z110" i="1"/>
  <c r="J110" i="1"/>
  <c r="AK110" i="1" s="1"/>
  <c r="I110" i="1"/>
  <c r="BJ109" i="1"/>
  <c r="BI109" i="1"/>
  <c r="AE109" i="1" s="1"/>
  <c r="BF109" i="1"/>
  <c r="BD109" i="1"/>
  <c r="AX109" i="1"/>
  <c r="AP109" i="1"/>
  <c r="I109" i="1" s="1"/>
  <c r="AO109" i="1"/>
  <c r="AL109" i="1"/>
  <c r="AJ109" i="1"/>
  <c r="AH109" i="1"/>
  <c r="AG109" i="1"/>
  <c r="AF109" i="1"/>
  <c r="AC109" i="1"/>
  <c r="AB109" i="1"/>
  <c r="Z109" i="1"/>
  <c r="J109" i="1"/>
  <c r="AK109" i="1" s="1"/>
  <c r="BJ108" i="1"/>
  <c r="BH108" i="1"/>
  <c r="BF108" i="1"/>
  <c r="BD108" i="1"/>
  <c r="AW108" i="1"/>
  <c r="AP108" i="1"/>
  <c r="AO108" i="1"/>
  <c r="AL108" i="1"/>
  <c r="AK108" i="1"/>
  <c r="AJ108" i="1"/>
  <c r="AH108" i="1"/>
  <c r="AG108" i="1"/>
  <c r="AF108" i="1"/>
  <c r="AD108" i="1"/>
  <c r="AC108" i="1"/>
  <c r="AB108" i="1"/>
  <c r="Z108" i="1"/>
  <c r="J108" i="1"/>
  <c r="H108" i="1"/>
  <c r="BJ107" i="1"/>
  <c r="BI107" i="1"/>
  <c r="BF107" i="1"/>
  <c r="BD107" i="1"/>
  <c r="AX107" i="1"/>
  <c r="AP107" i="1"/>
  <c r="AO107" i="1"/>
  <c r="H107" i="1" s="1"/>
  <c r="AL107" i="1"/>
  <c r="AJ107" i="1"/>
  <c r="AH107" i="1"/>
  <c r="AG107" i="1"/>
  <c r="AF107" i="1"/>
  <c r="AE107" i="1"/>
  <c r="AC107" i="1"/>
  <c r="AB107" i="1"/>
  <c r="Z107" i="1"/>
  <c r="J107" i="1"/>
  <c r="AK107" i="1" s="1"/>
  <c r="I107" i="1"/>
  <c r="BJ106" i="1"/>
  <c r="BF106" i="1"/>
  <c r="BD106" i="1"/>
  <c r="AW106" i="1"/>
  <c r="AP106" i="1"/>
  <c r="I106" i="1" s="1"/>
  <c r="AO106" i="1"/>
  <c r="H106" i="1" s="1"/>
  <c r="AL106" i="1"/>
  <c r="AJ106" i="1"/>
  <c r="AH106" i="1"/>
  <c r="AG106" i="1"/>
  <c r="AF106" i="1"/>
  <c r="AC106" i="1"/>
  <c r="AB106" i="1"/>
  <c r="Z106" i="1"/>
  <c r="J106" i="1"/>
  <c r="AK106" i="1" s="1"/>
  <c r="BJ105" i="1"/>
  <c r="BH105" i="1"/>
  <c r="BF105" i="1"/>
  <c r="BD105" i="1"/>
  <c r="AX105" i="1"/>
  <c r="AP105" i="1"/>
  <c r="I105" i="1" s="1"/>
  <c r="AO105" i="1"/>
  <c r="AW105" i="1" s="1"/>
  <c r="AL105" i="1"/>
  <c r="AK105" i="1"/>
  <c r="AJ105" i="1"/>
  <c r="AH105" i="1"/>
  <c r="AG105" i="1"/>
  <c r="AF105" i="1"/>
  <c r="AD105" i="1"/>
  <c r="AC105" i="1"/>
  <c r="AB105" i="1"/>
  <c r="Z105" i="1"/>
  <c r="J105" i="1"/>
  <c r="H105" i="1"/>
  <c r="BJ104" i="1"/>
  <c r="BI104" i="1"/>
  <c r="BH104" i="1"/>
  <c r="AD104" i="1" s="1"/>
  <c r="BF104" i="1"/>
  <c r="BD104" i="1"/>
  <c r="BC104" i="1"/>
  <c r="AW104" i="1"/>
  <c r="AV104" i="1" s="1"/>
  <c r="AP104" i="1"/>
  <c r="AX104" i="1" s="1"/>
  <c r="AO104" i="1"/>
  <c r="AL104" i="1"/>
  <c r="AK104" i="1"/>
  <c r="AJ104" i="1"/>
  <c r="AH104" i="1"/>
  <c r="AG104" i="1"/>
  <c r="AF104" i="1"/>
  <c r="AE104" i="1"/>
  <c r="AC104" i="1"/>
  <c r="AB104" i="1"/>
  <c r="Z104" i="1"/>
  <c r="J104" i="1"/>
  <c r="I104" i="1"/>
  <c r="H104" i="1"/>
  <c r="BJ103" i="1"/>
  <c r="BI103" i="1"/>
  <c r="AE103" i="1" s="1"/>
  <c r="BH103" i="1"/>
  <c r="AD103" i="1" s="1"/>
  <c r="BF103" i="1"/>
  <c r="BD103" i="1"/>
  <c r="AX103" i="1"/>
  <c r="AW103" i="1"/>
  <c r="AV103" i="1" s="1"/>
  <c r="AP103" i="1"/>
  <c r="AO103" i="1"/>
  <c r="AL103" i="1"/>
  <c r="AK103" i="1"/>
  <c r="AJ103" i="1"/>
  <c r="AS102" i="1" s="1"/>
  <c r="AH103" i="1"/>
  <c r="AG103" i="1"/>
  <c r="AF103" i="1"/>
  <c r="AC103" i="1"/>
  <c r="AB103" i="1"/>
  <c r="Z103" i="1"/>
  <c r="J103" i="1"/>
  <c r="I103" i="1"/>
  <c r="H103" i="1"/>
  <c r="J102" i="1"/>
  <c r="BJ101" i="1"/>
  <c r="BH101" i="1"/>
  <c r="BF101" i="1"/>
  <c r="BD101" i="1"/>
  <c r="AW101" i="1"/>
  <c r="AP101" i="1"/>
  <c r="AO101" i="1"/>
  <c r="AL101" i="1"/>
  <c r="AK101" i="1"/>
  <c r="AJ101" i="1"/>
  <c r="AH101" i="1"/>
  <c r="AG101" i="1"/>
  <c r="AF101" i="1"/>
  <c r="AE101" i="1"/>
  <c r="AD101" i="1"/>
  <c r="AC101" i="1"/>
  <c r="AB101" i="1"/>
  <c r="Z101" i="1"/>
  <c r="J101" i="1"/>
  <c r="H101" i="1"/>
  <c r="BJ100" i="1"/>
  <c r="BI100" i="1"/>
  <c r="BF100" i="1"/>
  <c r="BD100" i="1"/>
  <c r="AX100" i="1"/>
  <c r="AP100" i="1"/>
  <c r="AO100" i="1"/>
  <c r="H100" i="1" s="1"/>
  <c r="AL100" i="1"/>
  <c r="AJ100" i="1"/>
  <c r="AH100" i="1"/>
  <c r="AG100" i="1"/>
  <c r="AF100" i="1"/>
  <c r="AE100" i="1"/>
  <c r="AC100" i="1"/>
  <c r="AB100" i="1"/>
  <c r="Z100" i="1"/>
  <c r="J100" i="1"/>
  <c r="AK100" i="1" s="1"/>
  <c r="I100" i="1"/>
  <c r="BJ99" i="1"/>
  <c r="BF99" i="1"/>
  <c r="BD99" i="1"/>
  <c r="AW99" i="1"/>
  <c r="AP99" i="1"/>
  <c r="I99" i="1" s="1"/>
  <c r="AO99" i="1"/>
  <c r="H99" i="1" s="1"/>
  <c r="AL99" i="1"/>
  <c r="AJ99" i="1"/>
  <c r="AH99" i="1"/>
  <c r="AG99" i="1"/>
  <c r="AF99" i="1"/>
  <c r="AC99" i="1"/>
  <c r="AB99" i="1"/>
  <c r="Z99" i="1"/>
  <c r="J99" i="1"/>
  <c r="AK99" i="1" s="1"/>
  <c r="BJ98" i="1"/>
  <c r="BH98" i="1"/>
  <c r="BF98" i="1"/>
  <c r="BD98" i="1"/>
  <c r="AX98" i="1"/>
  <c r="AP98" i="1"/>
  <c r="I98" i="1" s="1"/>
  <c r="AO98" i="1"/>
  <c r="AW98" i="1" s="1"/>
  <c r="AL98" i="1"/>
  <c r="AJ98" i="1"/>
  <c r="AH98" i="1"/>
  <c r="AG98" i="1"/>
  <c r="AF98" i="1"/>
  <c r="AD98" i="1"/>
  <c r="AC98" i="1"/>
  <c r="AB98" i="1"/>
  <c r="Z98" i="1"/>
  <c r="J98" i="1"/>
  <c r="AK98" i="1" s="1"/>
  <c r="AT95" i="1" s="1"/>
  <c r="H98" i="1"/>
  <c r="BJ97" i="1"/>
  <c r="BI97" i="1"/>
  <c r="BH97" i="1"/>
  <c r="AD97" i="1" s="1"/>
  <c r="BF97" i="1"/>
  <c r="BD97" i="1"/>
  <c r="AW97" i="1"/>
  <c r="AP97" i="1"/>
  <c r="I97" i="1" s="1"/>
  <c r="AO97" i="1"/>
  <c r="AL97" i="1"/>
  <c r="AK97" i="1"/>
  <c r="AJ97" i="1"/>
  <c r="AH97" i="1"/>
  <c r="AG97" i="1"/>
  <c r="AF97" i="1"/>
  <c r="AE97" i="1"/>
  <c r="AC97" i="1"/>
  <c r="AB97" i="1"/>
  <c r="Z97" i="1"/>
  <c r="J97" i="1"/>
  <c r="H97" i="1"/>
  <c r="BJ96" i="1"/>
  <c r="BI96" i="1"/>
  <c r="AE96" i="1" s="1"/>
  <c r="BH96" i="1"/>
  <c r="AD96" i="1" s="1"/>
  <c r="BF96" i="1"/>
  <c r="BD96" i="1"/>
  <c r="AX96" i="1"/>
  <c r="AW96" i="1"/>
  <c r="AV96" i="1" s="1"/>
  <c r="AP96" i="1"/>
  <c r="AO96" i="1"/>
  <c r="AL96" i="1"/>
  <c r="AK96" i="1"/>
  <c r="AJ96" i="1"/>
  <c r="AS95" i="1" s="1"/>
  <c r="AH96" i="1"/>
  <c r="AG96" i="1"/>
  <c r="AF96" i="1"/>
  <c r="AC96" i="1"/>
  <c r="AB96" i="1"/>
  <c r="Z96" i="1"/>
  <c r="J96" i="1"/>
  <c r="I96" i="1"/>
  <c r="H96" i="1"/>
  <c r="H95" i="1" s="1"/>
  <c r="AU95" i="1"/>
  <c r="J95" i="1"/>
  <c r="BJ94" i="1"/>
  <c r="BH94" i="1"/>
  <c r="BF94" i="1"/>
  <c r="BD94" i="1"/>
  <c r="AW94" i="1"/>
  <c r="AP94" i="1"/>
  <c r="AO94" i="1"/>
  <c r="AL94" i="1"/>
  <c r="AK94" i="1"/>
  <c r="AJ94" i="1"/>
  <c r="AH94" i="1"/>
  <c r="AG94" i="1"/>
  <c r="AF94" i="1"/>
  <c r="AE94" i="1"/>
  <c r="AD94" i="1"/>
  <c r="AC94" i="1"/>
  <c r="AB94" i="1"/>
  <c r="Z94" i="1"/>
  <c r="J94" i="1"/>
  <c r="H94" i="1"/>
  <c r="BJ92" i="1"/>
  <c r="BI92" i="1"/>
  <c r="BF92" i="1"/>
  <c r="BD92" i="1"/>
  <c r="AX92" i="1"/>
  <c r="AP92" i="1"/>
  <c r="AO92" i="1"/>
  <c r="H92" i="1" s="1"/>
  <c r="AL92" i="1"/>
  <c r="AJ92" i="1"/>
  <c r="AH92" i="1"/>
  <c r="AG92" i="1"/>
  <c r="AF92" i="1"/>
  <c r="AE92" i="1"/>
  <c r="AC92" i="1"/>
  <c r="AB92" i="1"/>
  <c r="Z92" i="1"/>
  <c r="J92" i="1"/>
  <c r="AK92" i="1" s="1"/>
  <c r="I92" i="1"/>
  <c r="BJ90" i="1"/>
  <c r="BF90" i="1"/>
  <c r="BD90" i="1"/>
  <c r="AW90" i="1"/>
  <c r="AP90" i="1"/>
  <c r="I90" i="1" s="1"/>
  <c r="AO90" i="1"/>
  <c r="H90" i="1" s="1"/>
  <c r="AL90" i="1"/>
  <c r="AJ90" i="1"/>
  <c r="AH90" i="1"/>
  <c r="AG90" i="1"/>
  <c r="AF90" i="1"/>
  <c r="AC90" i="1"/>
  <c r="AB90" i="1"/>
  <c r="Z90" i="1"/>
  <c r="J90" i="1"/>
  <c r="AK90" i="1" s="1"/>
  <c r="BJ89" i="1"/>
  <c r="BH89" i="1"/>
  <c r="BF89" i="1"/>
  <c r="BD89" i="1"/>
  <c r="AX89" i="1"/>
  <c r="AP89" i="1"/>
  <c r="I89" i="1" s="1"/>
  <c r="AO89" i="1"/>
  <c r="H89" i="1" s="1"/>
  <c r="AL89" i="1"/>
  <c r="AJ89" i="1"/>
  <c r="AH89" i="1"/>
  <c r="AG89" i="1"/>
  <c r="AF89" i="1"/>
  <c r="AD89" i="1"/>
  <c r="AC89" i="1"/>
  <c r="AB89" i="1"/>
  <c r="Z89" i="1"/>
  <c r="J89" i="1"/>
  <c r="AK89" i="1" s="1"/>
  <c r="BJ88" i="1"/>
  <c r="BI88" i="1"/>
  <c r="BH88" i="1"/>
  <c r="AD88" i="1" s="1"/>
  <c r="BF88" i="1"/>
  <c r="BD88" i="1"/>
  <c r="AW88" i="1"/>
  <c r="AP88" i="1"/>
  <c r="I88" i="1" s="1"/>
  <c r="AO88" i="1"/>
  <c r="AL88" i="1"/>
  <c r="AK88" i="1"/>
  <c r="AJ88" i="1"/>
  <c r="AH88" i="1"/>
  <c r="AG88" i="1"/>
  <c r="AF88" i="1"/>
  <c r="AE88" i="1"/>
  <c r="AC88" i="1"/>
  <c r="AB88" i="1"/>
  <c r="Z88" i="1"/>
  <c r="J88" i="1"/>
  <c r="H88" i="1"/>
  <c r="BJ87" i="1"/>
  <c r="BI87" i="1"/>
  <c r="AE87" i="1" s="1"/>
  <c r="BH87" i="1"/>
  <c r="AD87" i="1" s="1"/>
  <c r="BF87" i="1"/>
  <c r="BD87" i="1"/>
  <c r="AX87" i="1"/>
  <c r="AW87" i="1"/>
  <c r="AV87" i="1" s="1"/>
  <c r="AP87" i="1"/>
  <c r="AO87" i="1"/>
  <c r="AL87" i="1"/>
  <c r="AK87" i="1"/>
  <c r="AJ87" i="1"/>
  <c r="AH87" i="1"/>
  <c r="AG87" i="1"/>
  <c r="AF87" i="1"/>
  <c r="AC87" i="1"/>
  <c r="AB87" i="1"/>
  <c r="Z87" i="1"/>
  <c r="J87" i="1"/>
  <c r="I87" i="1"/>
  <c r="H87" i="1"/>
  <c r="BJ86" i="1"/>
  <c r="BI86" i="1"/>
  <c r="AE86" i="1" s="1"/>
  <c r="BH86" i="1"/>
  <c r="AD86" i="1" s="1"/>
  <c r="BF86" i="1"/>
  <c r="BD86" i="1"/>
  <c r="AX86" i="1"/>
  <c r="AP86" i="1"/>
  <c r="AO86" i="1"/>
  <c r="AW86" i="1" s="1"/>
  <c r="AL86" i="1"/>
  <c r="AK86" i="1"/>
  <c r="AJ86" i="1"/>
  <c r="AH86" i="1"/>
  <c r="AG86" i="1"/>
  <c r="AF86" i="1"/>
  <c r="AC86" i="1"/>
  <c r="AB86" i="1"/>
  <c r="Z86" i="1"/>
  <c r="J86" i="1"/>
  <c r="I86" i="1"/>
  <c r="H86" i="1"/>
  <c r="BJ85" i="1"/>
  <c r="BI85" i="1"/>
  <c r="AE85" i="1" s="1"/>
  <c r="BH85" i="1"/>
  <c r="AD85" i="1" s="1"/>
  <c r="BF85" i="1"/>
  <c r="BD85" i="1"/>
  <c r="AP85" i="1"/>
  <c r="AX85" i="1" s="1"/>
  <c r="AO85" i="1"/>
  <c r="AW85" i="1" s="1"/>
  <c r="AL85" i="1"/>
  <c r="AK85" i="1"/>
  <c r="AJ85" i="1"/>
  <c r="AH85" i="1"/>
  <c r="AG85" i="1"/>
  <c r="AF85" i="1"/>
  <c r="AC85" i="1"/>
  <c r="AB85" i="1"/>
  <c r="Z85" i="1"/>
  <c r="J85" i="1"/>
  <c r="I85" i="1"/>
  <c r="H85" i="1"/>
  <c r="BJ84" i="1"/>
  <c r="BI84" i="1"/>
  <c r="AE84" i="1" s="1"/>
  <c r="BF84" i="1"/>
  <c r="BD84" i="1"/>
  <c r="AP84" i="1"/>
  <c r="AX84" i="1" s="1"/>
  <c r="AO84" i="1"/>
  <c r="AW84" i="1" s="1"/>
  <c r="AL84" i="1"/>
  <c r="AJ84" i="1"/>
  <c r="AH84" i="1"/>
  <c r="AG84" i="1"/>
  <c r="AF84" i="1"/>
  <c r="AC84" i="1"/>
  <c r="AB84" i="1"/>
  <c r="Z84" i="1"/>
  <c r="J84" i="1"/>
  <c r="AK84" i="1" s="1"/>
  <c r="I84" i="1"/>
  <c r="BJ83" i="1"/>
  <c r="BF83" i="1"/>
  <c r="BD83" i="1"/>
  <c r="AP83" i="1"/>
  <c r="AX83" i="1" s="1"/>
  <c r="AO83" i="1"/>
  <c r="AW83" i="1" s="1"/>
  <c r="AL83" i="1"/>
  <c r="AK83" i="1"/>
  <c r="AJ83" i="1"/>
  <c r="AH83" i="1"/>
  <c r="AG83" i="1"/>
  <c r="AF83" i="1"/>
  <c r="AC83" i="1"/>
  <c r="AB83" i="1"/>
  <c r="Z83" i="1"/>
  <c r="J83" i="1"/>
  <c r="H83" i="1"/>
  <c r="BJ82" i="1"/>
  <c r="BF82" i="1"/>
  <c r="BD82" i="1"/>
  <c r="AW82" i="1"/>
  <c r="BC82" i="1" s="1"/>
  <c r="AP82" i="1"/>
  <c r="AX82" i="1" s="1"/>
  <c r="AV82" i="1" s="1"/>
  <c r="AO82" i="1"/>
  <c r="BH82" i="1" s="1"/>
  <c r="AD82" i="1" s="1"/>
  <c r="AL82" i="1"/>
  <c r="AJ82" i="1"/>
  <c r="AH82" i="1"/>
  <c r="AG82" i="1"/>
  <c r="AF82" i="1"/>
  <c r="AC82" i="1"/>
  <c r="AB82" i="1"/>
  <c r="Z82" i="1"/>
  <c r="J82" i="1"/>
  <c r="AK82" i="1" s="1"/>
  <c r="I82" i="1"/>
  <c r="BJ80" i="1"/>
  <c r="BF80" i="1"/>
  <c r="BD80" i="1"/>
  <c r="AX80" i="1"/>
  <c r="AP80" i="1"/>
  <c r="BI80" i="1" s="1"/>
  <c r="AE80" i="1" s="1"/>
  <c r="AO80" i="1"/>
  <c r="AL80" i="1"/>
  <c r="AJ80" i="1"/>
  <c r="AH80" i="1"/>
  <c r="AG80" i="1"/>
  <c r="AF80" i="1"/>
  <c r="AC80" i="1"/>
  <c r="AB80" i="1"/>
  <c r="Z80" i="1"/>
  <c r="J80" i="1"/>
  <c r="AK80" i="1" s="1"/>
  <c r="BJ79" i="1"/>
  <c r="BH79" i="1"/>
  <c r="BF79" i="1"/>
  <c r="BD79" i="1"/>
  <c r="AW79" i="1"/>
  <c r="AP79" i="1"/>
  <c r="AO79" i="1"/>
  <c r="AL79" i="1"/>
  <c r="AK79" i="1"/>
  <c r="AJ79" i="1"/>
  <c r="AH79" i="1"/>
  <c r="AG79" i="1"/>
  <c r="AF79" i="1"/>
  <c r="AD79" i="1"/>
  <c r="AC79" i="1"/>
  <c r="AB79" i="1"/>
  <c r="Z79" i="1"/>
  <c r="J79" i="1"/>
  <c r="H79" i="1"/>
  <c r="BJ78" i="1"/>
  <c r="BI78" i="1"/>
  <c r="BF78" i="1"/>
  <c r="BD78" i="1"/>
  <c r="AX78" i="1"/>
  <c r="AP78" i="1"/>
  <c r="AO78" i="1"/>
  <c r="H78" i="1" s="1"/>
  <c r="AL78" i="1"/>
  <c r="AJ78" i="1"/>
  <c r="AH78" i="1"/>
  <c r="AG78" i="1"/>
  <c r="AF78" i="1"/>
  <c r="AE78" i="1"/>
  <c r="AC78" i="1"/>
  <c r="AB78" i="1"/>
  <c r="Z78" i="1"/>
  <c r="J78" i="1"/>
  <c r="AK78" i="1" s="1"/>
  <c r="I78" i="1"/>
  <c r="BJ76" i="1"/>
  <c r="BF76" i="1"/>
  <c r="BD76" i="1"/>
  <c r="AW76" i="1"/>
  <c r="AP76" i="1"/>
  <c r="I76" i="1" s="1"/>
  <c r="AO76" i="1"/>
  <c r="H76" i="1" s="1"/>
  <c r="AL76" i="1"/>
  <c r="AJ76" i="1"/>
  <c r="AH76" i="1"/>
  <c r="AG76" i="1"/>
  <c r="AF76" i="1"/>
  <c r="AC76" i="1"/>
  <c r="AB76" i="1"/>
  <c r="Z76" i="1"/>
  <c r="J76" i="1"/>
  <c r="AK76" i="1" s="1"/>
  <c r="BJ75" i="1"/>
  <c r="BH75" i="1"/>
  <c r="BF75" i="1"/>
  <c r="BD75" i="1"/>
  <c r="AX75" i="1"/>
  <c r="AP75" i="1"/>
  <c r="I75" i="1" s="1"/>
  <c r="AO75" i="1"/>
  <c r="H75" i="1" s="1"/>
  <c r="AL75" i="1"/>
  <c r="AJ75" i="1"/>
  <c r="AH75" i="1"/>
  <c r="AG75" i="1"/>
  <c r="AF75" i="1"/>
  <c r="AD75" i="1"/>
  <c r="AC75" i="1"/>
  <c r="AB75" i="1"/>
  <c r="Z75" i="1"/>
  <c r="J75" i="1"/>
  <c r="AK75" i="1" s="1"/>
  <c r="BJ74" i="1"/>
  <c r="BI74" i="1"/>
  <c r="BH74" i="1"/>
  <c r="AD74" i="1" s="1"/>
  <c r="BF74" i="1"/>
  <c r="BD74" i="1"/>
  <c r="AW74" i="1"/>
  <c r="AP74" i="1"/>
  <c r="I74" i="1" s="1"/>
  <c r="AO74" i="1"/>
  <c r="AL74" i="1"/>
  <c r="AK74" i="1"/>
  <c r="AJ74" i="1"/>
  <c r="AH74" i="1"/>
  <c r="AG74" i="1"/>
  <c r="AF74" i="1"/>
  <c r="AE74" i="1"/>
  <c r="AC74" i="1"/>
  <c r="AB74" i="1"/>
  <c r="Z74" i="1"/>
  <c r="J74" i="1"/>
  <c r="H74" i="1"/>
  <c r="BJ73" i="1"/>
  <c r="BI73" i="1"/>
  <c r="AE73" i="1" s="1"/>
  <c r="BH73" i="1"/>
  <c r="AD73" i="1" s="1"/>
  <c r="BF73" i="1"/>
  <c r="BD73" i="1"/>
  <c r="AX73" i="1"/>
  <c r="AW73" i="1"/>
  <c r="AV73" i="1" s="1"/>
  <c r="AP73" i="1"/>
  <c r="AO73" i="1"/>
  <c r="AL73" i="1"/>
  <c r="AK73" i="1"/>
  <c r="AJ73" i="1"/>
  <c r="AH73" i="1"/>
  <c r="AG73" i="1"/>
  <c r="AF73" i="1"/>
  <c r="AC73" i="1"/>
  <c r="AB73" i="1"/>
  <c r="Z73" i="1"/>
  <c r="J73" i="1"/>
  <c r="I73" i="1"/>
  <c r="H73" i="1"/>
  <c r="BJ72" i="1"/>
  <c r="BI72" i="1"/>
  <c r="AE72" i="1" s="1"/>
  <c r="BH72" i="1"/>
  <c r="AD72" i="1" s="1"/>
  <c r="BF72" i="1"/>
  <c r="BD72" i="1"/>
  <c r="AX72" i="1"/>
  <c r="AP72" i="1"/>
  <c r="AO72" i="1"/>
  <c r="AW72" i="1" s="1"/>
  <c r="AL72" i="1"/>
  <c r="AK72" i="1"/>
  <c r="AJ72" i="1"/>
  <c r="AH72" i="1"/>
  <c r="AG72" i="1"/>
  <c r="AF72" i="1"/>
  <c r="AC72" i="1"/>
  <c r="AB72" i="1"/>
  <c r="Z72" i="1"/>
  <c r="J72" i="1"/>
  <c r="I72" i="1"/>
  <c r="H72" i="1"/>
  <c r="BJ71" i="1"/>
  <c r="BI71" i="1"/>
  <c r="AE71" i="1" s="1"/>
  <c r="BH71" i="1"/>
  <c r="AD71" i="1" s="1"/>
  <c r="BF71" i="1"/>
  <c r="BD71" i="1"/>
  <c r="AP71" i="1"/>
  <c r="AX71" i="1" s="1"/>
  <c r="AO71" i="1"/>
  <c r="AW71" i="1" s="1"/>
  <c r="AL71" i="1"/>
  <c r="AK71" i="1"/>
  <c r="AJ71" i="1"/>
  <c r="AH71" i="1"/>
  <c r="AG71" i="1"/>
  <c r="AF71" i="1"/>
  <c r="AC71" i="1"/>
  <c r="AB71" i="1"/>
  <c r="Z71" i="1"/>
  <c r="J71" i="1"/>
  <c r="I71" i="1"/>
  <c r="H71" i="1"/>
  <c r="BJ69" i="1"/>
  <c r="BI69" i="1"/>
  <c r="AE69" i="1" s="1"/>
  <c r="BF69" i="1"/>
  <c r="BD69" i="1"/>
  <c r="AP69" i="1"/>
  <c r="AX69" i="1" s="1"/>
  <c r="AO69" i="1"/>
  <c r="AW69" i="1" s="1"/>
  <c r="AL69" i="1"/>
  <c r="AJ69" i="1"/>
  <c r="AH69" i="1"/>
  <c r="AG69" i="1"/>
  <c r="AF69" i="1"/>
  <c r="AC69" i="1"/>
  <c r="AB69" i="1"/>
  <c r="Z69" i="1"/>
  <c r="J69" i="1"/>
  <c r="AK69" i="1" s="1"/>
  <c r="I69" i="1"/>
  <c r="BJ68" i="1"/>
  <c r="BF68" i="1"/>
  <c r="BD68" i="1"/>
  <c r="AP68" i="1"/>
  <c r="AX68" i="1" s="1"/>
  <c r="AO68" i="1"/>
  <c r="AW68" i="1" s="1"/>
  <c r="AL68" i="1"/>
  <c r="AK68" i="1"/>
  <c r="AJ68" i="1"/>
  <c r="AH68" i="1"/>
  <c r="AG68" i="1"/>
  <c r="AF68" i="1"/>
  <c r="AC68" i="1"/>
  <c r="AB68" i="1"/>
  <c r="Z68" i="1"/>
  <c r="J68" i="1"/>
  <c r="H68" i="1"/>
  <c r="BJ67" i="1"/>
  <c r="BF67" i="1"/>
  <c r="BD67" i="1"/>
  <c r="AW67" i="1"/>
  <c r="AP67" i="1"/>
  <c r="AX67" i="1" s="1"/>
  <c r="AV67" i="1" s="1"/>
  <c r="AO67" i="1"/>
  <c r="BH67" i="1" s="1"/>
  <c r="AD67" i="1" s="1"/>
  <c r="AL67" i="1"/>
  <c r="AJ67" i="1"/>
  <c r="AH67" i="1"/>
  <c r="AG67" i="1"/>
  <c r="AF67" i="1"/>
  <c r="AC67" i="1"/>
  <c r="AB67" i="1"/>
  <c r="Z67" i="1"/>
  <c r="J67" i="1"/>
  <c r="AK67" i="1" s="1"/>
  <c r="I67" i="1"/>
  <c r="BJ66" i="1"/>
  <c r="BF66" i="1"/>
  <c r="BD66" i="1"/>
  <c r="AX66" i="1"/>
  <c r="AP66" i="1"/>
  <c r="BI66" i="1" s="1"/>
  <c r="AE66" i="1" s="1"/>
  <c r="AO66" i="1"/>
  <c r="AL66" i="1"/>
  <c r="AJ66" i="1"/>
  <c r="AH66" i="1"/>
  <c r="AG66" i="1"/>
  <c r="AF66" i="1"/>
  <c r="AC66" i="1"/>
  <c r="AB66" i="1"/>
  <c r="Z66" i="1"/>
  <c r="J66" i="1"/>
  <c r="BJ65" i="1"/>
  <c r="BH65" i="1"/>
  <c r="BF65" i="1"/>
  <c r="BD65" i="1"/>
  <c r="AW65" i="1"/>
  <c r="AP65" i="1"/>
  <c r="AO65" i="1"/>
  <c r="AL65" i="1"/>
  <c r="AK65" i="1"/>
  <c r="AJ65" i="1"/>
  <c r="AH65" i="1"/>
  <c r="AG65" i="1"/>
  <c r="AF65" i="1"/>
  <c r="AD65" i="1"/>
  <c r="AC65" i="1"/>
  <c r="AB65" i="1"/>
  <c r="Z65" i="1"/>
  <c r="J65" i="1"/>
  <c r="H65" i="1"/>
  <c r="BJ63" i="1"/>
  <c r="Z63" i="1" s="1"/>
  <c r="BI63" i="1"/>
  <c r="BH63" i="1"/>
  <c r="BF63" i="1"/>
  <c r="BD63" i="1"/>
  <c r="AP63" i="1"/>
  <c r="AX63" i="1" s="1"/>
  <c r="AO63" i="1"/>
  <c r="AW63" i="1" s="1"/>
  <c r="AL63" i="1"/>
  <c r="AK63" i="1"/>
  <c r="AJ63" i="1"/>
  <c r="AH63" i="1"/>
  <c r="AG63" i="1"/>
  <c r="AF63" i="1"/>
  <c r="AE63" i="1"/>
  <c r="AD63" i="1"/>
  <c r="AC63" i="1"/>
  <c r="AB63" i="1"/>
  <c r="J63" i="1"/>
  <c r="I63" i="1"/>
  <c r="H63" i="1"/>
  <c r="BJ62" i="1"/>
  <c r="BI62" i="1"/>
  <c r="AE62" i="1" s="1"/>
  <c r="BF62" i="1"/>
  <c r="BD62" i="1"/>
  <c r="AP62" i="1"/>
  <c r="AX62" i="1" s="1"/>
  <c r="AO62" i="1"/>
  <c r="AW62" i="1" s="1"/>
  <c r="AL62" i="1"/>
  <c r="AJ62" i="1"/>
  <c r="AS53" i="1" s="1"/>
  <c r="AH62" i="1"/>
  <c r="AG62" i="1"/>
  <c r="AF62" i="1"/>
  <c r="AC62" i="1"/>
  <c r="AB62" i="1"/>
  <c r="Z62" i="1"/>
  <c r="J62" i="1"/>
  <c r="AK62" i="1" s="1"/>
  <c r="I62" i="1"/>
  <c r="BJ61" i="1"/>
  <c r="BF61" i="1"/>
  <c r="BD61" i="1"/>
  <c r="AP61" i="1"/>
  <c r="AX61" i="1" s="1"/>
  <c r="AO61" i="1"/>
  <c r="AW61" i="1" s="1"/>
  <c r="AL61" i="1"/>
  <c r="AK61" i="1"/>
  <c r="AJ61" i="1"/>
  <c r="AH61" i="1"/>
  <c r="AG61" i="1"/>
  <c r="AF61" i="1"/>
  <c r="AC61" i="1"/>
  <c r="AB61" i="1"/>
  <c r="Z61" i="1"/>
  <c r="J61" i="1"/>
  <c r="H61" i="1"/>
  <c r="BJ60" i="1"/>
  <c r="BF60" i="1"/>
  <c r="BD60" i="1"/>
  <c r="AW60" i="1"/>
  <c r="BC60" i="1" s="1"/>
  <c r="AP60" i="1"/>
  <c r="AX60" i="1" s="1"/>
  <c r="AV60" i="1" s="1"/>
  <c r="AO60" i="1"/>
  <c r="BH60" i="1" s="1"/>
  <c r="AD60" i="1" s="1"/>
  <c r="AL60" i="1"/>
  <c r="AU53" i="1" s="1"/>
  <c r="AJ60" i="1"/>
  <c r="AH60" i="1"/>
  <c r="AG60" i="1"/>
  <c r="AF60" i="1"/>
  <c r="AC60" i="1"/>
  <c r="AB60" i="1"/>
  <c r="Z60" i="1"/>
  <c r="J60" i="1"/>
  <c r="AK60" i="1" s="1"/>
  <c r="I60" i="1"/>
  <c r="BJ59" i="1"/>
  <c r="BF59" i="1"/>
  <c r="BD59" i="1"/>
  <c r="AX59" i="1"/>
  <c r="AP59" i="1"/>
  <c r="BI59" i="1" s="1"/>
  <c r="AE59" i="1" s="1"/>
  <c r="AO59" i="1"/>
  <c r="AL59" i="1"/>
  <c r="AJ59" i="1"/>
  <c r="AH59" i="1"/>
  <c r="AG59" i="1"/>
  <c r="AF59" i="1"/>
  <c r="AC59" i="1"/>
  <c r="AB59" i="1"/>
  <c r="Z59" i="1"/>
  <c r="J59" i="1"/>
  <c r="AK59" i="1" s="1"/>
  <c r="BJ58" i="1"/>
  <c r="BH58" i="1"/>
  <c r="BF58" i="1"/>
  <c r="BD58" i="1"/>
  <c r="AW58" i="1"/>
  <c r="AP58" i="1"/>
  <c r="AO58" i="1"/>
  <c r="AL58" i="1"/>
  <c r="AK58" i="1"/>
  <c r="AJ58" i="1"/>
  <c r="AH58" i="1"/>
  <c r="AG58" i="1"/>
  <c r="AF58" i="1"/>
  <c r="AD58" i="1"/>
  <c r="AC58" i="1"/>
  <c r="AB58" i="1"/>
  <c r="Z58" i="1"/>
  <c r="J58" i="1"/>
  <c r="H58" i="1"/>
  <c r="BJ56" i="1"/>
  <c r="BI56" i="1"/>
  <c r="BF56" i="1"/>
  <c r="BD56" i="1"/>
  <c r="AX56" i="1"/>
  <c r="AP56" i="1"/>
  <c r="AO56" i="1"/>
  <c r="H56" i="1" s="1"/>
  <c r="AL56" i="1"/>
  <c r="AJ56" i="1"/>
  <c r="AH56" i="1"/>
  <c r="AG56" i="1"/>
  <c r="AF56" i="1"/>
  <c r="AE56" i="1"/>
  <c r="AC56" i="1"/>
  <c r="AB56" i="1"/>
  <c r="Z56" i="1"/>
  <c r="J56" i="1"/>
  <c r="AK56" i="1" s="1"/>
  <c r="I56" i="1"/>
  <c r="BJ55" i="1"/>
  <c r="BF55" i="1"/>
  <c r="BD55" i="1"/>
  <c r="AW55" i="1"/>
  <c r="AP55" i="1"/>
  <c r="I55" i="1" s="1"/>
  <c r="AO55" i="1"/>
  <c r="H55" i="1" s="1"/>
  <c r="AL55" i="1"/>
  <c r="AJ55" i="1"/>
  <c r="AH55" i="1"/>
  <c r="AG55" i="1"/>
  <c r="AF55" i="1"/>
  <c r="AC55" i="1"/>
  <c r="AB55" i="1"/>
  <c r="Z55" i="1"/>
  <c r="J55" i="1"/>
  <c r="AK55" i="1" s="1"/>
  <c r="BJ54" i="1"/>
  <c r="BH54" i="1"/>
  <c r="BF54" i="1"/>
  <c r="BD54" i="1"/>
  <c r="AX54" i="1"/>
  <c r="AP54" i="1"/>
  <c r="I54" i="1" s="1"/>
  <c r="AO54" i="1"/>
  <c r="H54" i="1" s="1"/>
  <c r="AL54" i="1"/>
  <c r="AJ54" i="1"/>
  <c r="AH54" i="1"/>
  <c r="AG54" i="1"/>
  <c r="AF54" i="1"/>
  <c r="AD54" i="1"/>
  <c r="AC54" i="1"/>
  <c r="AB54" i="1"/>
  <c r="Z54" i="1"/>
  <c r="J54" i="1"/>
  <c r="AK54" i="1" s="1"/>
  <c r="BJ52" i="1"/>
  <c r="BF52" i="1"/>
  <c r="BD52" i="1"/>
  <c r="AW52" i="1"/>
  <c r="AP52" i="1"/>
  <c r="AO52" i="1"/>
  <c r="BH52" i="1" s="1"/>
  <c r="AL52" i="1"/>
  <c r="AJ52" i="1"/>
  <c r="AH52" i="1"/>
  <c r="AG52" i="1"/>
  <c r="AF52" i="1"/>
  <c r="AE52" i="1"/>
  <c r="AD52" i="1"/>
  <c r="AC52" i="1"/>
  <c r="AB52" i="1"/>
  <c r="Z52" i="1"/>
  <c r="J52" i="1"/>
  <c r="AK52" i="1" s="1"/>
  <c r="I52" i="1"/>
  <c r="BJ51" i="1"/>
  <c r="BF51" i="1"/>
  <c r="BD51" i="1"/>
  <c r="AX51" i="1"/>
  <c r="AP51" i="1"/>
  <c r="BI51" i="1" s="1"/>
  <c r="AE51" i="1" s="1"/>
  <c r="AO51" i="1"/>
  <c r="AL51" i="1"/>
  <c r="AJ51" i="1"/>
  <c r="AH51" i="1"/>
  <c r="AG51" i="1"/>
  <c r="AF51" i="1"/>
  <c r="AC51" i="1"/>
  <c r="AB51" i="1"/>
  <c r="Z51" i="1"/>
  <c r="J51" i="1"/>
  <c r="AK51" i="1" s="1"/>
  <c r="BJ50" i="1"/>
  <c r="BH50" i="1"/>
  <c r="BF50" i="1"/>
  <c r="BD50" i="1"/>
  <c r="AW50" i="1"/>
  <c r="AP50" i="1"/>
  <c r="AO50" i="1"/>
  <c r="AL50" i="1"/>
  <c r="AK50" i="1"/>
  <c r="AJ50" i="1"/>
  <c r="AH50" i="1"/>
  <c r="AG50" i="1"/>
  <c r="AF50" i="1"/>
  <c r="AD50" i="1"/>
  <c r="AC50" i="1"/>
  <c r="AB50" i="1"/>
  <c r="Z50" i="1"/>
  <c r="J50" i="1"/>
  <c r="H50" i="1"/>
  <c r="BJ49" i="1"/>
  <c r="BI49" i="1"/>
  <c r="BF49" i="1"/>
  <c r="BD49" i="1"/>
  <c r="AX49" i="1"/>
  <c r="BC49" i="1" s="1"/>
  <c r="AW49" i="1"/>
  <c r="AP49" i="1"/>
  <c r="AO49" i="1"/>
  <c r="H49" i="1" s="1"/>
  <c r="AL49" i="1"/>
  <c r="AJ49" i="1"/>
  <c r="AH49" i="1"/>
  <c r="AG49" i="1"/>
  <c r="AF49" i="1"/>
  <c r="AE49" i="1"/>
  <c r="AC49" i="1"/>
  <c r="AB49" i="1"/>
  <c r="Z49" i="1"/>
  <c r="J49" i="1"/>
  <c r="AK49" i="1" s="1"/>
  <c r="I49" i="1"/>
  <c r="BJ48" i="1"/>
  <c r="BH48" i="1"/>
  <c r="BF48" i="1"/>
  <c r="BD48" i="1"/>
  <c r="AX48" i="1"/>
  <c r="AW48" i="1"/>
  <c r="AV48" i="1" s="1"/>
  <c r="AP48" i="1"/>
  <c r="I48" i="1" s="1"/>
  <c r="AO48" i="1"/>
  <c r="H48" i="1" s="1"/>
  <c r="AL48" i="1"/>
  <c r="AJ48" i="1"/>
  <c r="AH48" i="1"/>
  <c r="AG48" i="1"/>
  <c r="AF48" i="1"/>
  <c r="AD48" i="1"/>
  <c r="AC48" i="1"/>
  <c r="AB48" i="1"/>
  <c r="Z48" i="1"/>
  <c r="J48" i="1"/>
  <c r="AK48" i="1" s="1"/>
  <c r="AT47" i="1" s="1"/>
  <c r="AS47" i="1"/>
  <c r="BJ46" i="1"/>
  <c r="BF46" i="1"/>
  <c r="BD46" i="1"/>
  <c r="AP46" i="1"/>
  <c r="AO46" i="1"/>
  <c r="AL46" i="1"/>
  <c r="AU45" i="1" s="1"/>
  <c r="AJ46" i="1"/>
  <c r="AH46" i="1"/>
  <c r="AG46" i="1"/>
  <c r="AF46" i="1"/>
  <c r="AE46" i="1"/>
  <c r="AD46" i="1"/>
  <c r="Z46" i="1"/>
  <c r="J46" i="1"/>
  <c r="J45" i="1" s="1"/>
  <c r="H46" i="1"/>
  <c r="H45" i="1" s="1"/>
  <c r="AS45" i="1"/>
  <c r="BJ44" i="1"/>
  <c r="Z44" i="1" s="1"/>
  <c r="BI44" i="1"/>
  <c r="BH44" i="1"/>
  <c r="BF44" i="1"/>
  <c r="BD44" i="1"/>
  <c r="AW44" i="1"/>
  <c r="AP44" i="1"/>
  <c r="I44" i="1" s="1"/>
  <c r="AO44" i="1"/>
  <c r="AL44" i="1"/>
  <c r="AK44" i="1"/>
  <c r="AJ44" i="1"/>
  <c r="AH44" i="1"/>
  <c r="AG44" i="1"/>
  <c r="AF44" i="1"/>
  <c r="AE44" i="1"/>
  <c r="AD44" i="1"/>
  <c r="AC44" i="1"/>
  <c r="AB44" i="1"/>
  <c r="J44" i="1"/>
  <c r="H44" i="1"/>
  <c r="BJ42" i="1"/>
  <c r="BI42" i="1"/>
  <c r="AC42" i="1" s="1"/>
  <c r="BH42" i="1"/>
  <c r="AB42" i="1" s="1"/>
  <c r="BF42" i="1"/>
  <c r="BD42" i="1"/>
  <c r="AX42" i="1"/>
  <c r="AW42" i="1"/>
  <c r="AV42" i="1" s="1"/>
  <c r="AP42" i="1"/>
  <c r="AO42" i="1"/>
  <c r="AL42" i="1"/>
  <c r="AK42" i="1"/>
  <c r="AJ42" i="1"/>
  <c r="AH42" i="1"/>
  <c r="AG42" i="1"/>
  <c r="AF42" i="1"/>
  <c r="AE42" i="1"/>
  <c r="AD42" i="1"/>
  <c r="Z42" i="1"/>
  <c r="J42" i="1"/>
  <c r="I42" i="1"/>
  <c r="H42" i="1"/>
  <c r="BJ41" i="1"/>
  <c r="BI41" i="1"/>
  <c r="AC41" i="1" s="1"/>
  <c r="BH41" i="1"/>
  <c r="AB41" i="1" s="1"/>
  <c r="BF41" i="1"/>
  <c r="BD41" i="1"/>
  <c r="AX41" i="1"/>
  <c r="AP41" i="1"/>
  <c r="AO41" i="1"/>
  <c r="AW41" i="1" s="1"/>
  <c r="AL41" i="1"/>
  <c r="AK41" i="1"/>
  <c r="AJ41" i="1"/>
  <c r="AH41" i="1"/>
  <c r="AG41" i="1"/>
  <c r="AF41" i="1"/>
  <c r="AE41" i="1"/>
  <c r="AD41" i="1"/>
  <c r="Z41" i="1"/>
  <c r="J41" i="1"/>
  <c r="I41" i="1"/>
  <c r="H41" i="1"/>
  <c r="BJ40" i="1"/>
  <c r="BI40" i="1"/>
  <c r="AC40" i="1" s="1"/>
  <c r="BF40" i="1"/>
  <c r="BD40" i="1"/>
  <c r="AP40" i="1"/>
  <c r="AX40" i="1" s="1"/>
  <c r="AO40" i="1"/>
  <c r="AW40" i="1" s="1"/>
  <c r="AL40" i="1"/>
  <c r="AK40" i="1"/>
  <c r="AJ40" i="1"/>
  <c r="AH40" i="1"/>
  <c r="AG40" i="1"/>
  <c r="AF40" i="1"/>
  <c r="AE40" i="1"/>
  <c r="AD40" i="1"/>
  <c r="Z40" i="1"/>
  <c r="J40" i="1"/>
  <c r="I40" i="1"/>
  <c r="H40" i="1"/>
  <c r="BJ38" i="1"/>
  <c r="BI38" i="1"/>
  <c r="AC38" i="1" s="1"/>
  <c r="BF38" i="1"/>
  <c r="BD38" i="1"/>
  <c r="AP38" i="1"/>
  <c r="AX38" i="1" s="1"/>
  <c r="AO38" i="1"/>
  <c r="AL38" i="1"/>
  <c r="AJ38" i="1"/>
  <c r="AH38" i="1"/>
  <c r="AG38" i="1"/>
  <c r="AF38" i="1"/>
  <c r="AE38" i="1"/>
  <c r="AD38" i="1"/>
  <c r="Z38" i="1"/>
  <c r="J38" i="1"/>
  <c r="AK38" i="1" s="1"/>
  <c r="H38" i="1"/>
  <c r="BJ37" i="1"/>
  <c r="BF37" i="1"/>
  <c r="BD37" i="1"/>
  <c r="AW37" i="1"/>
  <c r="AP37" i="1"/>
  <c r="AO37" i="1"/>
  <c r="H37" i="1" s="1"/>
  <c r="AL37" i="1"/>
  <c r="AJ37" i="1"/>
  <c r="AH37" i="1"/>
  <c r="AG37" i="1"/>
  <c r="AF37" i="1"/>
  <c r="AE37" i="1"/>
  <c r="AD37" i="1"/>
  <c r="Z37" i="1"/>
  <c r="J37" i="1"/>
  <c r="AK37" i="1" s="1"/>
  <c r="BJ36" i="1"/>
  <c r="BF36" i="1"/>
  <c r="BD36" i="1"/>
  <c r="AW36" i="1"/>
  <c r="AP36" i="1"/>
  <c r="BI36" i="1" s="1"/>
  <c r="AC36" i="1" s="1"/>
  <c r="AO36" i="1"/>
  <c r="H36" i="1" s="1"/>
  <c r="AL36" i="1"/>
  <c r="AJ36" i="1"/>
  <c r="AH36" i="1"/>
  <c r="AG36" i="1"/>
  <c r="AF36" i="1"/>
  <c r="AE36" i="1"/>
  <c r="AD36" i="1"/>
  <c r="Z36" i="1"/>
  <c r="J36" i="1"/>
  <c r="AK36" i="1" s="1"/>
  <c r="BJ35" i="1"/>
  <c r="BF35" i="1"/>
  <c r="BD35" i="1"/>
  <c r="AP35" i="1"/>
  <c r="I35" i="1" s="1"/>
  <c r="AO35" i="1"/>
  <c r="BH35" i="1" s="1"/>
  <c r="AL35" i="1"/>
  <c r="AK35" i="1"/>
  <c r="AJ35" i="1"/>
  <c r="AH35" i="1"/>
  <c r="AG35" i="1"/>
  <c r="AF35" i="1"/>
  <c r="AE35" i="1"/>
  <c r="AD35" i="1"/>
  <c r="AB35" i="1"/>
  <c r="Z35" i="1"/>
  <c r="J35" i="1"/>
  <c r="H35" i="1"/>
  <c r="BJ34" i="1"/>
  <c r="BH34" i="1"/>
  <c r="BF34" i="1"/>
  <c r="BD34" i="1"/>
  <c r="AW34" i="1"/>
  <c r="AP34" i="1"/>
  <c r="AX34" i="1" s="1"/>
  <c r="AO34" i="1"/>
  <c r="AL34" i="1"/>
  <c r="AK34" i="1"/>
  <c r="AJ34" i="1"/>
  <c r="AH34" i="1"/>
  <c r="AG34" i="1"/>
  <c r="AF34" i="1"/>
  <c r="AE34" i="1"/>
  <c r="AD34" i="1"/>
  <c r="AB34" i="1"/>
  <c r="Z34" i="1"/>
  <c r="J34" i="1"/>
  <c r="I34" i="1"/>
  <c r="H34" i="1"/>
  <c r="BJ33" i="1"/>
  <c r="BI33" i="1"/>
  <c r="AC33" i="1" s="1"/>
  <c r="BF33" i="1"/>
  <c r="BD33" i="1"/>
  <c r="AX33" i="1"/>
  <c r="AP33" i="1"/>
  <c r="AO33" i="1"/>
  <c r="BH33" i="1" s="1"/>
  <c r="AL33" i="1"/>
  <c r="AK33" i="1"/>
  <c r="AJ33" i="1"/>
  <c r="AH33" i="1"/>
  <c r="AG33" i="1"/>
  <c r="AF33" i="1"/>
  <c r="AE33" i="1"/>
  <c r="AD33" i="1"/>
  <c r="AB33" i="1"/>
  <c r="Z33" i="1"/>
  <c r="J33" i="1"/>
  <c r="I33" i="1"/>
  <c r="H33" i="1"/>
  <c r="BJ32" i="1"/>
  <c r="BF32" i="1"/>
  <c r="BD32" i="1"/>
  <c r="AP32" i="1"/>
  <c r="BI32" i="1" s="1"/>
  <c r="AC32" i="1" s="1"/>
  <c r="AO32" i="1"/>
  <c r="BH32" i="1" s="1"/>
  <c r="AB32" i="1" s="1"/>
  <c r="AL32" i="1"/>
  <c r="AK32" i="1"/>
  <c r="AJ32" i="1"/>
  <c r="AH32" i="1"/>
  <c r="AG32" i="1"/>
  <c r="AF32" i="1"/>
  <c r="AE32" i="1"/>
  <c r="AD32" i="1"/>
  <c r="Z32" i="1"/>
  <c r="J32" i="1"/>
  <c r="I32" i="1"/>
  <c r="BJ31" i="1"/>
  <c r="BI31" i="1"/>
  <c r="AC31" i="1" s="1"/>
  <c r="BH31" i="1"/>
  <c r="AB31" i="1" s="1"/>
  <c r="BF31" i="1"/>
  <c r="BD31" i="1"/>
  <c r="AX31" i="1"/>
  <c r="AP31" i="1"/>
  <c r="AO31" i="1"/>
  <c r="AL31" i="1"/>
  <c r="AJ31" i="1"/>
  <c r="AH31" i="1"/>
  <c r="AG31" i="1"/>
  <c r="AF31" i="1"/>
  <c r="AE31" i="1"/>
  <c r="AD31" i="1"/>
  <c r="Z31" i="1"/>
  <c r="J31" i="1"/>
  <c r="AK31" i="1" s="1"/>
  <c r="I31" i="1"/>
  <c r="BJ30" i="1"/>
  <c r="Z30" i="1" s="1"/>
  <c r="BI30" i="1"/>
  <c r="BH30" i="1"/>
  <c r="BF30" i="1"/>
  <c r="BD30" i="1"/>
  <c r="AP30" i="1"/>
  <c r="AX30" i="1" s="1"/>
  <c r="AO30" i="1"/>
  <c r="AW30" i="1" s="1"/>
  <c r="AL30" i="1"/>
  <c r="AK30" i="1"/>
  <c r="AJ30" i="1"/>
  <c r="AH30" i="1"/>
  <c r="AG30" i="1"/>
  <c r="AF30" i="1"/>
  <c r="AE30" i="1"/>
  <c r="AD30" i="1"/>
  <c r="AC30" i="1"/>
  <c r="AB30" i="1"/>
  <c r="J30" i="1"/>
  <c r="H30" i="1"/>
  <c r="BJ29" i="1"/>
  <c r="Z29" i="1" s="1"/>
  <c r="BI29" i="1"/>
  <c r="BH29" i="1"/>
  <c r="BF29" i="1"/>
  <c r="BD29" i="1"/>
  <c r="AW29" i="1"/>
  <c r="AP29" i="1"/>
  <c r="AX29" i="1" s="1"/>
  <c r="AV29" i="1" s="1"/>
  <c r="AO29" i="1"/>
  <c r="AL29" i="1"/>
  <c r="AK29" i="1"/>
  <c r="AJ29" i="1"/>
  <c r="AH29" i="1"/>
  <c r="AG29" i="1"/>
  <c r="AF29" i="1"/>
  <c r="AE29" i="1"/>
  <c r="AD29" i="1"/>
  <c r="AC29" i="1"/>
  <c r="AB29" i="1"/>
  <c r="J29" i="1"/>
  <c r="I29" i="1"/>
  <c r="H29" i="1"/>
  <c r="BJ28" i="1"/>
  <c r="Z28" i="1" s="1"/>
  <c r="BI28" i="1"/>
  <c r="BH28" i="1"/>
  <c r="BF28" i="1"/>
  <c r="BD28" i="1"/>
  <c r="AX28" i="1"/>
  <c r="AP28" i="1"/>
  <c r="AO28" i="1"/>
  <c r="AW28" i="1" s="1"/>
  <c r="AL28" i="1"/>
  <c r="AJ28" i="1"/>
  <c r="AH28" i="1"/>
  <c r="AG28" i="1"/>
  <c r="AF28" i="1"/>
  <c r="AE28" i="1"/>
  <c r="AD28" i="1"/>
  <c r="AC28" i="1"/>
  <c r="AB28" i="1"/>
  <c r="J28" i="1"/>
  <c r="AK28" i="1" s="1"/>
  <c r="I28" i="1"/>
  <c r="BJ27" i="1"/>
  <c r="BI27" i="1"/>
  <c r="AC27" i="1" s="1"/>
  <c r="BF27" i="1"/>
  <c r="BD27" i="1"/>
  <c r="AP27" i="1"/>
  <c r="AX27" i="1" s="1"/>
  <c r="AO27" i="1"/>
  <c r="AW27" i="1" s="1"/>
  <c r="AL27" i="1"/>
  <c r="AK27" i="1"/>
  <c r="AJ27" i="1"/>
  <c r="AH27" i="1"/>
  <c r="AG27" i="1"/>
  <c r="AF27" i="1"/>
  <c r="AE27" i="1"/>
  <c r="AD27" i="1"/>
  <c r="Z27" i="1"/>
  <c r="J27" i="1"/>
  <c r="J25" i="1" s="1"/>
  <c r="H27" i="1"/>
  <c r="BJ26" i="1"/>
  <c r="BF26" i="1"/>
  <c r="BD26" i="1"/>
  <c r="AP26" i="1"/>
  <c r="AX26" i="1" s="1"/>
  <c r="AO26" i="1"/>
  <c r="BH26" i="1" s="1"/>
  <c r="AB26" i="1" s="1"/>
  <c r="AL26" i="1"/>
  <c r="AU25" i="1" s="1"/>
  <c r="AK26" i="1"/>
  <c r="AJ26" i="1"/>
  <c r="AS25" i="1" s="1"/>
  <c r="AH26" i="1"/>
  <c r="AG26" i="1"/>
  <c r="AF26" i="1"/>
  <c r="AE26" i="1"/>
  <c r="AD26" i="1"/>
  <c r="Z26" i="1"/>
  <c r="J26" i="1"/>
  <c r="I26" i="1"/>
  <c r="H26" i="1"/>
  <c r="BJ24" i="1"/>
  <c r="BI24" i="1"/>
  <c r="AC24" i="1" s="1"/>
  <c r="BH24" i="1"/>
  <c r="AB24" i="1" s="1"/>
  <c r="BF24" i="1"/>
  <c r="BD24" i="1"/>
  <c r="AX24" i="1"/>
  <c r="AP24" i="1"/>
  <c r="I24" i="1" s="1"/>
  <c r="AO24" i="1"/>
  <c r="AW24" i="1" s="1"/>
  <c r="AL24" i="1"/>
  <c r="AJ24" i="1"/>
  <c r="AH24" i="1"/>
  <c r="AG24" i="1"/>
  <c r="AF24" i="1"/>
  <c r="AE24" i="1"/>
  <c r="AD24" i="1"/>
  <c r="Z24" i="1"/>
  <c r="J24" i="1"/>
  <c r="AK24" i="1" s="1"/>
  <c r="BJ23" i="1"/>
  <c r="Z23" i="1" s="1"/>
  <c r="BI23" i="1"/>
  <c r="BH23" i="1"/>
  <c r="BF23" i="1"/>
  <c r="BD23" i="1"/>
  <c r="AP23" i="1"/>
  <c r="AX23" i="1" s="1"/>
  <c r="AO23" i="1"/>
  <c r="AW23" i="1" s="1"/>
  <c r="AL23" i="1"/>
  <c r="AK23" i="1"/>
  <c r="AJ23" i="1"/>
  <c r="AH23" i="1"/>
  <c r="AG23" i="1"/>
  <c r="AF23" i="1"/>
  <c r="AE23" i="1"/>
  <c r="AD23" i="1"/>
  <c r="AC23" i="1"/>
  <c r="AB23" i="1"/>
  <c r="J23" i="1"/>
  <c r="H23" i="1"/>
  <c r="BJ22" i="1"/>
  <c r="Z22" i="1" s="1"/>
  <c r="BI22" i="1"/>
  <c r="BH22" i="1"/>
  <c r="BF22" i="1"/>
  <c r="BD22" i="1"/>
  <c r="AW22" i="1"/>
  <c r="BC22" i="1" s="1"/>
  <c r="AP22" i="1"/>
  <c r="AX22" i="1" s="1"/>
  <c r="AV22" i="1" s="1"/>
  <c r="AO22" i="1"/>
  <c r="AL22" i="1"/>
  <c r="AK22" i="1"/>
  <c r="AJ22" i="1"/>
  <c r="AH22" i="1"/>
  <c r="AG22" i="1"/>
  <c r="AF22" i="1"/>
  <c r="AE22" i="1"/>
  <c r="AD22" i="1"/>
  <c r="AC22" i="1"/>
  <c r="AB22" i="1"/>
  <c r="J22" i="1"/>
  <c r="I22" i="1"/>
  <c r="H22" i="1"/>
  <c r="BJ21" i="1"/>
  <c r="Z21" i="1" s="1"/>
  <c r="BI21" i="1"/>
  <c r="BH21" i="1"/>
  <c r="BF21" i="1"/>
  <c r="BD21" i="1"/>
  <c r="AX21" i="1"/>
  <c r="AP21" i="1"/>
  <c r="AO21" i="1"/>
  <c r="AW21" i="1" s="1"/>
  <c r="AL21" i="1"/>
  <c r="AJ21" i="1"/>
  <c r="AS12" i="1" s="1"/>
  <c r="AH21" i="1"/>
  <c r="AG21" i="1"/>
  <c r="AF21" i="1"/>
  <c r="AE21" i="1"/>
  <c r="AD21" i="1"/>
  <c r="AC21" i="1"/>
  <c r="AB21" i="1"/>
  <c r="J21" i="1"/>
  <c r="AK21" i="1" s="1"/>
  <c r="I21" i="1"/>
  <c r="BJ20" i="1"/>
  <c r="BI20" i="1"/>
  <c r="AC20" i="1" s="1"/>
  <c r="BF20" i="1"/>
  <c r="BD20" i="1"/>
  <c r="AP20" i="1"/>
  <c r="AX20" i="1" s="1"/>
  <c r="AO20" i="1"/>
  <c r="AW20" i="1" s="1"/>
  <c r="AL20" i="1"/>
  <c r="AK20" i="1"/>
  <c r="AJ20" i="1"/>
  <c r="AH20" i="1"/>
  <c r="AG20" i="1"/>
  <c r="AF20" i="1"/>
  <c r="AE20" i="1"/>
  <c r="AD20" i="1"/>
  <c r="Z20" i="1"/>
  <c r="J20" i="1"/>
  <c r="H20" i="1"/>
  <c r="BJ19" i="1"/>
  <c r="BH19" i="1"/>
  <c r="BF19" i="1"/>
  <c r="BD19" i="1"/>
  <c r="AP19" i="1"/>
  <c r="AX19" i="1" s="1"/>
  <c r="AO19" i="1"/>
  <c r="AW19" i="1" s="1"/>
  <c r="AL19" i="1"/>
  <c r="AU12" i="1" s="1"/>
  <c r="AK19" i="1"/>
  <c r="AJ19" i="1"/>
  <c r="AH19" i="1"/>
  <c r="AG19" i="1"/>
  <c r="AF19" i="1"/>
  <c r="AE19" i="1"/>
  <c r="AD19" i="1"/>
  <c r="AB19" i="1"/>
  <c r="Z19" i="1"/>
  <c r="J19" i="1"/>
  <c r="I19" i="1"/>
  <c r="H19" i="1"/>
  <c r="BJ18" i="1"/>
  <c r="BI18" i="1"/>
  <c r="BF18" i="1"/>
  <c r="BD18" i="1"/>
  <c r="AP18" i="1"/>
  <c r="AX18" i="1" s="1"/>
  <c r="AO18" i="1"/>
  <c r="BH18" i="1" s="1"/>
  <c r="AB18" i="1" s="1"/>
  <c r="AL18" i="1"/>
  <c r="AJ18" i="1"/>
  <c r="AH18" i="1"/>
  <c r="AG18" i="1"/>
  <c r="AF18" i="1"/>
  <c r="AE18" i="1"/>
  <c r="AD18" i="1"/>
  <c r="AC18" i="1"/>
  <c r="Z18" i="1"/>
  <c r="J18" i="1"/>
  <c r="J12" i="1" s="1"/>
  <c r="I18" i="1"/>
  <c r="BJ17" i="1"/>
  <c r="BF17" i="1"/>
  <c r="BD17" i="1"/>
  <c r="AW17" i="1"/>
  <c r="AP17" i="1"/>
  <c r="BI17" i="1" s="1"/>
  <c r="AC17" i="1" s="1"/>
  <c r="AO17" i="1"/>
  <c r="H17" i="1" s="1"/>
  <c r="AL17" i="1"/>
  <c r="AJ17" i="1"/>
  <c r="AH17" i="1"/>
  <c r="AG17" i="1"/>
  <c r="AF17" i="1"/>
  <c r="AE17" i="1"/>
  <c r="AD17" i="1"/>
  <c r="Z17" i="1"/>
  <c r="J17" i="1"/>
  <c r="AK17" i="1" s="1"/>
  <c r="BJ15" i="1"/>
  <c r="BF15" i="1"/>
  <c r="BD15" i="1"/>
  <c r="AX15" i="1"/>
  <c r="AP15" i="1"/>
  <c r="I15" i="1" s="1"/>
  <c r="AO15" i="1"/>
  <c r="H15" i="1" s="1"/>
  <c r="AL15" i="1"/>
  <c r="AJ15" i="1"/>
  <c r="AH15" i="1"/>
  <c r="AE15" i="1"/>
  <c r="AD15" i="1"/>
  <c r="AC15" i="1"/>
  <c r="AB15" i="1"/>
  <c r="Z15" i="1"/>
  <c r="J15" i="1"/>
  <c r="AK15" i="1" s="1"/>
  <c r="BJ14" i="1"/>
  <c r="BF14" i="1"/>
  <c r="BD14" i="1"/>
  <c r="AW14" i="1"/>
  <c r="AP14" i="1"/>
  <c r="I14" i="1" s="1"/>
  <c r="AO14" i="1"/>
  <c r="BH14" i="1" s="1"/>
  <c r="AB14" i="1" s="1"/>
  <c r="AL14" i="1"/>
  <c r="AJ14" i="1"/>
  <c r="AH14" i="1"/>
  <c r="AG14" i="1"/>
  <c r="AF14" i="1"/>
  <c r="AE14" i="1"/>
  <c r="AD14" i="1"/>
  <c r="Z14" i="1"/>
  <c r="J14" i="1"/>
  <c r="AK14" i="1" s="1"/>
  <c r="H14" i="1"/>
  <c r="BJ13" i="1"/>
  <c r="BH13" i="1"/>
  <c r="BF13" i="1"/>
  <c r="BD13" i="1"/>
  <c r="AX13" i="1"/>
  <c r="AW13" i="1"/>
  <c r="BC13" i="1" s="1"/>
  <c r="AP13" i="1"/>
  <c r="I13" i="1" s="1"/>
  <c r="AO13" i="1"/>
  <c r="AL13" i="1"/>
  <c r="AK13" i="1"/>
  <c r="AJ13" i="1"/>
  <c r="AH13" i="1"/>
  <c r="AG13" i="1"/>
  <c r="AF13" i="1"/>
  <c r="AE13" i="1"/>
  <c r="AD13" i="1"/>
  <c r="AB13" i="1"/>
  <c r="Z13" i="1"/>
  <c r="J13" i="1"/>
  <c r="H13" i="1"/>
  <c r="AU1" i="1"/>
  <c r="AT1" i="1"/>
  <c r="AS1" i="1"/>
  <c r="BC20" i="1" l="1"/>
  <c r="AV20" i="1"/>
  <c r="AV30" i="1"/>
  <c r="BC30" i="1"/>
  <c r="AV24" i="1"/>
  <c r="BC24" i="1"/>
  <c r="BC27" i="1"/>
  <c r="AV27" i="1"/>
  <c r="BC34" i="1"/>
  <c r="AV34" i="1"/>
  <c r="BC29" i="1"/>
  <c r="AV37" i="1"/>
  <c r="BC21" i="1"/>
  <c r="AV21" i="1"/>
  <c r="BC19" i="1"/>
  <c r="AV19" i="1"/>
  <c r="BC28" i="1"/>
  <c r="AV28" i="1"/>
  <c r="AT25" i="1"/>
  <c r="AV23" i="1"/>
  <c r="BC23" i="1"/>
  <c r="I47" i="1"/>
  <c r="AX37" i="1"/>
  <c r="BI37" i="1"/>
  <c r="AC37" i="1" s="1"/>
  <c r="AX46" i="1"/>
  <c r="I46" i="1"/>
  <c r="I45" i="1" s="1"/>
  <c r="BI46" i="1"/>
  <c r="AC46" i="1" s="1"/>
  <c r="BH66" i="1"/>
  <c r="AD66" i="1" s="1"/>
  <c r="AW66" i="1"/>
  <c r="H66" i="1"/>
  <c r="AK146" i="1"/>
  <c r="J139" i="1"/>
  <c r="AV13" i="1"/>
  <c r="I17" i="1"/>
  <c r="H18" i="1"/>
  <c r="H12" i="1" s="1"/>
  <c r="AK18" i="1"/>
  <c r="AT12" i="1" s="1"/>
  <c r="BI19" i="1"/>
  <c r="AC19" i="1" s="1"/>
  <c r="BH20" i="1"/>
  <c r="AB20" i="1" s="1"/>
  <c r="BI26" i="1"/>
  <c r="AC26" i="1" s="1"/>
  <c r="BH27" i="1"/>
  <c r="AB27" i="1" s="1"/>
  <c r="BI34" i="1"/>
  <c r="AC34" i="1" s="1"/>
  <c r="I37" i="1"/>
  <c r="AV41" i="1"/>
  <c r="BC41" i="1"/>
  <c r="AT53" i="1"/>
  <c r="BC79" i="1"/>
  <c r="AK138" i="1"/>
  <c r="AT137" i="1" s="1"/>
  <c r="J137" i="1"/>
  <c r="BC173" i="1"/>
  <c r="AV173" i="1"/>
  <c r="BC69" i="1"/>
  <c r="AV69" i="1"/>
  <c r="I36" i="1"/>
  <c r="AK46" i="1"/>
  <c r="AT45" i="1" s="1"/>
  <c r="BI65" i="1"/>
  <c r="AE65" i="1" s="1"/>
  <c r="AX65" i="1"/>
  <c r="AV65" i="1" s="1"/>
  <c r="I65" i="1"/>
  <c r="BC68" i="1"/>
  <c r="AV68" i="1"/>
  <c r="BH80" i="1"/>
  <c r="AD80" i="1" s="1"/>
  <c r="AW80" i="1"/>
  <c r="H80" i="1"/>
  <c r="BC84" i="1"/>
  <c r="AV84" i="1"/>
  <c r="I102" i="1"/>
  <c r="BI108" i="1"/>
  <c r="AE108" i="1" s="1"/>
  <c r="AX108" i="1"/>
  <c r="I108" i="1"/>
  <c r="AK229" i="1"/>
  <c r="AT228" i="1" s="1"/>
  <c r="J228" i="1"/>
  <c r="AX14" i="1"/>
  <c r="AV14" i="1" s="1"/>
  <c r="AW15" i="1"/>
  <c r="AV17" i="1"/>
  <c r="I20" i="1"/>
  <c r="I12" i="1" s="1"/>
  <c r="H21" i="1"/>
  <c r="I27" i="1"/>
  <c r="I25" i="1" s="1"/>
  <c r="H28" i="1"/>
  <c r="H25" i="1" s="1"/>
  <c r="H32" i="1"/>
  <c r="AW46" i="1"/>
  <c r="BH46" i="1"/>
  <c r="AB46" i="1" s="1"/>
  <c r="BC48" i="1"/>
  <c r="AV86" i="1"/>
  <c r="BC86" i="1"/>
  <c r="AT102" i="1"/>
  <c r="BC108" i="1"/>
  <c r="BC37" i="1"/>
  <c r="AX17" i="1"/>
  <c r="BC17" i="1" s="1"/>
  <c r="AW18" i="1"/>
  <c r="H31" i="1"/>
  <c r="AW31" i="1"/>
  <c r="AX36" i="1"/>
  <c r="AV36" i="1" s="1"/>
  <c r="BC40" i="1"/>
  <c r="AV40" i="1"/>
  <c r="AX52" i="1"/>
  <c r="AV52" i="1" s="1"/>
  <c r="BI52" i="1"/>
  <c r="BC63" i="1"/>
  <c r="AV63" i="1"/>
  <c r="AV72" i="1"/>
  <c r="BC72" i="1"/>
  <c r="BH109" i="1"/>
  <c r="AD109" i="1" s="1"/>
  <c r="AW109" i="1"/>
  <c r="H109" i="1"/>
  <c r="H102" i="1" s="1"/>
  <c r="C20" i="3"/>
  <c r="I23" i="1"/>
  <c r="H24" i="1"/>
  <c r="AW26" i="1"/>
  <c r="I30" i="1"/>
  <c r="AW32" i="1"/>
  <c r="AW33" i="1"/>
  <c r="AW35" i="1"/>
  <c r="BI50" i="1"/>
  <c r="AE50" i="1" s="1"/>
  <c r="AX50" i="1"/>
  <c r="I50" i="1"/>
  <c r="BC52" i="1"/>
  <c r="BI101" i="1"/>
  <c r="AX101" i="1"/>
  <c r="AV101" i="1" s="1"/>
  <c r="I101" i="1"/>
  <c r="I95" i="1" s="1"/>
  <c r="H161" i="1"/>
  <c r="BH161" i="1"/>
  <c r="AD161" i="1" s="1"/>
  <c r="AW161" i="1"/>
  <c r="C27" i="3"/>
  <c r="BI13" i="1"/>
  <c r="AC13" i="1" s="1"/>
  <c r="AX32" i="1"/>
  <c r="AX35" i="1"/>
  <c r="BH37" i="1"/>
  <c r="AB37" i="1" s="1"/>
  <c r="BC50" i="1"/>
  <c r="AV50" i="1"/>
  <c r="BI58" i="1"/>
  <c r="AE58" i="1" s="1"/>
  <c r="AX58" i="1"/>
  <c r="I58" i="1"/>
  <c r="BC61" i="1"/>
  <c r="AV61" i="1"/>
  <c r="J64" i="1"/>
  <c r="AK66" i="1"/>
  <c r="BC101" i="1"/>
  <c r="AX114" i="1"/>
  <c r="BI114" i="1"/>
  <c r="AE114" i="1" s="1"/>
  <c r="I114" i="1"/>
  <c r="I113" i="1" s="1"/>
  <c r="BH15" i="1"/>
  <c r="AF15" i="1" s="1"/>
  <c r="BH36" i="1"/>
  <c r="AB36" i="1" s="1"/>
  <c r="BC58" i="1"/>
  <c r="BC85" i="1"/>
  <c r="AV85" i="1"/>
  <c r="BC105" i="1"/>
  <c r="AV105" i="1"/>
  <c r="AV178" i="1"/>
  <c r="BC178" i="1"/>
  <c r="BI14" i="1"/>
  <c r="AC14" i="1" s="1"/>
  <c r="BI15" i="1"/>
  <c r="AG15" i="1" s="1"/>
  <c r="C19" i="3" s="1"/>
  <c r="BH17" i="1"/>
  <c r="AB17" i="1" s="1"/>
  <c r="C14" i="3" s="1"/>
  <c r="BH40" i="1"/>
  <c r="AB40" i="1" s="1"/>
  <c r="BH51" i="1"/>
  <c r="AD51" i="1" s="1"/>
  <c r="AW51" i="1"/>
  <c r="H51" i="1"/>
  <c r="H47" i="1" s="1"/>
  <c r="AS64" i="1"/>
  <c r="BC90" i="1"/>
  <c r="C29" i="3"/>
  <c r="F29" i="3" s="1"/>
  <c r="I38" i="1"/>
  <c r="AW38" i="1"/>
  <c r="BH38" i="1"/>
  <c r="AB38" i="1" s="1"/>
  <c r="J47" i="1"/>
  <c r="J252" i="1" s="1"/>
  <c r="AU47" i="1"/>
  <c r="AV49" i="1"/>
  <c r="BH59" i="1"/>
  <c r="AD59" i="1" s="1"/>
  <c r="AW59" i="1"/>
  <c r="H59" i="1"/>
  <c r="H53" i="1" s="1"/>
  <c r="BC62" i="1"/>
  <c r="AV62" i="1"/>
  <c r="AT64" i="1"/>
  <c r="BC67" i="1"/>
  <c r="BC71" i="1"/>
  <c r="AV71" i="1"/>
  <c r="BI94" i="1"/>
  <c r="AX94" i="1"/>
  <c r="I94" i="1"/>
  <c r="H193" i="1"/>
  <c r="H188" i="1" s="1"/>
  <c r="BH193" i="1"/>
  <c r="AB193" i="1" s="1"/>
  <c r="AW193" i="1"/>
  <c r="C21" i="3"/>
  <c r="BI35" i="1"/>
  <c r="AC35" i="1" s="1"/>
  <c r="J53" i="1"/>
  <c r="AU64" i="1"/>
  <c r="BI79" i="1"/>
  <c r="AE79" i="1" s="1"/>
  <c r="AX79" i="1"/>
  <c r="I79" i="1"/>
  <c r="BC83" i="1"/>
  <c r="AV83" i="1"/>
  <c r="BC94" i="1"/>
  <c r="BC98" i="1"/>
  <c r="AV98" i="1"/>
  <c r="BI60" i="1"/>
  <c r="AE60" i="1" s="1"/>
  <c r="BH61" i="1"/>
  <c r="AD61" i="1" s="1"/>
  <c r="BI67" i="1"/>
  <c r="AE67" i="1" s="1"/>
  <c r="BH68" i="1"/>
  <c r="AD68" i="1" s="1"/>
  <c r="BI82" i="1"/>
  <c r="AE82" i="1" s="1"/>
  <c r="BH83" i="1"/>
  <c r="AD83" i="1" s="1"/>
  <c r="BI110" i="1"/>
  <c r="AE110" i="1" s="1"/>
  <c r="BI111" i="1"/>
  <c r="AE111" i="1" s="1"/>
  <c r="I115" i="1"/>
  <c r="H119" i="1"/>
  <c r="H115" i="1" s="1"/>
  <c r="BH119" i="1"/>
  <c r="AD119" i="1" s="1"/>
  <c r="AW119" i="1"/>
  <c r="H138" i="1"/>
  <c r="H137" i="1" s="1"/>
  <c r="BH138" i="1"/>
  <c r="AD138" i="1" s="1"/>
  <c r="AW138" i="1"/>
  <c r="H146" i="1"/>
  <c r="H139" i="1" s="1"/>
  <c r="BH146" i="1"/>
  <c r="AW146" i="1"/>
  <c r="BC147" i="1"/>
  <c r="AV147" i="1"/>
  <c r="BC152" i="1"/>
  <c r="AV152" i="1"/>
  <c r="BI163" i="1"/>
  <c r="AE163" i="1" s="1"/>
  <c r="AX163" i="1"/>
  <c r="AV163" i="1" s="1"/>
  <c r="BC237" i="1"/>
  <c r="AV237" i="1"/>
  <c r="I251" i="1"/>
  <c r="I228" i="1" s="1"/>
  <c r="BI251" i="1"/>
  <c r="AX251" i="1"/>
  <c r="BC251" i="1" s="1"/>
  <c r="BC42" i="1"/>
  <c r="AX44" i="1"/>
  <c r="BC44" i="1" s="1"/>
  <c r="I51" i="1"/>
  <c r="H52" i="1"/>
  <c r="AW54" i="1"/>
  <c r="I59" i="1"/>
  <c r="H60" i="1"/>
  <c r="BI61" i="1"/>
  <c r="AE61" i="1" s="1"/>
  <c r="BH62" i="1"/>
  <c r="AD62" i="1" s="1"/>
  <c r="I66" i="1"/>
  <c r="H67" i="1"/>
  <c r="BI68" i="1"/>
  <c r="AE68" i="1" s="1"/>
  <c r="BH69" i="1"/>
  <c r="AD69" i="1" s="1"/>
  <c r="BC73" i="1"/>
  <c r="AX74" i="1"/>
  <c r="BC74" i="1" s="1"/>
  <c r="AW75" i="1"/>
  <c r="I80" i="1"/>
  <c r="H82" i="1"/>
  <c r="BI83" i="1"/>
  <c r="AE83" i="1" s="1"/>
  <c r="BH84" i="1"/>
  <c r="AD84" i="1" s="1"/>
  <c r="BC87" i="1"/>
  <c r="AX88" i="1"/>
  <c r="BC88" i="1" s="1"/>
  <c r="AW89" i="1"/>
  <c r="BC96" i="1"/>
  <c r="AX97" i="1"/>
  <c r="BC97" i="1" s="1"/>
  <c r="BC103" i="1"/>
  <c r="AT115" i="1"/>
  <c r="AS131" i="1"/>
  <c r="BC163" i="1"/>
  <c r="BC174" i="1"/>
  <c r="BC191" i="1"/>
  <c r="I196" i="1"/>
  <c r="BC196" i="1"/>
  <c r="AV201" i="1"/>
  <c r="BC201" i="1"/>
  <c r="BC202" i="1"/>
  <c r="AV216" i="1"/>
  <c r="BC219" i="1"/>
  <c r="BI222" i="1"/>
  <c r="AC222" i="1" s="1"/>
  <c r="AX222" i="1"/>
  <c r="BC222" i="1" s="1"/>
  <c r="BC241" i="1"/>
  <c r="AV241" i="1"/>
  <c r="BC245" i="1"/>
  <c r="AV251" i="1"/>
  <c r="AX55" i="1"/>
  <c r="BC55" i="1" s="1"/>
  <c r="AW56" i="1"/>
  <c r="AV58" i="1"/>
  <c r="I61" i="1"/>
  <c r="I53" i="1" s="1"/>
  <c r="H62" i="1"/>
  <c r="I68" i="1"/>
  <c r="H69" i="1"/>
  <c r="AX76" i="1"/>
  <c r="BC76" i="1" s="1"/>
  <c r="AW78" i="1"/>
  <c r="AV79" i="1"/>
  <c r="I83" i="1"/>
  <c r="H84" i="1"/>
  <c r="AX90" i="1"/>
  <c r="AV90" i="1" s="1"/>
  <c r="AW92" i="1"/>
  <c r="AV94" i="1"/>
  <c r="AX99" i="1"/>
  <c r="BC99" i="1" s="1"/>
  <c r="AW100" i="1"/>
  <c r="AX106" i="1"/>
  <c r="BC106" i="1" s="1"/>
  <c r="AW107" i="1"/>
  <c r="AV108" i="1"/>
  <c r="I111" i="1"/>
  <c r="BC114" i="1"/>
  <c r="BC128" i="1"/>
  <c r="AV128" i="1"/>
  <c r="I149" i="1"/>
  <c r="BH166" i="1"/>
  <c r="AD166" i="1" s="1"/>
  <c r="BI187" i="1"/>
  <c r="AG187" i="1" s="1"/>
  <c r="AX187" i="1"/>
  <c r="I205" i="1"/>
  <c r="BI205" i="1"/>
  <c r="AG205" i="1" s="1"/>
  <c r="AX205" i="1"/>
  <c r="BC205" i="1" s="1"/>
  <c r="BC213" i="1"/>
  <c r="AV213" i="1"/>
  <c r="H221" i="1"/>
  <c r="BH221" i="1"/>
  <c r="AB221" i="1" s="1"/>
  <c r="AW221" i="1"/>
  <c r="AS228" i="1"/>
  <c r="AV112" i="1"/>
  <c r="BC112" i="1"/>
  <c r="BC168" i="1"/>
  <c r="AV168" i="1"/>
  <c r="BC187" i="1"/>
  <c r="AV187" i="1"/>
  <c r="AV205" i="1"/>
  <c r="BC215" i="1"/>
  <c r="AV215" i="1"/>
  <c r="I133" i="1"/>
  <c r="I131" i="1" s="1"/>
  <c r="BC133" i="1"/>
  <c r="BC136" i="1"/>
  <c r="AV136" i="1"/>
  <c r="AV149" i="1"/>
  <c r="BC151" i="1"/>
  <c r="AV151" i="1"/>
  <c r="AV157" i="1"/>
  <c r="BC165" i="1"/>
  <c r="H186" i="1"/>
  <c r="H183" i="1" s="1"/>
  <c r="BH186" i="1"/>
  <c r="AB186" i="1" s="1"/>
  <c r="AW186" i="1"/>
  <c r="BH195" i="1"/>
  <c r="AB195" i="1" s="1"/>
  <c r="AW195" i="1"/>
  <c r="BI209" i="1"/>
  <c r="AG209" i="1" s="1"/>
  <c r="AX209" i="1"/>
  <c r="BC225" i="1"/>
  <c r="I117" i="1"/>
  <c r="BI117" i="1"/>
  <c r="AE117" i="1" s="1"/>
  <c r="AX117" i="1"/>
  <c r="AV117" i="1" s="1"/>
  <c r="AT131" i="1"/>
  <c r="AT139" i="1"/>
  <c r="AV142" i="1"/>
  <c r="BH148" i="1"/>
  <c r="AW148" i="1"/>
  <c r="BC157" i="1"/>
  <c r="I182" i="1"/>
  <c r="I181" i="1" s="1"/>
  <c r="BC182" i="1"/>
  <c r="BC197" i="1"/>
  <c r="AV197" i="1"/>
  <c r="AV200" i="1"/>
  <c r="BC209" i="1"/>
  <c r="AV209" i="1"/>
  <c r="AV218" i="1"/>
  <c r="BC227" i="1"/>
  <c r="AV227" i="1"/>
  <c r="BI231" i="1"/>
  <c r="AG231" i="1" s="1"/>
  <c r="AX231" i="1"/>
  <c r="AV231" i="1" s="1"/>
  <c r="BC239" i="1"/>
  <c r="AV239" i="1"/>
  <c r="BI54" i="1"/>
  <c r="AE54" i="1" s="1"/>
  <c r="BH55" i="1"/>
  <c r="AD55" i="1" s="1"/>
  <c r="BI75" i="1"/>
  <c r="AE75" i="1" s="1"/>
  <c r="BH76" i="1"/>
  <c r="AD76" i="1" s="1"/>
  <c r="BI89" i="1"/>
  <c r="AE89" i="1" s="1"/>
  <c r="BH90" i="1"/>
  <c r="AD90" i="1" s="1"/>
  <c r="BI98" i="1"/>
  <c r="AE98" i="1" s="1"/>
  <c r="BH99" i="1"/>
  <c r="AD99" i="1" s="1"/>
  <c r="BI105" i="1"/>
  <c r="AE105" i="1" s="1"/>
  <c r="BH106" i="1"/>
  <c r="AD106" i="1" s="1"/>
  <c r="AW111" i="1"/>
  <c r="I145" i="1"/>
  <c r="BI145" i="1"/>
  <c r="AE145" i="1" s="1"/>
  <c r="AX145" i="1"/>
  <c r="BC145" i="1" s="1"/>
  <c r="BH164" i="1"/>
  <c r="AD164" i="1" s="1"/>
  <c r="AW164" i="1"/>
  <c r="AV172" i="1"/>
  <c r="AV190" i="1"/>
  <c r="AV217" i="1"/>
  <c r="BC217" i="1"/>
  <c r="BC231" i="1"/>
  <c r="BI48" i="1"/>
  <c r="AE48" i="1" s="1"/>
  <c r="C17" i="3" s="1"/>
  <c r="BH49" i="1"/>
  <c r="AD49" i="1" s="1"/>
  <c r="C16" i="3" s="1"/>
  <c r="BI55" i="1"/>
  <c r="AE55" i="1" s="1"/>
  <c r="BH56" i="1"/>
  <c r="AD56" i="1" s="1"/>
  <c r="BI76" i="1"/>
  <c r="AE76" i="1" s="1"/>
  <c r="BH78" i="1"/>
  <c r="AD78" i="1" s="1"/>
  <c r="BI90" i="1"/>
  <c r="AE90" i="1" s="1"/>
  <c r="BH92" i="1"/>
  <c r="AD92" i="1" s="1"/>
  <c r="BI99" i="1"/>
  <c r="AE99" i="1" s="1"/>
  <c r="BH100" i="1"/>
  <c r="AD100" i="1" s="1"/>
  <c r="BI106" i="1"/>
  <c r="AE106" i="1" s="1"/>
  <c r="BH107" i="1"/>
  <c r="AD107" i="1" s="1"/>
  <c r="BH132" i="1"/>
  <c r="AD132" i="1" s="1"/>
  <c r="AW132" i="1"/>
  <c r="BI133" i="1"/>
  <c r="AE133" i="1" s="1"/>
  <c r="AV145" i="1"/>
  <c r="AV155" i="1"/>
  <c r="BC155" i="1"/>
  <c r="I160" i="1"/>
  <c r="BI160" i="1"/>
  <c r="AE160" i="1" s="1"/>
  <c r="AX160" i="1"/>
  <c r="AV160" i="1" s="1"/>
  <c r="AV171" i="1"/>
  <c r="BC171" i="1"/>
  <c r="BC172" i="1"/>
  <c r="BC176" i="1"/>
  <c r="AV176" i="1"/>
  <c r="BC190" i="1"/>
  <c r="I192" i="1"/>
  <c r="I188" i="1" s="1"/>
  <c r="BI192" i="1"/>
  <c r="AG192" i="1" s="1"/>
  <c r="AX192" i="1"/>
  <c r="AU188" i="1"/>
  <c r="BC199" i="1"/>
  <c r="AV199" i="1"/>
  <c r="BC203" i="1"/>
  <c r="H207" i="1"/>
  <c r="BH207" i="1"/>
  <c r="AF207" i="1" s="1"/>
  <c r="AW207" i="1"/>
  <c r="BH213" i="1"/>
  <c r="AF213" i="1" s="1"/>
  <c r="BH223" i="1"/>
  <c r="AB223" i="1" s="1"/>
  <c r="AW223" i="1"/>
  <c r="AV122" i="1"/>
  <c r="BC122" i="1"/>
  <c r="J131" i="1"/>
  <c r="AV141" i="1"/>
  <c r="BC141" i="1"/>
  <c r="BI149" i="1"/>
  <c r="BI165" i="1"/>
  <c r="AE165" i="1" s="1"/>
  <c r="AV179" i="1"/>
  <c r="BC179" i="1"/>
  <c r="BI182" i="1"/>
  <c r="AE182" i="1" s="1"/>
  <c r="AV192" i="1"/>
  <c r="AS188" i="1"/>
  <c r="I220" i="1"/>
  <c r="BI220" i="1"/>
  <c r="AC220" i="1" s="1"/>
  <c r="AX220" i="1"/>
  <c r="BC220" i="1" s="1"/>
  <c r="BI225" i="1"/>
  <c r="AC225" i="1" s="1"/>
  <c r="BC127" i="1"/>
  <c r="BC134" i="1"/>
  <c r="AV134" i="1"/>
  <c r="BC160" i="1"/>
  <c r="J188" i="1"/>
  <c r="BC192" i="1"/>
  <c r="BI194" i="1"/>
  <c r="AG194" i="1" s="1"/>
  <c r="AX194" i="1"/>
  <c r="AV220" i="1"/>
  <c r="BI235" i="1"/>
  <c r="AG235" i="1" s="1"/>
  <c r="BI120" i="1"/>
  <c r="AX120" i="1"/>
  <c r="BC120" i="1" s="1"/>
  <c r="BI147" i="1"/>
  <c r="AX147" i="1"/>
  <c r="BC150" i="1"/>
  <c r="AV150" i="1"/>
  <c r="I163" i="1"/>
  <c r="BC166" i="1"/>
  <c r="AV166" i="1"/>
  <c r="BC169" i="1"/>
  <c r="AV169" i="1"/>
  <c r="I174" i="1"/>
  <c r="BI174" i="1"/>
  <c r="AX174" i="1"/>
  <c r="AV174" i="1" s="1"/>
  <c r="I185" i="1"/>
  <c r="I183" i="1" s="1"/>
  <c r="BI185" i="1"/>
  <c r="AC185" i="1" s="1"/>
  <c r="AX185" i="1"/>
  <c r="AV185" i="1" s="1"/>
  <c r="AV189" i="1"/>
  <c r="BC189" i="1"/>
  <c r="BC194" i="1"/>
  <c r="AV194" i="1"/>
  <c r="BH211" i="1"/>
  <c r="AF211" i="1" s="1"/>
  <c r="AW211" i="1"/>
  <c r="BC226" i="1"/>
  <c r="AV226" i="1"/>
  <c r="H229" i="1"/>
  <c r="H228" i="1" s="1"/>
  <c r="BH229" i="1"/>
  <c r="AF229" i="1" s="1"/>
  <c r="AW229" i="1"/>
  <c r="BH233" i="1"/>
  <c r="AF233" i="1" s="1"/>
  <c r="AW233" i="1"/>
  <c r="AV247" i="1"/>
  <c r="AW116" i="1"/>
  <c r="AX124" i="1"/>
  <c r="BC124" i="1" s="1"/>
  <c r="AW125" i="1"/>
  <c r="BI134" i="1"/>
  <c r="AE134" i="1" s="1"/>
  <c r="BH136" i="1"/>
  <c r="AW143" i="1"/>
  <c r="BH151" i="1"/>
  <c r="AD151" i="1" s="1"/>
  <c r="BI166" i="1"/>
  <c r="AE166" i="1" s="1"/>
  <c r="BH168" i="1"/>
  <c r="AD168" i="1" s="1"/>
  <c r="H182" i="1"/>
  <c r="H181" i="1" s="1"/>
  <c r="BI226" i="1"/>
  <c r="AG226" i="1" s="1"/>
  <c r="BH227" i="1"/>
  <c r="BI237" i="1"/>
  <c r="AG237" i="1" s="1"/>
  <c r="BH239" i="1"/>
  <c r="AF239" i="1" s="1"/>
  <c r="AX247" i="1"/>
  <c r="BC247" i="1" s="1"/>
  <c r="AW249" i="1"/>
  <c r="BH130" i="1"/>
  <c r="BI176" i="1"/>
  <c r="AE176" i="1" s="1"/>
  <c r="BH178" i="1"/>
  <c r="AD178" i="1" s="1"/>
  <c r="AV114" i="1"/>
  <c r="BI122" i="1"/>
  <c r="AE122" i="1" s="1"/>
  <c r="BH124" i="1"/>
  <c r="AD124" i="1" s="1"/>
  <c r="AV133" i="1"/>
  <c r="AV165" i="1"/>
  <c r="AV182" i="1"/>
  <c r="BI189" i="1"/>
  <c r="AG189" i="1" s="1"/>
  <c r="BH190" i="1"/>
  <c r="AF190" i="1" s="1"/>
  <c r="C18" i="3" s="1"/>
  <c r="AV196" i="1"/>
  <c r="AV212" i="1"/>
  <c r="AV225" i="1"/>
  <c r="AV235" i="1"/>
  <c r="BI247" i="1"/>
  <c r="AG247" i="1" s="1"/>
  <c r="BH249" i="1"/>
  <c r="AF249" i="1" s="1"/>
  <c r="AV127" i="1"/>
  <c r="AV198" i="1"/>
  <c r="AV214" i="1"/>
  <c r="BH251" i="1"/>
  <c r="BC132" i="1" l="1"/>
  <c r="AV132" i="1"/>
  <c r="I139" i="1"/>
  <c r="BC249" i="1"/>
  <c r="AV249" i="1"/>
  <c r="BC211" i="1"/>
  <c r="AV211" i="1"/>
  <c r="BC92" i="1"/>
  <c r="AV92" i="1"/>
  <c r="BC38" i="1"/>
  <c r="AV38" i="1"/>
  <c r="AV106" i="1"/>
  <c r="BC125" i="1"/>
  <c r="AV125" i="1"/>
  <c r="BC186" i="1"/>
  <c r="AV186" i="1"/>
  <c r="AV124" i="1"/>
  <c r="BC221" i="1"/>
  <c r="AV221" i="1"/>
  <c r="BC56" i="1"/>
  <c r="AV56" i="1"/>
  <c r="AV44" i="1"/>
  <c r="BC26" i="1"/>
  <c r="AV26" i="1"/>
  <c r="I64" i="1"/>
  <c r="BC14" i="1"/>
  <c r="BC223" i="1"/>
  <c r="AV223" i="1"/>
  <c r="BC116" i="1"/>
  <c r="AV116" i="1"/>
  <c r="BC146" i="1"/>
  <c r="AV146" i="1"/>
  <c r="AV55" i="1"/>
  <c r="AV74" i="1"/>
  <c r="BC233" i="1"/>
  <c r="AV233" i="1"/>
  <c r="BC207" i="1"/>
  <c r="AV207" i="1"/>
  <c r="BC78" i="1"/>
  <c r="AV78" i="1"/>
  <c r="BC185" i="1"/>
  <c r="C15" i="3"/>
  <c r="C22" i="3" s="1"/>
  <c r="BC164" i="1"/>
  <c r="AV164" i="1"/>
  <c r="BC138" i="1"/>
  <c r="AV138" i="1"/>
  <c r="BC59" i="1"/>
  <c r="AV59" i="1"/>
  <c r="BC109" i="1"/>
  <c r="AV109" i="1"/>
  <c r="BC80" i="1"/>
  <c r="AV80" i="1"/>
  <c r="AV15" i="1"/>
  <c r="BC15" i="1"/>
  <c r="BC117" i="1"/>
  <c r="BC229" i="1"/>
  <c r="AV229" i="1"/>
  <c r="BC51" i="1"/>
  <c r="AV51" i="1"/>
  <c r="BC36" i="1"/>
  <c r="BC193" i="1"/>
  <c r="AV193" i="1"/>
  <c r="BC107" i="1"/>
  <c r="AV107" i="1"/>
  <c r="BC111" i="1"/>
  <c r="AV111" i="1"/>
  <c r="BC54" i="1"/>
  <c r="AV54" i="1"/>
  <c r="AV76" i="1"/>
  <c r="AV222" i="1"/>
  <c r="AV99" i="1"/>
  <c r="BC65" i="1"/>
  <c r="H64" i="1"/>
  <c r="BC100" i="1"/>
  <c r="AV100" i="1"/>
  <c r="BC75" i="1"/>
  <c r="AV75" i="1"/>
  <c r="AV120" i="1"/>
  <c r="BC35" i="1"/>
  <c r="AV35" i="1"/>
  <c r="BC31" i="1"/>
  <c r="AV31" i="1"/>
  <c r="BC46" i="1"/>
  <c r="AV46" i="1"/>
  <c r="BC66" i="1"/>
  <c r="AV66" i="1"/>
  <c r="BC89" i="1"/>
  <c r="AV89" i="1"/>
  <c r="BC143" i="1"/>
  <c r="AV143" i="1"/>
  <c r="BC148" i="1"/>
  <c r="AV148" i="1"/>
  <c r="AV88" i="1"/>
  <c r="BC161" i="1"/>
  <c r="AV161" i="1"/>
  <c r="BC33" i="1"/>
  <c r="AV33" i="1"/>
  <c r="AV97" i="1"/>
  <c r="BC195" i="1"/>
  <c r="AV195" i="1"/>
  <c r="BC119" i="1"/>
  <c r="AV119" i="1"/>
  <c r="AV32" i="1"/>
  <c r="BC32" i="1"/>
  <c r="BC18" i="1"/>
  <c r="AV18" i="1"/>
  <c r="H27" i="4" l="1"/>
  <c r="I27" i="4" s="1"/>
  <c r="F29" i="4" s="1"/>
  <c r="I22" i="3"/>
  <c r="C28" i="3" s="1"/>
  <c r="F28" i="3" l="1"/>
  <c r="I28" i="3"/>
  <c r="I29" i="3" l="1"/>
</calcChain>
</file>

<file path=xl/sharedStrings.xml><?xml version="1.0" encoding="utf-8"?>
<sst xmlns="http://schemas.openxmlformats.org/spreadsheetml/2006/main" count="3953" uniqueCount="912">
  <si>
    <t>Slepý stavební rozpočet</t>
  </si>
  <si>
    <t>Název stavby:</t>
  </si>
  <si>
    <t>Revitalizace městských bytů v Šumperku - BJ č.2</t>
  </si>
  <si>
    <t>Doba výstavby:</t>
  </si>
  <si>
    <t xml:space="preserve"> </t>
  </si>
  <si>
    <t>Objednatel:</t>
  </si>
  <si>
    <t>Město Šumperk, nám. Míru 1, 787 01 Šumperk</t>
  </si>
  <si>
    <t>Druh stavby:</t>
  </si>
  <si>
    <t>Bytový dům</t>
  </si>
  <si>
    <t>Začátek výstavby:</t>
  </si>
  <si>
    <t>Projektant:</t>
  </si>
  <si>
    <t>Ing. Petr Doleček</t>
  </si>
  <si>
    <t>Lokalita:</t>
  </si>
  <si>
    <t>17.listopadu 1326/5 Šumperk</t>
  </si>
  <si>
    <t>Konec výstavby:</t>
  </si>
  <si>
    <t>Zhotovitel:</t>
  </si>
  <si>
    <t> </t>
  </si>
  <si>
    <t>JKSO:</t>
  </si>
  <si>
    <t>Zpracováno dne:</t>
  </si>
  <si>
    <t>26.06.2024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</si>
  <si>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</si>
  <si>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</si>
  <si>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</si>
  <si>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</si>
  <si>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</si>
  <si>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</si>
  <si>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</si>
  <si>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</si>
  <si>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</si>
  <si>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</si>
  <si>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</si>
  <si>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</si>
  <si>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</si>
  <si>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</si>
  <si>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</si>
  <si>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</si>
  <si>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</si>
  <si>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</si>
  <si>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</si>
  <si>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</si>
  <si>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</si>
  <si>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</si>
  <si>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</si>
  <si>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</si>
  <si>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</si>
  <si>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</si>
  <si>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</si>
  <si>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</si>
  <si>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</si>
  <si>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</si>
  <si>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</si>
  <si>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34</t>
  </si>
  <si>
    <t>Stěny a příčky</t>
  </si>
  <si>
    <t>1</t>
  </si>
  <si>
    <t>968061126R00</t>
  </si>
  <si>
    <t>Vyvěšení dřevěných a plastových dveřních křídel pl. nad 2 m2</t>
  </si>
  <si>
    <t>kus</t>
  </si>
  <si>
    <t>RTS I / 2024</t>
  </si>
  <si>
    <t>34_</t>
  </si>
  <si>
    <t>3_</t>
  </si>
  <si>
    <t>_</t>
  </si>
  <si>
    <t>2</t>
  </si>
  <si>
    <t>968062456R00</t>
  </si>
  <si>
    <t>Vybourání dřevěných dveřních zárubní pl. nad 2 m2</t>
  </si>
  <si>
    <t>m2</t>
  </si>
  <si>
    <t>3</t>
  </si>
  <si>
    <t>460680023RT2</t>
  </si>
  <si>
    <t>Průraz zdivem v cihlové zdi tloušťky 45 cm</t>
  </si>
  <si>
    <t>Varianta:</t>
  </si>
  <si>
    <t>plochy do 0,025 m2</t>
  </si>
  <si>
    <t>4</t>
  </si>
  <si>
    <t>767312739R00</t>
  </si>
  <si>
    <t>Úprava pro prostup potrubí</t>
  </si>
  <si>
    <t>5</t>
  </si>
  <si>
    <t>974031122R00</t>
  </si>
  <si>
    <t>Vysekání rýh ve zdi cihelné 3 x 7 cm</t>
  </si>
  <si>
    <t>m</t>
  </si>
  <si>
    <t>6</t>
  </si>
  <si>
    <t>974031133R00</t>
  </si>
  <si>
    <t>Vysekání rýh ve zdi cihelné 5 x 10 cm</t>
  </si>
  <si>
    <t>7</t>
  </si>
  <si>
    <t>974031143R00</t>
  </si>
  <si>
    <t>Vysekání rýh ve zdi cihelné 7 x 10 cm</t>
  </si>
  <si>
    <t>8</t>
  </si>
  <si>
    <t>979082212R00</t>
  </si>
  <si>
    <t>Vodorovná doprava suti po suchu do 50 m</t>
  </si>
  <si>
    <t>t</t>
  </si>
  <si>
    <t>9</t>
  </si>
  <si>
    <t>979083117R00</t>
  </si>
  <si>
    <t>Vodorovné přemístění suti na skládku do 6000 m</t>
  </si>
  <si>
    <t>10</t>
  </si>
  <si>
    <t>979990101R00</t>
  </si>
  <si>
    <t>Poplatek za uložení směsi betonu a cihel skupina 170101 a 170102</t>
  </si>
  <si>
    <t>RTS I / 2022</t>
  </si>
  <si>
    <t>11</t>
  </si>
  <si>
    <t>340271612R00</t>
  </si>
  <si>
    <t>Zazdívka otvorů pl.do 4 m2, pórobet.tvár,tl.12,5cm</t>
  </si>
  <si>
    <t>m3</t>
  </si>
  <si>
    <t>61</t>
  </si>
  <si>
    <t>Úprava povrchů vnitřní</t>
  </si>
  <si>
    <t>12</t>
  </si>
  <si>
    <t>610991111R00</t>
  </si>
  <si>
    <t>Zakrývání výplní vnitřních otvorů</t>
  </si>
  <si>
    <t>61_</t>
  </si>
  <si>
    <t>6_</t>
  </si>
  <si>
    <t>13</t>
  </si>
  <si>
    <t>978500010RA0</t>
  </si>
  <si>
    <t>Odsekání vnitřních obkladů</t>
  </si>
  <si>
    <t>14</t>
  </si>
  <si>
    <t>15</t>
  </si>
  <si>
    <t>16</t>
  </si>
  <si>
    <t>979990001R00</t>
  </si>
  <si>
    <t>Poplatek za skládku stavební suti</t>
  </si>
  <si>
    <t>RTS I / 2020</t>
  </si>
  <si>
    <t>17</t>
  </si>
  <si>
    <t>612403386R00</t>
  </si>
  <si>
    <t>Hrubá výplň rýh ve stěnách do 10x10cm maltou z SMS</t>
  </si>
  <si>
    <t>18</t>
  </si>
  <si>
    <t>319201315R00</t>
  </si>
  <si>
    <t>Vyrovnání zdiva pod omítku maltou ze SMS tl. 10 mm</t>
  </si>
  <si>
    <t>19</t>
  </si>
  <si>
    <t>711212311R00</t>
  </si>
  <si>
    <t>Penetrace savých podkladů weberpodklad A</t>
  </si>
  <si>
    <t>20</t>
  </si>
  <si>
    <t>781101142R00</t>
  </si>
  <si>
    <t>Hydroizolační stěrka dvouvrstvá pod obklady</t>
  </si>
  <si>
    <t>21</t>
  </si>
  <si>
    <t>585811012</t>
  </si>
  <si>
    <t>SE6 jednosložková hydroizolační stěrka</t>
  </si>
  <si>
    <t>kg</t>
  </si>
  <si>
    <t>22</t>
  </si>
  <si>
    <t>781475116R00</t>
  </si>
  <si>
    <t>Obklad vnitřní stěn keramický, do tmele, 30x30 cm</t>
  </si>
  <si>
    <t>23</t>
  </si>
  <si>
    <t>781497131R00</t>
  </si>
  <si>
    <t>Lišta nerezová ukončovacích k obkladům</t>
  </si>
  <si>
    <t>24</t>
  </si>
  <si>
    <t>612481211RU1</t>
  </si>
  <si>
    <t>Montáž výztužné sítě(perlinky)do stěrky-vnit.stěny</t>
  </si>
  <si>
    <t>včetně výztužné sítě a stěrkového tmelu Terranova</t>
  </si>
  <si>
    <t>25</t>
  </si>
  <si>
    <t>620991005R00</t>
  </si>
  <si>
    <t>Začišťovací okenní lišta s tkaninou</t>
  </si>
  <si>
    <t>26</t>
  </si>
  <si>
    <t>602013142R00</t>
  </si>
  <si>
    <t>Štuk na stěnách univerzální MVJ 2 ručně</t>
  </si>
  <si>
    <t>27</t>
  </si>
  <si>
    <t>612421431RT2</t>
  </si>
  <si>
    <t>Oprava vápen.omítek stěn do 50 % pl. - štukových</t>
  </si>
  <si>
    <t>s použitím suché maltové směsi</t>
  </si>
  <si>
    <t>28</t>
  </si>
  <si>
    <t>998011001R00</t>
  </si>
  <si>
    <t>Přesun hmot pro budovy zděné výšky do 6 m</t>
  </si>
  <si>
    <t>64</t>
  </si>
  <si>
    <t>Výplně otvorů</t>
  </si>
  <si>
    <t>29</t>
  </si>
  <si>
    <t>762300001</t>
  </si>
  <si>
    <t>Zavěšení konstrukcí dveřních křídel</t>
  </si>
  <si>
    <t>64_</t>
  </si>
  <si>
    <t>721</t>
  </si>
  <si>
    <t>Vnitřní kanalizace</t>
  </si>
  <si>
    <t>30</t>
  </si>
  <si>
    <t>721176103R00</t>
  </si>
  <si>
    <t>Potrubí HT připojovací D 50 x 1,8 mm</t>
  </si>
  <si>
    <t>721_</t>
  </si>
  <si>
    <t>72_</t>
  </si>
  <si>
    <t>31</t>
  </si>
  <si>
    <t>721194105R00</t>
  </si>
  <si>
    <t>Vyvedení odpadních výpustek, D 50 x 1,8 mm</t>
  </si>
  <si>
    <t>32</t>
  </si>
  <si>
    <t>721140915R00</t>
  </si>
  <si>
    <t>Provedení opravy vnitřní kanalizace, potrubí litinové, propojení dosavadního potrubí, DN 100 mm</t>
  </si>
  <si>
    <t>33</t>
  </si>
  <si>
    <t>892561111R00</t>
  </si>
  <si>
    <t>Zkouška těsnosti kanalizace DN do 125, vodou</t>
  </si>
  <si>
    <t>998721101R00</t>
  </si>
  <si>
    <t>Přesun hmot pro vnitřní kanalizaci, výšky do 6 m</t>
  </si>
  <si>
    <t>722</t>
  </si>
  <si>
    <t>Vnitřní vodovod</t>
  </si>
  <si>
    <t>35</t>
  </si>
  <si>
    <t>722172311R00</t>
  </si>
  <si>
    <t>Potrubí z PPR, D 20x2,8 mm, PN 16, vč.zed.výpom.</t>
  </si>
  <si>
    <t>722_</t>
  </si>
  <si>
    <t>36</t>
  </si>
  <si>
    <t>722174912R00</t>
  </si>
  <si>
    <t>Sestavení plastového rozvodu vody D 20 mm</t>
  </si>
  <si>
    <t>37</t>
  </si>
  <si>
    <t>722181213RT7</t>
  </si>
  <si>
    <t>Izolace návleková MIRELON PRO tl. stěny 13 mm</t>
  </si>
  <si>
    <t>vnitřní průměr 22 mm</t>
  </si>
  <si>
    <t>38</t>
  </si>
  <si>
    <t>722190401R00</t>
  </si>
  <si>
    <t>Vyvedení a upevnění výpustek DN 15 mm</t>
  </si>
  <si>
    <t>39</t>
  </si>
  <si>
    <t>722220111R00</t>
  </si>
  <si>
    <t>Nástěnka K 247, pro výtokový ventil G 1/2"</t>
  </si>
  <si>
    <t>40</t>
  </si>
  <si>
    <t>722220121R00</t>
  </si>
  <si>
    <t>Nástěnka K 247, pro baterii G 1/2"</t>
  </si>
  <si>
    <t>pár</t>
  </si>
  <si>
    <t>41</t>
  </si>
  <si>
    <t>722290226R00</t>
  </si>
  <si>
    <t>Zkouška tlaku potrubí závitového DN 50 mm</t>
  </si>
  <si>
    <t>42</t>
  </si>
  <si>
    <t>722290234R00</t>
  </si>
  <si>
    <t>Proplach a dezinfekce vodovodního potrubí DN 80 mm</t>
  </si>
  <si>
    <t>43</t>
  </si>
  <si>
    <t>998722101R00</t>
  </si>
  <si>
    <t>Přesun hmot pro vnitřní vodovod, výšky do 6 m</t>
  </si>
  <si>
    <t>725</t>
  </si>
  <si>
    <t>Zařizovací předměty</t>
  </si>
  <si>
    <t>44</t>
  </si>
  <si>
    <t>725290020RA0</t>
  </si>
  <si>
    <t>Demontáž umyvadla včetně baterie a konzol</t>
  </si>
  <si>
    <t>725_</t>
  </si>
  <si>
    <t>45</t>
  </si>
  <si>
    <t>725220851R00</t>
  </si>
  <si>
    <t>Demontáž van včetně vybourání obezdezdívky</t>
  </si>
  <si>
    <t>soubor</t>
  </si>
  <si>
    <t>46</t>
  </si>
  <si>
    <t>725240811R00</t>
  </si>
  <si>
    <t>Demontáž sprchových kabin bez výtokových armatur</t>
  </si>
  <si>
    <t>47</t>
  </si>
  <si>
    <t>725820801R00</t>
  </si>
  <si>
    <t>Demontáž baterie nástěnné do G 3/4</t>
  </si>
  <si>
    <t>48</t>
  </si>
  <si>
    <t>725829201RT1</t>
  </si>
  <si>
    <t>Montáž baterie umyv.a dřezové nástěnné chromové</t>
  </si>
  <si>
    <t>včetně dodávky pákové baterie</t>
  </si>
  <si>
    <t>49</t>
  </si>
  <si>
    <t>725200030RA0</t>
  </si>
  <si>
    <t>Montáž zařizovacích předmětů - umyvadlo</t>
  </si>
  <si>
    <t>50</t>
  </si>
  <si>
    <t>64214361</t>
  </si>
  <si>
    <t>Umyvadlo LYRA Plus s otv. bater. 600x490x195 mm</t>
  </si>
  <si>
    <t>51</t>
  </si>
  <si>
    <t>725860251R00</t>
  </si>
  <si>
    <t>Sifon umyvadlový chromovaný Raf SV1410</t>
  </si>
  <si>
    <t>52</t>
  </si>
  <si>
    <t>725849205R00</t>
  </si>
  <si>
    <t>Montáž baterie sprchové podomítkové</t>
  </si>
  <si>
    <t>53</t>
  </si>
  <si>
    <t>551450090</t>
  </si>
  <si>
    <t>Baterie sprchová směšovací nástěnná PL80B</t>
  </si>
  <si>
    <t>54</t>
  </si>
  <si>
    <t>725249103R00</t>
  </si>
  <si>
    <t>Montáž sprchových koutů</t>
  </si>
  <si>
    <t>vč. obezdení vaničky</t>
  </si>
  <si>
    <t>55</t>
  </si>
  <si>
    <t>55423054.A</t>
  </si>
  <si>
    <t>Sprchová vanička akrylátová Rhea 1200 x 730 x 150 mm, 99 l, bílá</t>
  </si>
  <si>
    <t>56</t>
  </si>
  <si>
    <t>55428083VD</t>
  </si>
  <si>
    <t>Sprchová zástěna čtvercová 730 x 1200 x 1850 mm</t>
  </si>
  <si>
    <t>57</t>
  </si>
  <si>
    <t>725860227RT1</t>
  </si>
  <si>
    <t>Sifon ke sprchové vaničce PP HL520, D 50 mm</t>
  </si>
  <si>
    <t>HL 520, s krytkou z nerez oceli</t>
  </si>
  <si>
    <t>58</t>
  </si>
  <si>
    <t>55145352</t>
  </si>
  <si>
    <t>Set sprchový hadice, růžice, držák 901.00</t>
  </si>
  <si>
    <t>59</t>
  </si>
  <si>
    <t>725849302R00</t>
  </si>
  <si>
    <t>Montáž držáku sprchy</t>
  </si>
  <si>
    <t>60</t>
  </si>
  <si>
    <t>725200040RA0</t>
  </si>
  <si>
    <t>Montáž zařizovacích předmětů - vana</t>
  </si>
  <si>
    <t>725100003RA0</t>
  </si>
  <si>
    <t>Vana, baterie, zápachová uzávěrka, obezdění</t>
  </si>
  <si>
    <t>62</t>
  </si>
  <si>
    <t>766495100R00</t>
  </si>
  <si>
    <t>Zhotovení otvorů pro instal. dvířka do 0,9 m2</t>
  </si>
  <si>
    <t>63</t>
  </si>
  <si>
    <t>763761201R00</t>
  </si>
  <si>
    <t>Montáž otvorových výplní - dvířek, poklopů</t>
  </si>
  <si>
    <t>725980113R00</t>
  </si>
  <si>
    <t>Dvířka vanová 300 x 300 mm</t>
  </si>
  <si>
    <t>65</t>
  </si>
  <si>
    <t>725017352R00</t>
  </si>
  <si>
    <t>Umývátko na šrouby LYRA Plus, 450 x 370 mm, bílé</t>
  </si>
  <si>
    <t>66</t>
  </si>
  <si>
    <t>725829301RT2</t>
  </si>
  <si>
    <t>Montáž baterie umyvadlové a dřezové stojánkové</t>
  </si>
  <si>
    <t>včetně baterie</t>
  </si>
  <si>
    <t>67</t>
  </si>
  <si>
    <t>725860184RT1</t>
  </si>
  <si>
    <t>Sifon pračkový HL406, D 40/50 mm</t>
  </si>
  <si>
    <t>podomítkový, pochromovaný výtokový ventil 1/2 "</t>
  </si>
  <si>
    <t>68</t>
  </si>
  <si>
    <t>998725101R00</t>
  </si>
  <si>
    <t>Přesun hmot pro zařizovací předměty, výšky do 6 m</t>
  </si>
  <si>
    <t>728</t>
  </si>
  <si>
    <t>Vzduchotechnika</t>
  </si>
  <si>
    <t>69</t>
  </si>
  <si>
    <t>728_</t>
  </si>
  <si>
    <t>70</t>
  </si>
  <si>
    <t>728614611R00</t>
  </si>
  <si>
    <t>Montáž ventilátoru axiálního nízkotlakového nástěnného do d 100 mm</t>
  </si>
  <si>
    <t>71</t>
  </si>
  <si>
    <t>429148017</t>
  </si>
  <si>
    <t>Ventilátor axiální do koupelny VENTS 100SV</t>
  </si>
  <si>
    <t>72</t>
  </si>
  <si>
    <t>728415121R00</t>
  </si>
  <si>
    <t>Montáž mřížky větrací nebo ventilační do d 100 mm</t>
  </si>
  <si>
    <t>73</t>
  </si>
  <si>
    <t>429727810</t>
  </si>
  <si>
    <t>Mřížka kruhová PVC průměr 100 mm</t>
  </si>
  <si>
    <t>74</t>
  </si>
  <si>
    <t>998728101R00</t>
  </si>
  <si>
    <t>Přesun hmot pro vzduchotechniku, výšky do 6 m</t>
  </si>
  <si>
    <t>731</t>
  </si>
  <si>
    <t>Kotelny</t>
  </si>
  <si>
    <t>75</t>
  </si>
  <si>
    <t>731391825R00</t>
  </si>
  <si>
    <t>Vypouštění vody z kotlů čerpadlem do 100 m2</t>
  </si>
  <si>
    <t>731_</t>
  </si>
  <si>
    <t>73_</t>
  </si>
  <si>
    <t>76</t>
  </si>
  <si>
    <t>731200823R00</t>
  </si>
  <si>
    <t>Demontáž kotle ocel.,kapal./plyn, do 25 kW</t>
  </si>
  <si>
    <t>77</t>
  </si>
  <si>
    <t>731249322R00</t>
  </si>
  <si>
    <t>Montáž závěsných kotlů turbo s TUV, odkouření</t>
  </si>
  <si>
    <t>78</t>
  </si>
  <si>
    <t>48417461</t>
  </si>
  <si>
    <t>Kotel Therm PRO 14 KX.A (55 l) s integrovaným zásobníkem TV</t>
  </si>
  <si>
    <t>79</t>
  </si>
  <si>
    <t>731411273R00</t>
  </si>
  <si>
    <t>Průchodka střeš.pro vodorovnou střechu,turbokotle</t>
  </si>
  <si>
    <t>80</t>
  </si>
  <si>
    <t>731412577R00</t>
  </si>
  <si>
    <t>Kryt komína, šachty pro kondenzační kotel</t>
  </si>
  <si>
    <t>81</t>
  </si>
  <si>
    <t>731412232R00</t>
  </si>
  <si>
    <t>Odkouření připojení na komín 80/125 mm PP dl.0,5 m</t>
  </si>
  <si>
    <t>sada</t>
  </si>
  <si>
    <t>82</t>
  </si>
  <si>
    <t>731412211R00</t>
  </si>
  <si>
    <t>Odkouř. koax.svislé 80/125 PP dl.1,5m vč.stř.nást.</t>
  </si>
  <si>
    <t>83</t>
  </si>
  <si>
    <t>731412253R00</t>
  </si>
  <si>
    <t>Kus prodlužovací odkouření 80/125 mm PP dl. 2,0 m</t>
  </si>
  <si>
    <t>84</t>
  </si>
  <si>
    <t>998731101R00</t>
  </si>
  <si>
    <t>Přesun hmot pro kotelny, výšky do 6 m</t>
  </si>
  <si>
    <t>732</t>
  </si>
  <si>
    <t>Strojovny</t>
  </si>
  <si>
    <t>85</t>
  </si>
  <si>
    <t>732331512R00</t>
  </si>
  <si>
    <t>Nádoby expanzní tlak.s memb.Expanzomat, 12 l</t>
  </si>
  <si>
    <t>732_</t>
  </si>
  <si>
    <t>733</t>
  </si>
  <si>
    <t>Rozvod potrubí</t>
  </si>
  <si>
    <t>86</t>
  </si>
  <si>
    <t>733163103R00</t>
  </si>
  <si>
    <t>Potrubí z měděných trubek vytápění D 18 x 1,0 mm</t>
  </si>
  <si>
    <t>733_</t>
  </si>
  <si>
    <t>87</t>
  </si>
  <si>
    <t>722181212RT6</t>
  </si>
  <si>
    <t>Izolace návleková MIRELON PRO tl. stěny 9 mm</t>
  </si>
  <si>
    <t>vnitřní průměr 18 mm</t>
  </si>
  <si>
    <t>88</t>
  </si>
  <si>
    <t>733190106R00</t>
  </si>
  <si>
    <t>Tlaková zkouška potrubí  DN 32</t>
  </si>
  <si>
    <t>89</t>
  </si>
  <si>
    <t>998733101R00</t>
  </si>
  <si>
    <t>Přesun hmot pro rozvody potrubí, výšky do 6 m</t>
  </si>
  <si>
    <t>734</t>
  </si>
  <si>
    <t>Armatury</t>
  </si>
  <si>
    <t>90</t>
  </si>
  <si>
    <t>734223112RT1</t>
  </si>
  <si>
    <t>Ventil termostatický, rohový, IVAR.VS DN 15</t>
  </si>
  <si>
    <t>734_</t>
  </si>
  <si>
    <t>bez termostatické hlavice</t>
  </si>
  <si>
    <t>91</t>
  </si>
  <si>
    <t>734221672R00</t>
  </si>
  <si>
    <t>Hlavice ovládání ventilů termostatická</t>
  </si>
  <si>
    <t>92</t>
  </si>
  <si>
    <t>998734101R00</t>
  </si>
  <si>
    <t>Přesun hmot pro armatury, výšky do 6 m</t>
  </si>
  <si>
    <t>735</t>
  </si>
  <si>
    <t>Otopná tělesa</t>
  </si>
  <si>
    <t>93</t>
  </si>
  <si>
    <t>735411812R00</t>
  </si>
  <si>
    <t>Demontáž konvektorů, délka do 1600 mm</t>
  </si>
  <si>
    <t>735_</t>
  </si>
  <si>
    <t>94</t>
  </si>
  <si>
    <t>735171132R00</t>
  </si>
  <si>
    <t>Těleso trub.Koralux Linear Comfort-M KLTM 1500.750</t>
  </si>
  <si>
    <t>vč. napojení na okruh ÚT</t>
  </si>
  <si>
    <t>95</t>
  </si>
  <si>
    <t>998735101R00</t>
  </si>
  <si>
    <t>Přesun hmot pro otopná tělesa, výšky do 6 m</t>
  </si>
  <si>
    <t>766</t>
  </si>
  <si>
    <t>Konstrukce truhlářské</t>
  </si>
  <si>
    <t>96</t>
  </si>
  <si>
    <t>766825821R00</t>
  </si>
  <si>
    <t>Demontáž vestavěných skříní 2křídlových</t>
  </si>
  <si>
    <t>766_</t>
  </si>
  <si>
    <t>76_</t>
  </si>
  <si>
    <t>97</t>
  </si>
  <si>
    <t>615290002VD</t>
  </si>
  <si>
    <t>Vestavná skříň</t>
  </si>
  <si>
    <t>98</t>
  </si>
  <si>
    <t>766810011VD</t>
  </si>
  <si>
    <t>Kuchyňské linky dodávka a montáž</t>
  </si>
  <si>
    <t>linka 320 cm</t>
  </si>
  <si>
    <t>99</t>
  </si>
  <si>
    <t>998766101R00</t>
  </si>
  <si>
    <t>Přesun hmot pro truhlářské konstr., výšky do 6 m</t>
  </si>
  <si>
    <t>767</t>
  </si>
  <si>
    <t>Konstrukce doplňkové stavební (zámečnické)</t>
  </si>
  <si>
    <t>100</t>
  </si>
  <si>
    <t>767200002RA0</t>
  </si>
  <si>
    <t>Zábradlí balkonové, nátěry</t>
  </si>
  <si>
    <t>767_</t>
  </si>
  <si>
    <t>771</t>
  </si>
  <si>
    <t>Podlahy z dlaždic</t>
  </si>
  <si>
    <t>101</t>
  </si>
  <si>
    <t>976071111R00</t>
  </si>
  <si>
    <t>Vybourání kovových zábradlí a madel</t>
  </si>
  <si>
    <t>771_</t>
  </si>
  <si>
    <t>77_</t>
  </si>
  <si>
    <t>102</t>
  </si>
  <si>
    <t>771990010RA0</t>
  </si>
  <si>
    <t>Vybourání keramické nebo teracové dlažby</t>
  </si>
  <si>
    <t>103</t>
  </si>
  <si>
    <t>965200013RA0</t>
  </si>
  <si>
    <t>Bourání mazanin betonových s potěrem nebo teracem</t>
  </si>
  <si>
    <t>104</t>
  </si>
  <si>
    <t>762900060RAB</t>
  </si>
  <si>
    <t>Demontáž dřevěných podlah z prken</t>
  </si>
  <si>
    <t>s polštáři</t>
  </si>
  <si>
    <t>105</t>
  </si>
  <si>
    <t>713190813R00</t>
  </si>
  <si>
    <t>Odstranění tepelné izolace ze sypkých hmot, lože ze škváry, tl. do 150 mm</t>
  </si>
  <si>
    <t>106</t>
  </si>
  <si>
    <t>107</t>
  </si>
  <si>
    <t>108</t>
  </si>
  <si>
    <t>979990265R00</t>
  </si>
  <si>
    <t>Poplatek za uložení směsné stavební a demoliční suti s obsahem nebezpečných látek</t>
  </si>
  <si>
    <t>109</t>
  </si>
  <si>
    <t>110</t>
  </si>
  <si>
    <t>781101111R00</t>
  </si>
  <si>
    <t>Vyrovnání podkladu maltou ze SMS tl. do 7 mm</t>
  </si>
  <si>
    <t>111</t>
  </si>
  <si>
    <t>632421470R00</t>
  </si>
  <si>
    <t>Provedení potěru ve spádu, ruční zpracování, tloušťky 60 mm, bez penetrace podkladu</t>
  </si>
  <si>
    <t>112</t>
  </si>
  <si>
    <t>457311117R00</t>
  </si>
  <si>
    <t>Vyrovnávací beton výplňový nebo spádový C 20/25</t>
  </si>
  <si>
    <t>113</t>
  </si>
  <si>
    <t>711150014RAD</t>
  </si>
  <si>
    <t>Izolace proti vodě svislá přitavená, 1x</t>
  </si>
  <si>
    <t>1x ALP, 1x Extrasklobit</t>
  </si>
  <si>
    <t>114</t>
  </si>
  <si>
    <t>771575032RAB</t>
  </si>
  <si>
    <t>Dlažba teras, balk. s izolací Mapei, nad 20 x 20cm</t>
  </si>
  <si>
    <t>izolace Mapelastic, tmel Keraflex</t>
  </si>
  <si>
    <t>115</t>
  </si>
  <si>
    <t>767425134R00</t>
  </si>
  <si>
    <t>Oplechování ukončujících částí rš.300 mm</t>
  </si>
  <si>
    <t xml:space="preserve">Pz plech lakovaný
</t>
  </si>
  <si>
    <t>116</t>
  </si>
  <si>
    <t>771475014R00</t>
  </si>
  <si>
    <t>Obklad soklíků keram.rovných, tmel,výška 10 cm</t>
  </si>
  <si>
    <t>117</t>
  </si>
  <si>
    <t>771101210R00</t>
  </si>
  <si>
    <t>Penetrace podkladu pod dlažby</t>
  </si>
  <si>
    <t>118</t>
  </si>
  <si>
    <t>713191100RT9</t>
  </si>
  <si>
    <t>Položení separační fólie</t>
  </si>
  <si>
    <t>včetně dodávky PE fólie</t>
  </si>
  <si>
    <t>119</t>
  </si>
  <si>
    <t>631591211R00</t>
  </si>
  <si>
    <t>Násyp pod podlahy FERMACELL do 100 mm</t>
  </si>
  <si>
    <t>120</t>
  </si>
  <si>
    <t>635110051R00</t>
  </si>
  <si>
    <t>Montáž suchých podlah z dílců na pero a drážku</t>
  </si>
  <si>
    <t>121</t>
  </si>
  <si>
    <t>59597014</t>
  </si>
  <si>
    <t>Deska sádrovláknitá FERMACELL, rozměr 2500 x 1250 x 12,5 mm</t>
  </si>
  <si>
    <t>122</t>
  </si>
  <si>
    <t>713121111RT1</t>
  </si>
  <si>
    <t>Montáž tepelné nebo kročejové izolace podlah na sucho, jednovrstvé</t>
  </si>
  <si>
    <t>materiál ve specifikaci</t>
  </si>
  <si>
    <t>123</t>
  </si>
  <si>
    <t>63153802.A</t>
  </si>
  <si>
    <t>Deska z minerální vlny podlahová tuhá STEPROCK HD tl. 40 x 600 x 1000 mm</t>
  </si>
  <si>
    <t>124</t>
  </si>
  <si>
    <t>635111041R00</t>
  </si>
  <si>
    <t>Podlaha Fermacell Powerpanel TE,desky 25 mm</t>
  </si>
  <si>
    <t>125</t>
  </si>
  <si>
    <t>711212012R00</t>
  </si>
  <si>
    <t>Hydroizolační povlak vyztužený tkaninou</t>
  </si>
  <si>
    <t>126</t>
  </si>
  <si>
    <t>711212241R00</t>
  </si>
  <si>
    <t>Těsnění prostupů těsnicí manžetou FERMACELL</t>
  </si>
  <si>
    <t>127</t>
  </si>
  <si>
    <t>711212601R00</t>
  </si>
  <si>
    <t>Utěsnění detailů při stěrkových hydroizolacích, těsnicí pás do spoje podlaha - stěna</t>
  </si>
  <si>
    <t>128</t>
  </si>
  <si>
    <t>771570014RA0</t>
  </si>
  <si>
    <t>Dlažba z dlaždic keramických 30 x 30 cm</t>
  </si>
  <si>
    <t>129</t>
  </si>
  <si>
    <t>998771102R00</t>
  </si>
  <si>
    <t>Přesun hmot pro podlahy z dlaždic, výšky do 12 m</t>
  </si>
  <si>
    <t>783</t>
  </si>
  <si>
    <t>Nátěry</t>
  </si>
  <si>
    <t>130</t>
  </si>
  <si>
    <t>783900030RAB</t>
  </si>
  <si>
    <t>Odstranění nátěrů z truhlářských výrobků</t>
  </si>
  <si>
    <t>783_</t>
  </si>
  <si>
    <t>78_</t>
  </si>
  <si>
    <t>opálením s obroušením</t>
  </si>
  <si>
    <t>131</t>
  </si>
  <si>
    <t>783624200R00</t>
  </si>
  <si>
    <t>Nátěr synt. truhl. výrobků 2x + 1x email + 1x tmel</t>
  </si>
  <si>
    <t>132</t>
  </si>
  <si>
    <t>783220010RAC</t>
  </si>
  <si>
    <t>Nátěr kovových doplňkových konstrukcí syntetický</t>
  </si>
  <si>
    <t>dvojnásobný krycí s 1x emailováním</t>
  </si>
  <si>
    <t>784</t>
  </si>
  <si>
    <t>Malby</t>
  </si>
  <si>
    <t>133</t>
  </si>
  <si>
    <t>784450075RA0</t>
  </si>
  <si>
    <t>Malba disperzní, penetrace 1x, malba bílá 2x</t>
  </si>
  <si>
    <t>784_</t>
  </si>
  <si>
    <t>Různé dokončovací konstrukce a práce na pozemních stavbách</t>
  </si>
  <si>
    <t>134</t>
  </si>
  <si>
    <t>953941395R00</t>
  </si>
  <si>
    <t>Vystavení revizní zprávy-požární hasicí přístroj</t>
  </si>
  <si>
    <t>95_</t>
  </si>
  <si>
    <t>9_</t>
  </si>
  <si>
    <t>135</t>
  </si>
  <si>
    <t>953941312R00</t>
  </si>
  <si>
    <t>Osazení požárního hasicího přístroje na stěnu</t>
  </si>
  <si>
    <t>136</t>
  </si>
  <si>
    <t>44984114</t>
  </si>
  <si>
    <t>Přístroj hasicí práškový P6Te</t>
  </si>
  <si>
    <t>137</t>
  </si>
  <si>
    <t>222330891R00</t>
  </si>
  <si>
    <t>Kouřový nasávací hlásič 1kanálový, na úchytné body</t>
  </si>
  <si>
    <t>M21</t>
  </si>
  <si>
    <t>Elektromontáže</t>
  </si>
  <si>
    <t>138</t>
  </si>
  <si>
    <t>210000001VD</t>
  </si>
  <si>
    <t>Demontáže stávajících prvků elektro k jejich výměně</t>
  </si>
  <si>
    <t>soub.</t>
  </si>
  <si>
    <t>M21_</t>
  </si>
  <si>
    <t>139</t>
  </si>
  <si>
    <t>210120901R00</t>
  </si>
  <si>
    <t>Hlavní vypínač v rozvaděči</t>
  </si>
  <si>
    <t>140</t>
  </si>
  <si>
    <t>35822000002VD</t>
  </si>
  <si>
    <t>Hlavní vypínač 25A</t>
  </si>
  <si>
    <t>141</t>
  </si>
  <si>
    <t>650063212R00</t>
  </si>
  <si>
    <t>Montáž svodiče přepětí</t>
  </si>
  <si>
    <t>142</t>
  </si>
  <si>
    <t>357160002VD</t>
  </si>
  <si>
    <t>Svodič přepětí B+C, EATON SPBT12-280/4</t>
  </si>
  <si>
    <t>143</t>
  </si>
  <si>
    <t>210120569R00</t>
  </si>
  <si>
    <t>Jistič trojpólový do 25 A se zapojením</t>
  </si>
  <si>
    <t>144</t>
  </si>
  <si>
    <t>35822000003VD</t>
  </si>
  <si>
    <t>Jistič EATON třífázový 16A</t>
  </si>
  <si>
    <t>145</t>
  </si>
  <si>
    <t>210120813R00</t>
  </si>
  <si>
    <t>Chránič proudový do 16 A</t>
  </si>
  <si>
    <t>146</t>
  </si>
  <si>
    <t>35822000004VD</t>
  </si>
  <si>
    <t>Proudový chránič s nadproud. ochranou šířka 1 modul, 10A</t>
  </si>
  <si>
    <t>147</t>
  </si>
  <si>
    <t>35822000005VD</t>
  </si>
  <si>
    <t>Proudový chránič s nadproud. ochranou šířka 2 moduly, 10A</t>
  </si>
  <si>
    <t>148</t>
  </si>
  <si>
    <t>35822000006VD</t>
  </si>
  <si>
    <t>Proudový chránič s nadproud. ochranou šířka 2 moduly, 16A</t>
  </si>
  <si>
    <t>149</t>
  </si>
  <si>
    <t>35822000007VD</t>
  </si>
  <si>
    <t>Proudový chránič s nadproud. ochranou šířka 2 moduly, 20A</t>
  </si>
  <si>
    <t>150</t>
  </si>
  <si>
    <t>210010527R00</t>
  </si>
  <si>
    <t>Montáž a připojení svorkovnice</t>
  </si>
  <si>
    <t>151</t>
  </si>
  <si>
    <t>34563101</t>
  </si>
  <si>
    <t>Svorkovnice pětipólová s krytem 3938A-A106B</t>
  </si>
  <si>
    <t>152</t>
  </si>
  <si>
    <t>210111011RT7</t>
  </si>
  <si>
    <t>Zásuvka domovní zapuštěná - provedení 2P+PE</t>
  </si>
  <si>
    <t>včetně dodávky zásuvky. Bez rámečku.</t>
  </si>
  <si>
    <t>153</t>
  </si>
  <si>
    <t>210110041RT6</t>
  </si>
  <si>
    <t>Spínač zapuštěný jednopólový, řazení 1</t>
  </si>
  <si>
    <t>vč. dodávky strojku, rámečku a krytu</t>
  </si>
  <si>
    <t>154</t>
  </si>
  <si>
    <t>210110054RT6</t>
  </si>
  <si>
    <t>Spínač zapuštěný střídavý dvojitý,  řazení 6+6</t>
  </si>
  <si>
    <t>155</t>
  </si>
  <si>
    <t>210110043RT6</t>
  </si>
  <si>
    <t>Spínač zapuštěný seriový, řazení 5</t>
  </si>
  <si>
    <t>156</t>
  </si>
  <si>
    <t>222730001R00</t>
  </si>
  <si>
    <t>Účastnická zásuvka TV+R+SAT koncová pod omítku</t>
  </si>
  <si>
    <t>157</t>
  </si>
  <si>
    <t>34536515</t>
  </si>
  <si>
    <t>Přístroj zásuvky TV+R+SAT, koncový (typ EU 3303) 5011-A3303</t>
  </si>
  <si>
    <t>158</t>
  </si>
  <si>
    <t>222490901R00</t>
  </si>
  <si>
    <t>Zásuvka telefonní pod omítku, do krabice</t>
  </si>
  <si>
    <t>159</t>
  </si>
  <si>
    <t>3745165110</t>
  </si>
  <si>
    <t>Zásuvka telefonní 1 x RJ11</t>
  </si>
  <si>
    <t>160</t>
  </si>
  <si>
    <t>371202013</t>
  </si>
  <si>
    <t>Zásuvka datová OPUS 2xRJ45</t>
  </si>
  <si>
    <t>161</t>
  </si>
  <si>
    <t>34536700</t>
  </si>
  <si>
    <t>Rámeček jednonásobný 3901A-B10</t>
  </si>
  <si>
    <t>162</t>
  </si>
  <si>
    <t>34536705</t>
  </si>
  <si>
    <t>Rámeček dvojnásobný, vodorovný 3901A-B20</t>
  </si>
  <si>
    <t>163</t>
  </si>
  <si>
    <t>650031112R00</t>
  </si>
  <si>
    <t>Osazení rozvodnice do výklenku, pl. do 0,3 m2</t>
  </si>
  <si>
    <t>164</t>
  </si>
  <si>
    <t>357160001VD</t>
  </si>
  <si>
    <t>Rozvodnice zapuštěná 4-řadá  ABB UK648E3</t>
  </si>
  <si>
    <t>165</t>
  </si>
  <si>
    <t>Zapuštěná rozvodnice, multimediální SEZ C-BOX MSF 14M</t>
  </si>
  <si>
    <t>166</t>
  </si>
  <si>
    <t>37500007VD</t>
  </si>
  <si>
    <t>Super multifunkční relé ELKO SMR-H</t>
  </si>
  <si>
    <t>167</t>
  </si>
  <si>
    <t>54152726</t>
  </si>
  <si>
    <t>Tyč topná s regulátorem Z-KT7R-0800-10</t>
  </si>
  <si>
    <t>168</t>
  </si>
  <si>
    <t>725539002VD</t>
  </si>
  <si>
    <t>Montáž elektrických ohřívačů průtokových</t>
  </si>
  <si>
    <t>dolní umístění, baterie</t>
  </si>
  <si>
    <t>169</t>
  </si>
  <si>
    <t>541322009VD</t>
  </si>
  <si>
    <t>Průtokový ohřívač s dolním umístěním a s baterií  EPS2 3,5 DP/DELPO</t>
  </si>
  <si>
    <t>170</t>
  </si>
  <si>
    <t>210000002VD</t>
  </si>
  <si>
    <t>Revize elektro</t>
  </si>
  <si>
    <t>171</t>
  </si>
  <si>
    <t>M65</t>
  </si>
  <si>
    <t>Elektroinstalace</t>
  </si>
  <si>
    <t>172</t>
  </si>
  <si>
    <t>650125217RT2</t>
  </si>
  <si>
    <t>Uložení kabelu Cu 5 x 6 mm2 do trubky</t>
  </si>
  <si>
    <t>M65_</t>
  </si>
  <si>
    <t>včetně dodávky kabelu CYKY 5 x 6 mm2</t>
  </si>
  <si>
    <t>173</t>
  </si>
  <si>
    <t>650125213RT2</t>
  </si>
  <si>
    <t>Uložení kabelu Cu 5 x 2,5 mm2 do trubky</t>
  </si>
  <si>
    <t>včetně dodávky kabelu CYKY 5 x 2,5 mm2</t>
  </si>
  <si>
    <t>174</t>
  </si>
  <si>
    <t>650125143RT2</t>
  </si>
  <si>
    <t>Uložení kabelu Cu 3 x 2,5 mm2 do trubky</t>
  </si>
  <si>
    <t>včetně dodávky kabelu CYKY 3 x 2,5 mm2</t>
  </si>
  <si>
    <t>175</t>
  </si>
  <si>
    <t>650125145RT2</t>
  </si>
  <si>
    <t>Uložení kabelu Cu 3 x 4 mm2 do trubky</t>
  </si>
  <si>
    <t>včetně dodávky kabelu CYKY 3 x 4 mm2</t>
  </si>
  <si>
    <t>176</t>
  </si>
  <si>
    <t>650125141RT2</t>
  </si>
  <si>
    <t>Uložení kabelu Cu 3 x 1,5 mm2 do trubky</t>
  </si>
  <si>
    <t>včetně dodávky kabelu CYKY 3 x 1,5 mm2</t>
  </si>
  <si>
    <t>177</t>
  </si>
  <si>
    <t>650125211RT2</t>
  </si>
  <si>
    <t>Uložení kabelu Cu 5 x 1,5 mm2 do trubky</t>
  </si>
  <si>
    <t>včetně dodávky kabelu CYKY 5 x 1,5 mm2</t>
  </si>
  <si>
    <t>178</t>
  </si>
  <si>
    <t>222280001VD</t>
  </si>
  <si>
    <t>Koaxiální kabel v trubkách EMOS CB113UV</t>
  </si>
  <si>
    <t>Kabel koaxiální venkovní pro TV a SAT, třikrát stíněný</t>
  </si>
  <si>
    <t>179</t>
  </si>
  <si>
    <t>222280002VD</t>
  </si>
  <si>
    <t>Kabel instalační silikonový ohebný pro vývod k varné desce SIHF 5Cx2,5</t>
  </si>
  <si>
    <t>včetně kabelu SIHF 5Cx2,5</t>
  </si>
  <si>
    <t>180</t>
  </si>
  <si>
    <t>222280003VD</t>
  </si>
  <si>
    <t>FTP kabel Solarix SXKD-6-FTP-PE černý venkovní</t>
  </si>
  <si>
    <t>včetně kabelu SXKD-6-FTP-PE</t>
  </si>
  <si>
    <t>181</t>
  </si>
  <si>
    <t>222280004VD</t>
  </si>
  <si>
    <t>Instalační trubka plastová KOPOS MONOFLEX 1420</t>
  </si>
  <si>
    <t>vč. trubky KOPOS MONOFLEX 1420</t>
  </si>
  <si>
    <t>182</t>
  </si>
  <si>
    <t>222280005VD</t>
  </si>
  <si>
    <t>Instalační trubka plastová KOPOS MONOFLEX 1425</t>
  </si>
  <si>
    <t>vč. trubky KOPOS MONOFLEX 1425</t>
  </si>
  <si>
    <t>183</t>
  </si>
  <si>
    <t>Celkem:</t>
  </si>
  <si>
    <t>Poznámka:</t>
  </si>
  <si>
    <t>Výkaz výměr</t>
  </si>
  <si>
    <t>Objekt</t>
  </si>
  <si>
    <t>Potřebné množství</t>
  </si>
  <si>
    <t>demontáž+montáž</t>
  </si>
  <si>
    <t>bourání</t>
  </si>
  <si>
    <t>průrazy rozvod VZT</t>
  </si>
  <si>
    <t>zapravení rozvod VZT</t>
  </si>
  <si>
    <t>50+10</t>
  </si>
  <si>
    <t>rozvody elektro</t>
  </si>
  <si>
    <t>2,5</t>
  </si>
  <si>
    <t>koupelna topení</t>
  </si>
  <si>
    <t>1,4</t>
  </si>
  <si>
    <t>WC voda</t>
  </si>
  <si>
    <t>8,6</t>
  </si>
  <si>
    <t>rozvody kanalizace</t>
  </si>
  <si>
    <t>0,16836</t>
  </si>
  <si>
    <t>0,9*2,0*0,125</t>
  </si>
  <si>
    <t>zazdění dveří</t>
  </si>
  <si>
    <t>1,08*1,76*6+1,035*1,0+1,05*1,59+1,0*2,05+0,66*0,67</t>
  </si>
  <si>
    <t>okna</t>
  </si>
  <si>
    <t>1,0*2,1</t>
  </si>
  <si>
    <t>dveře</t>
  </si>
  <si>
    <t>(0,9*2+1,15*2)*1,5-0,7*2,02</t>
  </si>
  <si>
    <t>obklad WC</t>
  </si>
  <si>
    <t>(2,28*2+2,9*2)*1,5-0,9*2,05-0,7*2,02-0,49*1,035</t>
  </si>
  <si>
    <t>obklad koupelna</t>
  </si>
  <si>
    <t>0,068</t>
  </si>
  <si>
    <t>obklady koupelna</t>
  </si>
  <si>
    <t>1,12267</t>
  </si>
  <si>
    <t>obklady</t>
  </si>
  <si>
    <t>3,9+8,6+60</t>
  </si>
  <si>
    <t>zápravení TZB, elektro</t>
  </si>
  <si>
    <t>(2,28*2+2,9*2)*2,1-0,7*2,02-0,54*1,035+(2*0,54+1,035)*0,3</t>
  </si>
  <si>
    <t>(0,9*2+1,15*2)*1,5-0,7*2,02*1,5*2</t>
  </si>
  <si>
    <t>(2,28*2+2,9*2)*2,1-0,7*2,02-0,54*1,035+(2*0,54+1,035)*0,3*1,5*2</t>
  </si>
  <si>
    <t>;ztratné 5%; 1,17973</t>
  </si>
  <si>
    <t>0,9*2+1,15*2+1,5*4+2,28*2+2,9*2+2,1*4+0,54*2+1,035</t>
  </si>
  <si>
    <t>m.č.202,204</t>
  </si>
  <si>
    <t>2,2*0,9*2</t>
  </si>
  <si>
    <t>zazdění dveří m.č.204</t>
  </si>
  <si>
    <t>60*0,3</t>
  </si>
  <si>
    <t>elektro</t>
  </si>
  <si>
    <t>(1,08+1,72*2)*4+(1,125+1,7*2)+(0,655+0,54*2)+(0,66+1,05*2)+(1,45*2,57*2)+(0,67*1,7*2)+(0,7*1,05*2)</t>
  </si>
  <si>
    <t>(1,1+2,25*2)*2*6+(0,9+2,05*2)*2*3</t>
  </si>
  <si>
    <t>2*2*1</t>
  </si>
  <si>
    <t>zapravení průrazů</t>
  </si>
  <si>
    <t>dveře stávající</t>
  </si>
  <si>
    <t>1+1+1,2+1+2,9+1,5</t>
  </si>
  <si>
    <t>splašková kanalizace</t>
  </si>
  <si>
    <t>1+1+1+1,2</t>
  </si>
  <si>
    <t>voda studená</t>
  </si>
  <si>
    <t>voda teplá</t>
  </si>
  <si>
    <t>8,4</t>
  </si>
  <si>
    <t>vodovod</t>
  </si>
  <si>
    <t>umyvadlo koupelna</t>
  </si>
  <si>
    <t>koupelna</t>
  </si>
  <si>
    <t>umyvadlo kooupelna a WC</t>
  </si>
  <si>
    <t>sprcha koupelna</t>
  </si>
  <si>
    <t>vodoměr</t>
  </si>
  <si>
    <t>WC</t>
  </si>
  <si>
    <t>VZT</t>
  </si>
  <si>
    <t>odvětrání VZT fasáda</t>
  </si>
  <si>
    <t>vytápění</t>
  </si>
  <si>
    <t>rozovdy ÚT</t>
  </si>
  <si>
    <t>otopná tělesa</t>
  </si>
  <si>
    <t>topení koupelna</t>
  </si>
  <si>
    <t>10,52+1,04+0,67</t>
  </si>
  <si>
    <t>zábradlí terasa</t>
  </si>
  <si>
    <t>11,19+1,04</t>
  </si>
  <si>
    <t>balkony</t>
  </si>
  <si>
    <t>1,12+6,61</t>
  </si>
  <si>
    <t>m.č. 202 a 204</t>
  </si>
  <si>
    <t>3,82*11,19*0,1</t>
  </si>
  <si>
    <t>terasa</t>
  </si>
  <si>
    <t>3,82*11,19</t>
  </si>
  <si>
    <t>3,82*11,19*0,06</t>
  </si>
  <si>
    <t>3,82*11,19*1,2</t>
  </si>
  <si>
    <t>oplechování konce terasy</t>
  </si>
  <si>
    <t>11,19+3,82+2,87</t>
  </si>
  <si>
    <t>(1,12+6,61)*0,06</t>
  </si>
  <si>
    <t>;ztratné 10%; 0,773</t>
  </si>
  <si>
    <t>2,28*2+2,9*2+1,15*2+0,9*2</t>
  </si>
  <si>
    <t>m.č.202 a 204</t>
  </si>
  <si>
    <t>(0,2+0,6+0,2)*(2,3+2,3+1,2)*4</t>
  </si>
  <si>
    <t>dveře zárubně</t>
  </si>
  <si>
    <t>(1*2,2)*2*5</t>
  </si>
  <si>
    <t>dveře křídla</t>
  </si>
  <si>
    <t>(2,05+2,05+0,9)*(0,1+0,15+0,1)*3</t>
  </si>
  <si>
    <t>zárubně ocelové</t>
  </si>
  <si>
    <t>(2,28*2+3,732*2)*2,85-1,0*2,21*2-1,0*2,1-1,0*2,05-0,7*2,03-0,84*2+(2,05*2+1)*0,3</t>
  </si>
  <si>
    <t>m.č.201</t>
  </si>
  <si>
    <t>(0,9*2+1,15*2)*2,94-0,7*2,03-0,66*0,67+(0,67*2+0,66)*0,3</t>
  </si>
  <si>
    <t>m.č.202</t>
  </si>
  <si>
    <t>(4,508*2+2,28*2)*2,86-0,7*2,02-0,84*2-1,05*1,59+(2*1,59+1,05)*0,3</t>
  </si>
  <si>
    <t>m.č.203</t>
  </si>
  <si>
    <t>(2,28*2+2,9*2)*0,75-0,8*0,16-1,035*0,51+(2*0,51+1,035)*0,3</t>
  </si>
  <si>
    <t>m.č.204</t>
  </si>
  <si>
    <t>(4,46*2+4,98*2)*2,87-1,08*1,76*2-1,0*2,22*1+(1,08+1,76*2)*2*0,3+(0,8+2*2,1)*0,2</t>
  </si>
  <si>
    <t>m.č.205</t>
  </si>
  <si>
    <t>(4,46*2+4,38*2)*2,86-1,08*1,76*2-1,0*2,22*2+(1,08+1,76*2)*2*0,3</t>
  </si>
  <si>
    <t>m.č.206</t>
  </si>
  <si>
    <t>(4,46*2+3,89*2)*2,85-1,08*1,76*2-1,0*2,22+(1,08+1,76*2)*2*0,3</t>
  </si>
  <si>
    <t>m.č.207</t>
  </si>
  <si>
    <t>84,35</t>
  </si>
  <si>
    <t>stropy</t>
  </si>
  <si>
    <t>PHP</t>
  </si>
  <si>
    <t>PBŘ</t>
  </si>
  <si>
    <t>2+10+1+1</t>
  </si>
  <si>
    <t>0,138</t>
  </si>
  <si>
    <t>Krycí list slepého rozpočtu</t>
  </si>
  <si>
    <t>IČO/DIČ:</t>
  </si>
  <si>
    <t>00303461/</t>
  </si>
  <si>
    <t>71779647/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</si>
  <si>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</si>
  <si>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</si>
  <si>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</si>
  <si>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</si>
  <si>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</si>
  <si>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</si>
  <si>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</si>
  <si>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</si>
  <si>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</si>
  <si>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</si>
  <si>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</si>
  <si>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</si>
  <si>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</si>
  <si>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</si>
  <si>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</si>
  <si>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</si>
  <si>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</si>
  <si>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</si>
  <si>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</si>
  <si>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</si>
  <si>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</si>
  <si>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</si>
  <si>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</si>
  <si>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</si>
  <si>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</si>
  <si>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</si>
  <si>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</si>
  <si>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</si>
  <si>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</si>
  <si>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</si>
  <si>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</si>
  <si>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</si>
  <si>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</si>
  <si>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</si>
  <si>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</si>
  <si>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</si>
  <si>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</si>
  <si>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</si>
  <si>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</si>
  <si>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</si>
  <si>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</si>
  <si>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</si>
  <si>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</si>
  <si>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</si>
  <si>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</si>
  <si>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</si>
  <si>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</si>
  <si>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</si>
  <si>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</si>
  <si>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</si>
  <si>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</si>
  <si>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</si>
  <si>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</si>
  <si>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</si>
  <si>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Název</t>
  </si>
  <si>
    <t>Označení výrobce</t>
  </si>
  <si>
    <t>Počet ks</t>
  </si>
  <si>
    <t>IS-25/3 25A</t>
  </si>
  <si>
    <t>Svodič přepětí B+C</t>
  </si>
  <si>
    <t>SPBT12-280/4</t>
  </si>
  <si>
    <t>PL6-B16/3 16A</t>
  </si>
  <si>
    <t>LMF-10B-1N-030A</t>
  </si>
  <si>
    <t>PFL6-10/1N/B/003</t>
  </si>
  <si>
    <t>PFL6-16/1N/B/003</t>
  </si>
  <si>
    <t>Vývodka kabelová se svorkovnicí ABB 5P (varná deska)</t>
  </si>
  <si>
    <t>3938A-A106B</t>
  </si>
  <si>
    <t>Zásuvka jednonásobná s ochranným kolíkem, s clonkami</t>
  </si>
  <si>
    <t>5519A-A02357 B</t>
  </si>
  <si>
    <t>Přístroj spínače jednopólového (1)</t>
  </si>
  <si>
    <t>3559-A01345</t>
  </si>
  <si>
    <t>Přístroj přepínače střídavého dvojitého (6+6)</t>
  </si>
  <si>
    <t>3559-A52345</t>
  </si>
  <si>
    <t>Přístroj přepínače sériového (5)</t>
  </si>
  <si>
    <t>3559-A05345</t>
  </si>
  <si>
    <t>Přístroj zásuvky anténní TV, rozhlasové a satelitní - koncové</t>
  </si>
  <si>
    <t>5011-A3303</t>
  </si>
  <si>
    <t>Přístroj zásuvky datové Modular Jack RJ 45-8 Cat. 6</t>
  </si>
  <si>
    <t>RJ45C6U</t>
  </si>
  <si>
    <t>Kryt zásuvky anténní s 3 otvory</t>
  </si>
  <si>
    <t>5011C-A201 B1</t>
  </si>
  <si>
    <t>Kryt zásuvky komunikační</t>
  </si>
  <si>
    <t>5014A-A02018 B</t>
  </si>
  <si>
    <t>Rámeček pro  el.přístroje, jednonásobný</t>
  </si>
  <si>
    <t>3901A-B10 B</t>
  </si>
  <si>
    <t>Rámeček pro el. přístroje, dvojnásobný vodorovný</t>
  </si>
  <si>
    <t>3901A-B20 B</t>
  </si>
  <si>
    <r>
      <t>Byt č.2,</t>
    </r>
    <r>
      <rPr>
        <sz val="11"/>
        <rFont val="Calibri"/>
        <charset val="1"/>
      </rPr>
      <t xml:space="preserve"> č.p.1326/5, 2. NP</t>
    </r>
  </si>
  <si>
    <t>Proudový chránič s nadproud. ochranou šířka 2 moduly, 13A</t>
  </si>
  <si>
    <t>PFL6-20/1N/B/003</t>
  </si>
  <si>
    <t>Zásuvka dvojnásobná s clonkami, s natočenou dutinou</t>
  </si>
  <si>
    <t>5513A-C02357 B</t>
  </si>
  <si>
    <t>Super multifunkční relé ELKO (doběh ventilátoru WC)</t>
  </si>
  <si>
    <t>SMR-H</t>
  </si>
  <si>
    <t>Zapuštěná rozvodnice plastová, 4-řadá např. ABB UK648E3</t>
  </si>
  <si>
    <t>2CPX077843R9999</t>
  </si>
  <si>
    <t>Zapuštěná rozvodnice, multimediální SEZ</t>
  </si>
  <si>
    <t>SEZ C-BOX MSF 14M</t>
  </si>
  <si>
    <t>Topná tyč 800W s termostatem pro koupelnový žebřík s kroucenou šňůrou a zapojením do zásuvky</t>
  </si>
  <si>
    <t>Průtokový ohřívač s dolním umístěním a s baterií</t>
  </si>
  <si>
    <t>EPS2 3,5 DP/DELPO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</si>
</sst>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C8E1D8"/>
        <bgColor rgb="FFC8E1D8"/>
      </patternFill>
    </fill>
    <fill>
      <patternFill patternType="solid">
        <fgColor rgb="FFBFBFBF"/>
        <bgColor rgb="FFBFBFBF"/>
      </patternFill>
    </fill>
    <fill>
      <patternFill patternType="solid">
        <fgColor theme="9" tint="0.79998168889431442"/>
        <bgColor indexed="64"/>
      </patternFill>
    </fill>
  </fills>
  <borders count="1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93"/>
  </cellStyleXfs>
  <cellXfs count="241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 applyProtection="1">
      <alignment horizontal="left" vertical="center"/>
      <protection locked="0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/>
    </xf>
    <xf numFmtId="4" fontId="3" fillId="5" borderId="32" xfId="0" applyNumberFormat="1" applyFont="1" applyFill="1" applyBorder="1" applyAlignment="1">
      <alignment horizontal="right" vertical="center"/>
    </xf>
    <xf numFmtId="4" fontId="3" fillId="3" borderId="32" xfId="0" applyNumberFormat="1" applyFont="1" applyFill="1" applyBorder="1" applyAlignment="1" applyProtection="1">
      <alignment horizontal="right" vertical="center"/>
      <protection locked="0"/>
    </xf>
    <xf numFmtId="0" fontId="3" fillId="5" borderId="33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34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4" fontId="3" fillId="5" borderId="35" xfId="0" applyNumberFormat="1" applyFont="1" applyFill="1" applyBorder="1" applyAlignment="1">
      <alignment horizontal="right" vertical="center"/>
    </xf>
    <xf numFmtId="4" fontId="3" fillId="3" borderId="35" xfId="0" applyNumberFormat="1" applyFont="1" applyFill="1" applyBorder="1" applyAlignment="1" applyProtection="1">
      <alignment horizontal="right" vertical="center"/>
      <protection locked="0"/>
    </xf>
    <xf numFmtId="0" fontId="3" fillId="5" borderId="36" xfId="0" applyFont="1" applyFill="1" applyBorder="1" applyAlignment="1">
      <alignment horizontal="right" vertical="center"/>
    </xf>
    <xf numFmtId="0" fontId="0" fillId="0" borderId="37" xfId="0" applyBorder="1"/>
    <xf numFmtId="0" fontId="4" fillId="0" borderId="38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4" borderId="38" xfId="0" applyFont="1" applyFill="1" applyBorder="1" applyAlignment="1" applyProtection="1">
      <alignment horizontal="left" vertical="center"/>
      <protection locked="0"/>
    </xf>
    <xf numFmtId="4" fontId="2" fillId="2" borderId="38" xfId="0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3" fillId="6" borderId="34" xfId="0" applyFont="1" applyFill="1" applyBorder="1" applyAlignment="1">
      <alignment horizontal="left" vertical="center"/>
    </xf>
    <xf numFmtId="0" fontId="2" fillId="6" borderId="35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3" fillId="4" borderId="35" xfId="0" applyFont="1" applyFill="1" applyBorder="1" applyAlignment="1" applyProtection="1">
      <alignment horizontal="left" vertical="center"/>
      <protection locked="0"/>
    </xf>
    <xf numFmtId="4" fontId="2" fillId="6" borderId="35" xfId="0" applyNumberFormat="1" applyFont="1" applyFill="1" applyBorder="1" applyAlignment="1">
      <alignment horizontal="right" vertical="center"/>
    </xf>
    <xf numFmtId="0" fontId="2" fillId="6" borderId="36" xfId="0" applyFont="1" applyFill="1" applyBorder="1" applyAlignment="1">
      <alignment horizontal="right" vertical="center"/>
    </xf>
    <xf numFmtId="0" fontId="0" fillId="0" borderId="40" xfId="0" applyBorder="1"/>
    <xf numFmtId="0" fontId="4" fillId="0" borderId="41" xfId="0" applyFont="1" applyBorder="1" applyAlignment="1">
      <alignment horizontal="right" vertical="center"/>
    </xf>
    <xf numFmtId="0" fontId="3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4" borderId="44" xfId="0" applyFont="1" applyFill="1" applyBorder="1" applyAlignment="1" applyProtection="1">
      <alignment horizontal="left" vertical="center"/>
      <protection locked="0"/>
    </xf>
    <xf numFmtId="4" fontId="2" fillId="2" borderId="44" xfId="0" applyNumberFormat="1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47" xfId="0" applyFont="1" applyFill="1" applyBorder="1" applyAlignment="1">
      <alignment horizontal="left" vertical="center"/>
    </xf>
    <xf numFmtId="4" fontId="3" fillId="5" borderId="47" xfId="0" applyNumberFormat="1" applyFont="1" applyFill="1" applyBorder="1" applyAlignment="1">
      <alignment horizontal="right" vertical="center"/>
    </xf>
    <xf numFmtId="4" fontId="3" fillId="3" borderId="47" xfId="0" applyNumberFormat="1" applyFont="1" applyFill="1" applyBorder="1" applyAlignment="1" applyProtection="1">
      <alignment horizontal="right" vertical="center"/>
      <protection locked="0"/>
    </xf>
    <xf numFmtId="0" fontId="3" fillId="5" borderId="48" xfId="0" applyFont="1" applyFill="1" applyBorder="1" applyAlignment="1">
      <alignment horizontal="right" vertical="center"/>
    </xf>
    <xf numFmtId="4" fontId="2" fillId="0" borderId="49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4" fontId="3" fillId="0" borderId="57" xfId="0" applyNumberFormat="1" applyFont="1" applyBorder="1" applyAlignment="1">
      <alignment horizontal="right" vertical="center"/>
    </xf>
    <xf numFmtId="4" fontId="3" fillId="0" borderId="58" xfId="0" applyNumberFormat="1" applyFont="1" applyBorder="1" applyAlignment="1">
      <alignment horizontal="right" vertical="center"/>
    </xf>
    <xf numFmtId="0" fontId="0" fillId="0" borderId="5" xfId="0" applyBorder="1"/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0" fillId="0" borderId="6" xfId="0" applyBorder="1"/>
    <xf numFmtId="4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59" xfId="0" applyBorder="1"/>
    <xf numFmtId="0" fontId="0" fillId="0" borderId="60" xfId="0" applyBorder="1"/>
    <xf numFmtId="0" fontId="6" fillId="0" borderId="60" xfId="0" applyFont="1" applyBorder="1" applyAlignment="1">
      <alignment horizontal="left" vertical="center"/>
    </xf>
    <xf numFmtId="4" fontId="6" fillId="0" borderId="60" xfId="0" applyNumberFormat="1" applyFont="1" applyBorder="1" applyAlignment="1">
      <alignment horizontal="right" vertical="center"/>
    </xf>
    <xf numFmtId="0" fontId="0" fillId="0" borderId="61" xfId="0" applyBorder="1"/>
    <xf numFmtId="0" fontId="8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1" fillId="0" borderId="68" xfId="0" applyFont="1" applyBorder="1" applyAlignment="1">
      <alignment horizontal="left" vertical="center"/>
    </xf>
    <xf numFmtId="4" fontId="11" fillId="0" borderId="68" xfId="0" applyNumberFormat="1" applyFont="1" applyBorder="1" applyAlignment="1">
      <alignment horizontal="right" vertical="center"/>
    </xf>
    <xf numFmtId="0" fontId="11" fillId="0" borderId="68" xfId="0" applyFont="1" applyBorder="1" applyAlignment="1">
      <alignment horizontal="right" vertical="center"/>
    </xf>
    <xf numFmtId="0" fontId="10" fillId="0" borderId="71" xfId="0" applyFont="1" applyBorder="1" applyAlignment="1">
      <alignment horizontal="left" vertical="center"/>
    </xf>
    <xf numFmtId="4" fontId="11" fillId="0" borderId="75" xfId="0" applyNumberFormat="1" applyFont="1" applyBorder="1" applyAlignment="1">
      <alignment horizontal="right" vertical="center"/>
    </xf>
    <xf numFmtId="0" fontId="11" fillId="0" borderId="75" xfId="0" applyFont="1" applyBorder="1" applyAlignment="1">
      <alignment horizontal="right" vertical="center"/>
    </xf>
    <xf numFmtId="4" fontId="11" fillId="0" borderId="66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0" fillId="2" borderId="65" xfId="0" applyNumberFormat="1" applyFont="1" applyFill="1" applyBorder="1" applyAlignment="1">
      <alignment horizontal="right" vertical="center"/>
    </xf>
    <xf numFmtId="4" fontId="10" fillId="2" borderId="70" xfId="0" applyNumberFormat="1" applyFont="1" applyFill="1" applyBorder="1" applyAlignment="1">
      <alignment horizontal="right" vertical="center"/>
    </xf>
    <xf numFmtId="0" fontId="5" fillId="0" borderId="57" xfId="0" applyFont="1" applyBorder="1" applyAlignment="1">
      <alignment horizontal="left" vertical="center"/>
    </xf>
    <xf numFmtId="0" fontId="2" fillId="0" borderId="91" xfId="0" applyFont="1" applyBorder="1" applyAlignment="1">
      <alignment horizontal="right" vertical="center"/>
    </xf>
    <xf numFmtId="4" fontId="3" fillId="0" borderId="68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4" fontId="3" fillId="0" borderId="95" xfId="0" applyNumberFormat="1" applyFont="1" applyBorder="1" applyAlignment="1">
      <alignment horizontal="right" vertical="center"/>
    </xf>
    <xf numFmtId="0" fontId="3" fillId="0" borderId="95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2" fillId="0" borderId="99" xfId="0" applyFont="1" applyBorder="1" applyAlignment="1">
      <alignment horizontal="right" vertical="center"/>
    </xf>
    <xf numFmtId="4" fontId="2" fillId="0" borderId="9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/>
    </xf>
    <xf numFmtId="0" fontId="2" fillId="6" borderId="35" xfId="0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/>
    </xf>
    <xf numFmtId="0" fontId="4" fillId="3" borderId="41" xfId="0" applyFont="1" applyFill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/>
    </xf>
    <xf numFmtId="0" fontId="3" fillId="5" borderId="47" xfId="0" applyFont="1" applyFill="1" applyBorder="1" applyAlignment="1">
      <alignment horizontal="left" vertical="center" wrapText="1"/>
    </xf>
    <xf numFmtId="0" fontId="3" fillId="5" borderId="47" xfId="0" applyFont="1" applyFill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2" borderId="77" xfId="0" applyFont="1" applyFill="1" applyBorder="1" applyAlignment="1">
      <alignment horizontal="left" vertical="center"/>
    </xf>
    <xf numFmtId="0" fontId="10" fillId="2" borderId="78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0" fontId="10" fillId="2" borderId="79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1" fillId="0" borderId="80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8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5" xfId="0" applyFont="1" applyBorder="1" applyAlignment="1">
      <alignment horizontal="left" vertical="center"/>
    </xf>
    <xf numFmtId="0" fontId="11" fillId="0" borderId="87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11" fillId="0" borderId="89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11" fillId="0" borderId="86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3" fillId="0" borderId="93" xfId="0" applyFont="1" applyBorder="1" applyAlignment="1">
      <alignment horizontal="left" vertical="center"/>
    </xf>
    <xf numFmtId="0" fontId="3" fillId="0" borderId="94" xfId="0" applyFont="1" applyBorder="1" applyAlignment="1">
      <alignment horizontal="left" vertical="center"/>
    </xf>
    <xf numFmtId="0" fontId="2" fillId="0" borderId="96" xfId="0" applyFont="1" applyBorder="1" applyAlignment="1">
      <alignment horizontal="left" vertical="center"/>
    </xf>
    <xf numFmtId="0" fontId="2" fillId="0" borderId="97" xfId="0" applyFont="1" applyBorder="1" applyAlignment="1">
      <alignment horizontal="left" vertical="center"/>
    </xf>
    <xf numFmtId="0" fontId="2" fillId="0" borderId="98" xfId="0" applyFont="1" applyBorder="1" applyAlignment="1">
      <alignment horizontal="left" vertical="center"/>
    </xf>
    <xf numFmtId="0" fontId="10" fillId="0" borderId="96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8" xfId="0" applyFont="1" applyBorder="1" applyAlignment="1">
      <alignment horizontal="left" vertical="center"/>
    </xf>
    <xf numFmtId="4" fontId="10" fillId="0" borderId="100" xfId="0" applyNumberFormat="1" applyFont="1" applyBorder="1" applyAlignment="1">
      <alignment horizontal="right" vertical="center"/>
    </xf>
    <xf numFmtId="0" fontId="10" fillId="0" borderId="97" xfId="0" applyFont="1" applyBorder="1" applyAlignment="1">
      <alignment horizontal="right" vertical="center"/>
    </xf>
    <xf numFmtId="0" fontId="10" fillId="0" borderId="98" xfId="0" applyFont="1" applyBorder="1" applyAlignment="1">
      <alignment horizontal="right" vertical="center"/>
    </xf>
    <xf numFmtId="0" fontId="13" fillId="7" borderId="101" xfId="1" applyFont="1" applyFill="1" applyBorder="1" applyAlignment="1">
      <alignment horizontal="center"/>
    </xf>
    <xf numFmtId="0" fontId="13" fillId="7" borderId="102" xfId="1" applyFont="1" applyFill="1" applyBorder="1" applyAlignment="1">
      <alignment horizontal="center"/>
    </xf>
    <xf numFmtId="0" fontId="13" fillId="7" borderId="103" xfId="1" applyFont="1" applyFill="1" applyBorder="1" applyAlignment="1">
      <alignment horizontal="center"/>
    </xf>
    <xf numFmtId="0" fontId="12" fillId="0" borderId="93" xfId="1"/>
    <xf numFmtId="0" fontId="12" fillId="0" borderId="104" xfId="1" applyBorder="1"/>
    <xf numFmtId="0" fontId="12" fillId="0" borderId="93" xfId="1" applyAlignment="1">
      <alignment horizontal="center"/>
    </xf>
    <xf numFmtId="0" fontId="12" fillId="0" borderId="105" xfId="1" applyBorder="1" applyAlignment="1">
      <alignment horizontal="center"/>
    </xf>
    <xf numFmtId="0" fontId="13" fillId="0" borderId="106" xfId="1" applyFont="1" applyBorder="1" applyAlignment="1">
      <alignment horizontal="center"/>
    </xf>
    <xf numFmtId="0" fontId="13" fillId="0" borderId="107" xfId="1" applyFont="1" applyBorder="1" applyAlignment="1">
      <alignment horizontal="center"/>
    </xf>
    <xf numFmtId="0" fontId="13" fillId="0" borderId="108" xfId="1" applyFont="1" applyBorder="1" applyAlignment="1">
      <alignment horizontal="center"/>
    </xf>
    <xf numFmtId="0" fontId="14" fillId="0" borderId="105" xfId="1" applyFont="1" applyBorder="1" applyAlignment="1">
      <alignment horizontal="center"/>
    </xf>
    <xf numFmtId="0" fontId="12" fillId="0" borderId="109" xfId="1" applyBorder="1" applyAlignment="1">
      <alignment wrapText="1"/>
    </xf>
    <xf numFmtId="0" fontId="12" fillId="0" borderId="110" xfId="1" applyBorder="1" applyAlignment="1">
      <alignment horizontal="center" vertical="center"/>
    </xf>
    <xf numFmtId="0" fontId="12" fillId="0" borderId="112" xfId="1" applyBorder="1" applyAlignment="1">
      <alignment wrapText="1"/>
    </xf>
    <xf numFmtId="0" fontId="12" fillId="0" borderId="113" xfId="1" applyBorder="1" applyAlignment="1">
      <alignment horizontal="center" vertical="center"/>
    </xf>
    <xf numFmtId="0" fontId="15" fillId="0" borderId="105" xfId="1" applyFont="1" applyBorder="1" applyAlignment="1">
      <alignment horizontal="center"/>
    </xf>
    <xf numFmtId="0" fontId="14" fillId="0" borderId="111" xfId="1" applyFont="1" applyBorder="1" applyAlignment="1">
      <alignment horizontal="center" vertical="center"/>
    </xf>
    <xf numFmtId="0" fontId="15" fillId="0" borderId="114" xfId="1" applyFont="1" applyBorder="1" applyAlignment="1">
      <alignment horizontal="center" vertical="center"/>
    </xf>
    <xf numFmtId="0" fontId="14" fillId="0" borderId="93" xfId="1" applyFont="1" applyAlignment="1">
      <alignment horizontal="center"/>
    </xf>
  </cellXfs>
  <cellStyles count="2">
    <cellStyle name="Normální" xfId="0" builtinId="0"/>
    <cellStyle name="Normální 2" xfId="1" xr:uid="{25994D65-7864-4447-B9F1-86B53C3E8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64" t="s">
        <v>808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5">
      <c r="A2" s="108" t="s">
        <v>1</v>
      </c>
      <c r="B2" s="109"/>
      <c r="C2" s="117" t="str">
        <f>'Stavební rozpočet'!C2</f>
        <v>Revitalizace městských bytů v Šumperku - BJ č.2</v>
      </c>
      <c r="D2" s="118"/>
      <c r="E2" s="115" t="s">
        <v>5</v>
      </c>
      <c r="F2" s="115" t="str">
        <f>'Stavební rozpočet'!I2</f>
        <v>Město Šumperk, nám. Míru 1, 787 01 Šumperk</v>
      </c>
      <c r="G2" s="109"/>
      <c r="H2" s="115" t="s">
        <v>809</v>
      </c>
      <c r="I2" s="123" t="s">
        <v>810</v>
      </c>
    </row>
    <row r="3" spans="1:9" ht="15" customHeight="1" x14ac:dyDescent="0.25">
      <c r="A3" s="110"/>
      <c r="B3" s="111"/>
      <c r="C3" s="119"/>
      <c r="D3" s="119"/>
      <c r="E3" s="111"/>
      <c r="F3" s="111"/>
      <c r="G3" s="111"/>
      <c r="H3" s="111"/>
      <c r="I3" s="124"/>
    </row>
    <row r="4" spans="1:9" x14ac:dyDescent="0.25">
      <c r="A4" s="112" t="s">
        <v>7</v>
      </c>
      <c r="B4" s="111"/>
      <c r="C4" s="116" t="str">
        <f>'Stavební rozpočet'!C4</f>
        <v>Bytový dům</v>
      </c>
      <c r="D4" s="111"/>
      <c r="E4" s="116" t="s">
        <v>10</v>
      </c>
      <c r="F4" s="116" t="str">
        <f>'Stavební rozpočet'!I4</f>
        <v>Ing. Petr Doleček</v>
      </c>
      <c r="G4" s="111"/>
      <c r="H4" s="116" t="s">
        <v>809</v>
      </c>
      <c r="I4" s="124" t="s">
        <v>811</v>
      </c>
    </row>
    <row r="5" spans="1:9" ht="15" customHeight="1" x14ac:dyDescent="0.25">
      <c r="A5" s="110"/>
      <c r="B5" s="111"/>
      <c r="C5" s="111"/>
      <c r="D5" s="111"/>
      <c r="E5" s="111"/>
      <c r="F5" s="111"/>
      <c r="G5" s="111"/>
      <c r="H5" s="111"/>
      <c r="I5" s="124"/>
    </row>
    <row r="6" spans="1:9" x14ac:dyDescent="0.25">
      <c r="A6" s="112" t="s">
        <v>12</v>
      </c>
      <c r="B6" s="111"/>
      <c r="C6" s="116" t="str">
        <f>'Stavební rozpočet'!C6</f>
        <v>17.listopadu 1326/5 Šumperk</v>
      </c>
      <c r="D6" s="111"/>
      <c r="E6" s="116" t="s">
        <v>15</v>
      </c>
      <c r="F6" s="116" t="str">
        <f>'Stavební rozpočet'!I6</f>
        <v> </v>
      </c>
      <c r="G6" s="111"/>
      <c r="H6" s="116" t="s">
        <v>809</v>
      </c>
      <c r="I6" s="124" t="s">
        <v>50</v>
      </c>
    </row>
    <row r="7" spans="1:9" ht="15" customHeight="1" x14ac:dyDescent="0.25">
      <c r="A7" s="110"/>
      <c r="B7" s="111"/>
      <c r="C7" s="111"/>
      <c r="D7" s="111"/>
      <c r="E7" s="111"/>
      <c r="F7" s="111"/>
      <c r="G7" s="111"/>
      <c r="H7" s="111"/>
      <c r="I7" s="124"/>
    </row>
    <row r="8" spans="1:9" x14ac:dyDescent="0.25">
      <c r="A8" s="112" t="s">
        <v>9</v>
      </c>
      <c r="B8" s="111"/>
      <c r="C8" s="116" t="str">
        <f>'Stavební rozpočet'!G4</f>
        <v xml:space="preserve"> </v>
      </c>
      <c r="D8" s="111"/>
      <c r="E8" s="116" t="s">
        <v>14</v>
      </c>
      <c r="F8" s="116" t="str">
        <f>'Stavební rozpočet'!G6</f>
        <v xml:space="preserve"> </v>
      </c>
      <c r="G8" s="111"/>
      <c r="H8" s="111" t="s">
        <v>812</v>
      </c>
      <c r="I8" s="167">
        <v>183</v>
      </c>
    </row>
    <row r="9" spans="1:9" x14ac:dyDescent="0.25">
      <c r="A9" s="110"/>
      <c r="B9" s="111"/>
      <c r="C9" s="111"/>
      <c r="D9" s="111"/>
      <c r="E9" s="111"/>
      <c r="F9" s="111"/>
      <c r="G9" s="111"/>
      <c r="H9" s="111"/>
      <c r="I9" s="124"/>
    </row>
    <row r="10" spans="1:9" x14ac:dyDescent="0.25">
      <c r="A10" s="112" t="s">
        <v>17</v>
      </c>
      <c r="B10" s="111"/>
      <c r="C10" s="116" t="str">
        <f>'Stavební rozpočet'!C8</f>
        <v xml:space="preserve"> </v>
      </c>
      <c r="D10" s="111"/>
      <c r="E10" s="116" t="s">
        <v>20</v>
      </c>
      <c r="F10" s="116" t="str">
        <f>'Stavební rozpočet'!I8</f>
        <v>Ing. Petr Doleček</v>
      </c>
      <c r="G10" s="111"/>
      <c r="H10" s="111" t="s">
        <v>813</v>
      </c>
      <c r="I10" s="168" t="str">
        <f>'Stavební rozpočet'!G8</f>
        <v>26.06.2024</v>
      </c>
    </row>
    <row r="11" spans="1:9" x14ac:dyDescent="0.25">
      <c r="A11" s="165"/>
      <c r="B11" s="166"/>
      <c r="C11" s="166"/>
      <c r="D11" s="166"/>
      <c r="E11" s="166"/>
      <c r="F11" s="166"/>
      <c r="G11" s="166"/>
      <c r="H11" s="166"/>
      <c r="I11" s="169"/>
    </row>
    <row r="12" spans="1:9" ht="23.25" x14ac:dyDescent="0.25">
      <c r="A12" s="170" t="s">
        <v>814</v>
      </c>
      <c r="B12" s="170"/>
      <c r="C12" s="170"/>
      <c r="D12" s="170"/>
      <c r="E12" s="170"/>
      <c r="F12" s="170"/>
      <c r="G12" s="170"/>
      <c r="H12" s="170"/>
      <c r="I12" s="170"/>
    </row>
    <row r="13" spans="1:9" ht="26.25" customHeight="1" x14ac:dyDescent="0.25">
      <c r="A13" s="85" t="s">
        <v>815</v>
      </c>
      <c r="B13" s="171" t="s">
        <v>816</v>
      </c>
      <c r="C13" s="172"/>
      <c r="D13" s="86" t="s">
        <v>817</v>
      </c>
      <c r="E13" s="171" t="s">
        <v>818</v>
      </c>
      <c r="F13" s="172"/>
      <c r="G13" s="86" t="s">
        <v>819</v>
      </c>
      <c r="H13" s="171" t="s">
        <v>820</v>
      </c>
      <c r="I13" s="172"/>
    </row>
    <row r="14" spans="1:9" ht="15.75" x14ac:dyDescent="0.25">
      <c r="A14" s="87" t="s">
        <v>821</v>
      </c>
      <c r="B14" s="88" t="s">
        <v>822</v>
      </c>
      <c r="C14" s="89">
        <f>SUM('Stavební rozpočet'!AB12:AB251)</f>
        <v>0</v>
      </c>
      <c r="D14" s="179" t="s">
        <v>823</v>
      </c>
      <c r="E14" s="180"/>
      <c r="F14" s="89">
        <f>VORN!I15</f>
        <v>0</v>
      </c>
      <c r="G14" s="179" t="s">
        <v>824</v>
      </c>
      <c r="H14" s="180"/>
      <c r="I14" s="90">
        <f>VORN!I21</f>
        <v>0</v>
      </c>
    </row>
    <row r="15" spans="1:9" ht="15.75" x14ac:dyDescent="0.25">
      <c r="A15" s="91" t="s">
        <v>50</v>
      </c>
      <c r="B15" s="88" t="s">
        <v>35</v>
      </c>
      <c r="C15" s="89">
        <f>SUM('Stavební rozpočet'!AC12:AC251)</f>
        <v>0</v>
      </c>
      <c r="D15" s="179" t="s">
        <v>825</v>
      </c>
      <c r="E15" s="180"/>
      <c r="F15" s="89">
        <f>VORN!I16</f>
        <v>0</v>
      </c>
      <c r="G15" s="179" t="s">
        <v>826</v>
      </c>
      <c r="H15" s="180"/>
      <c r="I15" s="90">
        <f>VORN!I22</f>
        <v>0</v>
      </c>
    </row>
    <row r="16" spans="1:9" ht="15.75" x14ac:dyDescent="0.25">
      <c r="A16" s="87" t="s">
        <v>827</v>
      </c>
      <c r="B16" s="88" t="s">
        <v>822</v>
      </c>
      <c r="C16" s="89">
        <f>SUM('Stavební rozpočet'!AD12:AD251)</f>
        <v>0</v>
      </c>
      <c r="D16" s="179" t="s">
        <v>828</v>
      </c>
      <c r="E16" s="180"/>
      <c r="F16" s="89">
        <f>VORN!I17</f>
        <v>0</v>
      </c>
      <c r="G16" s="179" t="s">
        <v>829</v>
      </c>
      <c r="H16" s="180"/>
      <c r="I16" s="90">
        <f>VORN!I23</f>
        <v>0</v>
      </c>
    </row>
    <row r="17" spans="1:9" ht="15.75" x14ac:dyDescent="0.25">
      <c r="A17" s="91" t="s">
        <v>50</v>
      </c>
      <c r="B17" s="88" t="s">
        <v>35</v>
      </c>
      <c r="C17" s="89">
        <f>SUM('Stavební rozpočet'!AE12:AE251)</f>
        <v>0</v>
      </c>
      <c r="D17" s="179" t="s">
        <v>50</v>
      </c>
      <c r="E17" s="180"/>
      <c r="F17" s="90" t="s">
        <v>50</v>
      </c>
      <c r="G17" s="179" t="s">
        <v>830</v>
      </c>
      <c r="H17" s="180"/>
      <c r="I17" s="90">
        <f>VORN!I24</f>
        <v>0</v>
      </c>
    </row>
    <row r="18" spans="1:9" ht="15.75" x14ac:dyDescent="0.25">
      <c r="A18" s="87" t="s">
        <v>831</v>
      </c>
      <c r="B18" s="88" t="s">
        <v>822</v>
      </c>
      <c r="C18" s="89">
        <f>SUM('Stavební rozpočet'!AF12:AF251)</f>
        <v>0</v>
      </c>
      <c r="D18" s="179" t="s">
        <v>50</v>
      </c>
      <c r="E18" s="180"/>
      <c r="F18" s="90" t="s">
        <v>50</v>
      </c>
      <c r="G18" s="179" t="s">
        <v>832</v>
      </c>
      <c r="H18" s="180"/>
      <c r="I18" s="90">
        <f>VORN!I25</f>
        <v>0</v>
      </c>
    </row>
    <row r="19" spans="1:9" ht="15.75" x14ac:dyDescent="0.25">
      <c r="A19" s="91" t="s">
        <v>50</v>
      </c>
      <c r="B19" s="88" t="s">
        <v>35</v>
      </c>
      <c r="C19" s="89">
        <f>SUM('Stavební rozpočet'!AG12:AG251)</f>
        <v>0</v>
      </c>
      <c r="D19" s="179" t="s">
        <v>50</v>
      </c>
      <c r="E19" s="180"/>
      <c r="F19" s="90" t="s">
        <v>50</v>
      </c>
      <c r="G19" s="179" t="s">
        <v>833</v>
      </c>
      <c r="H19" s="180"/>
      <c r="I19" s="90">
        <f>VORN!I26</f>
        <v>0</v>
      </c>
    </row>
    <row r="20" spans="1:9" ht="15.75" x14ac:dyDescent="0.25">
      <c r="A20" s="173" t="s">
        <v>834</v>
      </c>
      <c r="B20" s="174"/>
      <c r="C20" s="89">
        <f>SUM('Stavební rozpočet'!AH12:AH251)</f>
        <v>0</v>
      </c>
      <c r="D20" s="179" t="s">
        <v>50</v>
      </c>
      <c r="E20" s="180"/>
      <c r="F20" s="90" t="s">
        <v>50</v>
      </c>
      <c r="G20" s="179" t="s">
        <v>50</v>
      </c>
      <c r="H20" s="180"/>
      <c r="I20" s="90" t="s">
        <v>50</v>
      </c>
    </row>
    <row r="21" spans="1:9" ht="15.75" x14ac:dyDescent="0.25">
      <c r="A21" s="175" t="s">
        <v>835</v>
      </c>
      <c r="B21" s="176"/>
      <c r="C21" s="92">
        <f>SUM('Stavební rozpočet'!Z12:Z251)</f>
        <v>0</v>
      </c>
      <c r="D21" s="181" t="s">
        <v>50</v>
      </c>
      <c r="E21" s="182"/>
      <c r="F21" s="93" t="s">
        <v>50</v>
      </c>
      <c r="G21" s="181" t="s">
        <v>50</v>
      </c>
      <c r="H21" s="182"/>
      <c r="I21" s="93" t="s">
        <v>50</v>
      </c>
    </row>
    <row r="22" spans="1:9" ht="16.5" customHeight="1" x14ac:dyDescent="0.25">
      <c r="A22" s="177" t="s">
        <v>836</v>
      </c>
      <c r="B22" s="178"/>
      <c r="C22" s="94">
        <f>SUM(C14:C21)</f>
        <v>0</v>
      </c>
      <c r="D22" s="183" t="s">
        <v>837</v>
      </c>
      <c r="E22" s="178"/>
      <c r="F22" s="94">
        <f>SUM(F14:F21)</f>
        <v>0</v>
      </c>
      <c r="G22" s="183" t="s">
        <v>838</v>
      </c>
      <c r="H22" s="178"/>
      <c r="I22" s="94">
        <f>ROUND(C22*(2/100),2)</f>
        <v>0</v>
      </c>
    </row>
    <row r="23" spans="1:9" ht="15.75" x14ac:dyDescent="0.25">
      <c r="D23" s="173" t="s">
        <v>839</v>
      </c>
      <c r="E23" s="174"/>
      <c r="F23" s="95">
        <v>0</v>
      </c>
      <c r="G23" s="184" t="s">
        <v>840</v>
      </c>
      <c r="H23" s="174"/>
      <c r="I23" s="89">
        <v>0</v>
      </c>
    </row>
    <row r="24" spans="1:9" ht="15.75" x14ac:dyDescent="0.25">
      <c r="G24" s="173" t="s">
        <v>841</v>
      </c>
      <c r="H24" s="174"/>
      <c r="I24" s="92">
        <f>vorn_sum</f>
        <v>0</v>
      </c>
    </row>
    <row r="25" spans="1:9" ht="15.75" x14ac:dyDescent="0.25">
      <c r="G25" s="173" t="s">
        <v>842</v>
      </c>
      <c r="H25" s="174"/>
      <c r="I25" s="94">
        <v>0</v>
      </c>
    </row>
    <row r="27" spans="1:9" ht="15.75" x14ac:dyDescent="0.25">
      <c r="A27" s="185" t="s">
        <v>843</v>
      </c>
      <c r="B27" s="186"/>
      <c r="C27" s="96">
        <f>SUM('Stavební rozpočet'!AJ12:AJ251)</f>
        <v>0</v>
      </c>
    </row>
    <row r="28" spans="1:9" ht="15.75" x14ac:dyDescent="0.25">
      <c r="A28" s="187" t="s">
        <v>844</v>
      </c>
      <c r="B28" s="188"/>
      <c r="C28" s="97">
        <f>SUM('Stavební rozpočet'!AK12:AK251)+(F22+I22+F23+I23+I24+I25)</f>
        <v>0</v>
      </c>
      <c r="D28" s="189" t="s">
        <v>845</v>
      </c>
      <c r="E28" s="186"/>
      <c r="F28" s="96">
        <f>ROUND(C28*(12/100),2)</f>
        <v>0</v>
      </c>
      <c r="G28" s="189" t="s">
        <v>846</v>
      </c>
      <c r="H28" s="186"/>
      <c r="I28" s="96">
        <f>SUM(C27:C29)</f>
        <v>0</v>
      </c>
    </row>
    <row r="29" spans="1:9" ht="15.75" x14ac:dyDescent="0.25">
      <c r="A29" s="187" t="s">
        <v>847</v>
      </c>
      <c r="B29" s="188"/>
      <c r="C29" s="97">
        <f>SUM('Stavební rozpočet'!AL12:AL251)</f>
        <v>0</v>
      </c>
      <c r="D29" s="190" t="s">
        <v>848</v>
      </c>
      <c r="E29" s="188"/>
      <c r="F29" s="97">
        <f>ROUND(C29*(21/100),2)</f>
        <v>0</v>
      </c>
      <c r="G29" s="190" t="s">
        <v>849</v>
      </c>
      <c r="H29" s="188"/>
      <c r="I29" s="97">
        <f>SUM(F28:F29)+I28</f>
        <v>0</v>
      </c>
    </row>
    <row r="31" spans="1:9" x14ac:dyDescent="0.25">
      <c r="A31" s="191" t="s">
        <v>850</v>
      </c>
      <c r="B31" s="192"/>
      <c r="C31" s="193"/>
      <c r="D31" s="200" t="s">
        <v>851</v>
      </c>
      <c r="E31" s="192"/>
      <c r="F31" s="193"/>
      <c r="G31" s="200" t="s">
        <v>852</v>
      </c>
      <c r="H31" s="192"/>
      <c r="I31" s="193"/>
    </row>
    <row r="32" spans="1:9" x14ac:dyDescent="0.25">
      <c r="A32" s="194" t="s">
        <v>50</v>
      </c>
      <c r="B32" s="195"/>
      <c r="C32" s="196"/>
      <c r="D32" s="201" t="s">
        <v>50</v>
      </c>
      <c r="E32" s="195"/>
      <c r="F32" s="196"/>
      <c r="G32" s="201" t="s">
        <v>50</v>
      </c>
      <c r="H32" s="195"/>
      <c r="I32" s="196"/>
    </row>
    <row r="33" spans="1:9" x14ac:dyDescent="0.25">
      <c r="A33" s="194" t="s">
        <v>50</v>
      </c>
      <c r="B33" s="195"/>
      <c r="C33" s="196"/>
      <c r="D33" s="201" t="s">
        <v>50</v>
      </c>
      <c r="E33" s="195"/>
      <c r="F33" s="196"/>
      <c r="G33" s="201" t="s">
        <v>50</v>
      </c>
      <c r="H33" s="195"/>
      <c r="I33" s="196"/>
    </row>
    <row r="34" spans="1:9" x14ac:dyDescent="0.25">
      <c r="A34" s="194" t="s">
        <v>50</v>
      </c>
      <c r="B34" s="195"/>
      <c r="C34" s="196"/>
      <c r="D34" s="201" t="s">
        <v>50</v>
      </c>
      <c r="E34" s="195"/>
      <c r="F34" s="196"/>
      <c r="G34" s="201" t="s">
        <v>50</v>
      </c>
      <c r="H34" s="195"/>
      <c r="I34" s="196"/>
    </row>
    <row r="35" spans="1:9" x14ac:dyDescent="0.25">
      <c r="A35" s="197" t="s">
        <v>853</v>
      </c>
      <c r="B35" s="198"/>
      <c r="C35" s="199"/>
      <c r="D35" s="202" t="s">
        <v>853</v>
      </c>
      <c r="E35" s="198"/>
      <c r="F35" s="199"/>
      <c r="G35" s="202" t="s">
        <v>853</v>
      </c>
      <c r="H35" s="198"/>
      <c r="I35" s="199"/>
    </row>
    <row r="36" spans="1:9" x14ac:dyDescent="0.25">
      <c r="A36" s="98" t="s">
        <v>698</v>
      </c>
    </row>
    <row r="37" spans="1:9" ht="12.75" customHeight="1" x14ac:dyDescent="0.25">
      <c r="A37" s="116" t="s">
        <v>50</v>
      </c>
      <c r="B37" s="111"/>
      <c r="C37" s="111"/>
      <c r="D37" s="111"/>
      <c r="E37" s="111"/>
      <c r="F37" s="111"/>
      <c r="G37" s="111"/>
      <c r="H37" s="111"/>
      <c r="I37" s="111"/>
    </row>
  </sheetData>
  <sheetProtection password="C7C0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54"/>
  <sheetViews>
    <sheetView workbookViewId="0">
      <pane ySplit="11" topLeftCell="A12" activePane="bottomLeft" state="frozen"/>
      <selection pane="bottomLeft" activeCell="A254" sqref="A254:K254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08" t="s">
        <v>1</v>
      </c>
      <c r="B2" s="109"/>
      <c r="C2" s="117" t="s">
        <v>2</v>
      </c>
      <c r="D2" s="118"/>
      <c r="E2" s="109" t="s">
        <v>3</v>
      </c>
      <c r="F2" s="109"/>
      <c r="G2" s="120" t="s">
        <v>4</v>
      </c>
      <c r="H2" s="115" t="s">
        <v>5</v>
      </c>
      <c r="I2" s="115" t="s">
        <v>6</v>
      </c>
      <c r="J2" s="109"/>
      <c r="K2" s="123"/>
    </row>
    <row r="3" spans="1:76" x14ac:dyDescent="0.25">
      <c r="A3" s="110"/>
      <c r="B3" s="111"/>
      <c r="C3" s="119"/>
      <c r="D3" s="119"/>
      <c r="E3" s="111"/>
      <c r="F3" s="111"/>
      <c r="G3" s="121"/>
      <c r="H3" s="111"/>
      <c r="I3" s="111"/>
      <c r="J3" s="111"/>
      <c r="K3" s="124"/>
    </row>
    <row r="4" spans="1:76" x14ac:dyDescent="0.25">
      <c r="A4" s="112" t="s">
        <v>7</v>
      </c>
      <c r="B4" s="111"/>
      <c r="C4" s="116" t="s">
        <v>8</v>
      </c>
      <c r="D4" s="111"/>
      <c r="E4" s="111" t="s">
        <v>9</v>
      </c>
      <c r="F4" s="111"/>
      <c r="G4" s="121" t="s">
        <v>4</v>
      </c>
      <c r="H4" s="116" t="s">
        <v>10</v>
      </c>
      <c r="I4" s="116" t="s">
        <v>11</v>
      </c>
      <c r="J4" s="111"/>
      <c r="K4" s="124"/>
    </row>
    <row r="5" spans="1:76" x14ac:dyDescent="0.25">
      <c r="A5" s="110"/>
      <c r="B5" s="111"/>
      <c r="C5" s="111"/>
      <c r="D5" s="111"/>
      <c r="E5" s="111"/>
      <c r="F5" s="111"/>
      <c r="G5" s="121"/>
      <c r="H5" s="111"/>
      <c r="I5" s="111"/>
      <c r="J5" s="111"/>
      <c r="K5" s="124"/>
    </row>
    <row r="6" spans="1:76" x14ac:dyDescent="0.25">
      <c r="A6" s="112" t="s">
        <v>12</v>
      </c>
      <c r="B6" s="111"/>
      <c r="C6" s="116" t="s">
        <v>13</v>
      </c>
      <c r="D6" s="111"/>
      <c r="E6" s="111" t="s">
        <v>14</v>
      </c>
      <c r="F6" s="111"/>
      <c r="G6" s="121" t="s">
        <v>4</v>
      </c>
      <c r="H6" s="116" t="s">
        <v>15</v>
      </c>
      <c r="I6" s="121" t="s">
        <v>16</v>
      </c>
      <c r="J6" s="121"/>
      <c r="K6" s="125"/>
    </row>
    <row r="7" spans="1:76" x14ac:dyDescent="0.25">
      <c r="A7" s="110"/>
      <c r="B7" s="111"/>
      <c r="C7" s="111"/>
      <c r="D7" s="111"/>
      <c r="E7" s="111"/>
      <c r="F7" s="111"/>
      <c r="G7" s="121"/>
      <c r="H7" s="111"/>
      <c r="I7" s="121"/>
      <c r="J7" s="121"/>
      <c r="K7" s="125"/>
    </row>
    <row r="8" spans="1:76" x14ac:dyDescent="0.25">
      <c r="A8" s="112" t="s">
        <v>17</v>
      </c>
      <c r="B8" s="111"/>
      <c r="C8" s="116" t="s">
        <v>4</v>
      </c>
      <c r="D8" s="111"/>
      <c r="E8" s="111" t="s">
        <v>18</v>
      </c>
      <c r="F8" s="111"/>
      <c r="G8" s="121" t="s">
        <v>19</v>
      </c>
      <c r="H8" s="116" t="s">
        <v>20</v>
      </c>
      <c r="I8" s="126" t="s">
        <v>11</v>
      </c>
      <c r="J8" s="121"/>
      <c r="K8" s="125"/>
    </row>
    <row r="9" spans="1:76" x14ac:dyDescent="0.25">
      <c r="A9" s="113"/>
      <c r="B9" s="114"/>
      <c r="C9" s="114"/>
      <c r="D9" s="114"/>
      <c r="E9" s="114"/>
      <c r="F9" s="114"/>
      <c r="G9" s="122"/>
      <c r="H9" s="114"/>
      <c r="I9" s="122"/>
      <c r="J9" s="122"/>
      <c r="K9" s="127"/>
    </row>
    <row r="10" spans="1:76" x14ac:dyDescent="0.25">
      <c r="A10" s="5" t="s">
        <v>21</v>
      </c>
      <c r="B10" s="6" t="s">
        <v>22</v>
      </c>
      <c r="C10" s="128" t="s">
        <v>23</v>
      </c>
      <c r="D10" s="129"/>
      <c r="E10" s="6" t="s">
        <v>24</v>
      </c>
      <c r="F10" s="7" t="s">
        <v>25</v>
      </c>
      <c r="G10" s="8" t="s">
        <v>26</v>
      </c>
      <c r="H10" s="132" t="s">
        <v>27</v>
      </c>
      <c r="I10" s="133"/>
      <c r="J10" s="134"/>
      <c r="K10" s="9" t="s">
        <v>28</v>
      </c>
      <c r="BK10" s="10" t="s">
        <v>29</v>
      </c>
      <c r="BL10" s="11" t="s">
        <v>30</v>
      </c>
      <c r="BW10" s="11" t="s">
        <v>31</v>
      </c>
    </row>
    <row r="11" spans="1:76" x14ac:dyDescent="0.25">
      <c r="A11" s="12" t="s">
        <v>4</v>
      </c>
      <c r="B11" s="13" t="s">
        <v>4</v>
      </c>
      <c r="C11" s="130" t="s">
        <v>32</v>
      </c>
      <c r="D11" s="131"/>
      <c r="E11" s="13" t="s">
        <v>4</v>
      </c>
      <c r="F11" s="13" t="s">
        <v>4</v>
      </c>
      <c r="G11" s="14" t="s">
        <v>33</v>
      </c>
      <c r="H11" s="15" t="s">
        <v>34</v>
      </c>
      <c r="I11" s="16" t="s">
        <v>35</v>
      </c>
      <c r="J11" s="17" t="s">
        <v>36</v>
      </c>
      <c r="K11" s="18" t="s">
        <v>37</v>
      </c>
      <c r="Z11" s="10" t="s">
        <v>38</v>
      </c>
      <c r="AA11" s="10" t="s">
        <v>39</v>
      </c>
      <c r="AB11" s="10" t="s">
        <v>40</v>
      </c>
      <c r="AC11" s="10" t="s">
        <v>41</v>
      </c>
      <c r="AD11" s="10" t="s">
        <v>42</v>
      </c>
      <c r="AE11" s="10" t="s">
        <v>43</v>
      </c>
      <c r="AF11" s="10" t="s">
        <v>44</v>
      </c>
      <c r="AG11" s="10" t="s">
        <v>45</v>
      </c>
      <c r="AH11" s="10" t="s">
        <v>46</v>
      </c>
      <c r="BH11" s="10" t="s">
        <v>47</v>
      </c>
      <c r="BI11" s="10" t="s">
        <v>48</v>
      </c>
      <c r="BJ11" s="10" t="s">
        <v>49</v>
      </c>
    </row>
    <row r="12" spans="1:76" x14ac:dyDescent="0.25">
      <c r="A12" s="19" t="s">
        <v>50</v>
      </c>
      <c r="B12" s="20" t="s">
        <v>51</v>
      </c>
      <c r="C12" s="135" t="s">
        <v>52</v>
      </c>
      <c r="D12" s="136"/>
      <c r="E12" s="21" t="s">
        <v>4</v>
      </c>
      <c r="F12" s="21" t="s">
        <v>4</v>
      </c>
      <c r="G12" s="22" t="s">
        <v>4</v>
      </c>
      <c r="H12" s="23">
        <f>SUM(H13:H24)</f>
        <v>0</v>
      </c>
      <c r="I12" s="23">
        <f>SUM(I13:I24)</f>
        <v>0</v>
      </c>
      <c r="J12" s="23">
        <f>SUM(J13:J24)</f>
        <v>0</v>
      </c>
      <c r="K12" s="24" t="s">
        <v>50</v>
      </c>
      <c r="AI12" s="10" t="s">
        <v>50</v>
      </c>
      <c r="AS12" s="1">
        <f>SUM(AJ13:AJ24)</f>
        <v>0</v>
      </c>
      <c r="AT12" s="1">
        <f>SUM(AK13:AK24)</f>
        <v>0</v>
      </c>
      <c r="AU12" s="1">
        <f>SUM(AL13:AL24)</f>
        <v>0</v>
      </c>
    </row>
    <row r="13" spans="1:76" x14ac:dyDescent="0.25">
      <c r="A13" s="25" t="s">
        <v>53</v>
      </c>
      <c r="B13" s="26" t="s">
        <v>54</v>
      </c>
      <c r="C13" s="137" t="s">
        <v>55</v>
      </c>
      <c r="D13" s="138"/>
      <c r="E13" s="26" t="s">
        <v>56</v>
      </c>
      <c r="F13" s="27">
        <v>6</v>
      </c>
      <c r="G13" s="28">
        <v>0</v>
      </c>
      <c r="H13" s="27">
        <f>F13*AO13</f>
        <v>0</v>
      </c>
      <c r="I13" s="27">
        <f>F13*AP13</f>
        <v>0</v>
      </c>
      <c r="J13" s="27">
        <f>F13*G13</f>
        <v>0</v>
      </c>
      <c r="K13" s="29" t="s">
        <v>57</v>
      </c>
      <c r="Z13" s="30">
        <f>IF(AQ13="5",BJ13,0)</f>
        <v>0</v>
      </c>
      <c r="AB13" s="30">
        <f>IF(AQ13="1",BH13,0)</f>
        <v>0</v>
      </c>
      <c r="AC13" s="30">
        <f>IF(AQ13="1",BI13,0)</f>
        <v>0</v>
      </c>
      <c r="AD13" s="30">
        <f>IF(AQ13="7",BH13,0)</f>
        <v>0</v>
      </c>
      <c r="AE13" s="30">
        <f>IF(AQ13="7",BI13,0)</f>
        <v>0</v>
      </c>
      <c r="AF13" s="30">
        <f>IF(AQ13="2",BH13,0)</f>
        <v>0</v>
      </c>
      <c r="AG13" s="30">
        <f>IF(AQ13="2",BI13,0)</f>
        <v>0</v>
      </c>
      <c r="AH13" s="30">
        <f>IF(AQ13="0",BJ13,0)</f>
        <v>0</v>
      </c>
      <c r="AI13" s="10" t="s">
        <v>50</v>
      </c>
      <c r="AJ13" s="30">
        <f>IF(AN13=0,J13,0)</f>
        <v>0</v>
      </c>
      <c r="AK13" s="30">
        <f>IF(AN13=12,J13,0)</f>
        <v>0</v>
      </c>
      <c r="AL13" s="30">
        <f>IF(AN13=21,J13,0)</f>
        <v>0</v>
      </c>
      <c r="AN13" s="30">
        <v>12</v>
      </c>
      <c r="AO13" s="30">
        <f>G13*0</f>
        <v>0</v>
      </c>
      <c r="AP13" s="30">
        <f>G13*(1-0)</f>
        <v>0</v>
      </c>
      <c r="AQ13" s="31" t="s">
        <v>53</v>
      </c>
      <c r="AV13" s="30">
        <f>AW13+AX13</f>
        <v>0</v>
      </c>
      <c r="AW13" s="30">
        <f>F13*AO13</f>
        <v>0</v>
      </c>
      <c r="AX13" s="30">
        <f>F13*AP13</f>
        <v>0</v>
      </c>
      <c r="AY13" s="31" t="s">
        <v>58</v>
      </c>
      <c r="AZ13" s="31" t="s">
        <v>59</v>
      </c>
      <c r="BA13" s="10" t="s">
        <v>60</v>
      </c>
      <c r="BC13" s="30">
        <f>AW13+AX13</f>
        <v>0</v>
      </c>
      <c r="BD13" s="30">
        <f>G13/(100-BE13)*100</f>
        <v>0</v>
      </c>
      <c r="BE13" s="30">
        <v>0</v>
      </c>
      <c r="BF13" s="30">
        <f>13</f>
        <v>13</v>
      </c>
      <c r="BH13" s="30">
        <f>F13*AO13</f>
        <v>0</v>
      </c>
      <c r="BI13" s="30">
        <f>F13*AP13</f>
        <v>0</v>
      </c>
      <c r="BJ13" s="30">
        <f>F13*G13</f>
        <v>0</v>
      </c>
      <c r="BK13" s="30"/>
      <c r="BL13" s="30">
        <v>34</v>
      </c>
      <c r="BW13" s="30">
        <v>12</v>
      </c>
      <c r="BX13" s="4" t="s">
        <v>55</v>
      </c>
    </row>
    <row r="14" spans="1:76" x14ac:dyDescent="0.25">
      <c r="A14" s="32" t="s">
        <v>61</v>
      </c>
      <c r="B14" s="33" t="s">
        <v>62</v>
      </c>
      <c r="C14" s="139" t="s">
        <v>63</v>
      </c>
      <c r="D14" s="140"/>
      <c r="E14" s="33" t="s">
        <v>64</v>
      </c>
      <c r="F14" s="34">
        <v>1</v>
      </c>
      <c r="G14" s="35">
        <v>0</v>
      </c>
      <c r="H14" s="34">
        <f>F14*AO14</f>
        <v>0</v>
      </c>
      <c r="I14" s="34">
        <f>F14*AP14</f>
        <v>0</v>
      </c>
      <c r="J14" s="34">
        <f>F14*G14</f>
        <v>0</v>
      </c>
      <c r="K14" s="36" t="s">
        <v>57</v>
      </c>
      <c r="Z14" s="30">
        <f>IF(AQ14="5",BJ14,0)</f>
        <v>0</v>
      </c>
      <c r="AB14" s="30">
        <f>IF(AQ14="1",BH14,0)</f>
        <v>0</v>
      </c>
      <c r="AC14" s="30">
        <f>IF(AQ14="1",BI14,0)</f>
        <v>0</v>
      </c>
      <c r="AD14" s="30">
        <f>IF(AQ14="7",BH14,0)</f>
        <v>0</v>
      </c>
      <c r="AE14" s="30">
        <f>IF(AQ14="7",BI14,0)</f>
        <v>0</v>
      </c>
      <c r="AF14" s="30">
        <f>IF(AQ14="2",BH14,0)</f>
        <v>0</v>
      </c>
      <c r="AG14" s="30">
        <f>IF(AQ14="2",BI14,0)</f>
        <v>0</v>
      </c>
      <c r="AH14" s="30">
        <f>IF(AQ14="0",BJ14,0)</f>
        <v>0</v>
      </c>
      <c r="AI14" s="10" t="s">
        <v>50</v>
      </c>
      <c r="AJ14" s="30">
        <f>IF(AN14=0,J14,0)</f>
        <v>0</v>
      </c>
      <c r="AK14" s="30">
        <f>IF(AN14=12,J14,0)</f>
        <v>0</v>
      </c>
      <c r="AL14" s="30">
        <f>IF(AN14=21,J14,0)</f>
        <v>0</v>
      </c>
      <c r="AN14" s="30">
        <v>12</v>
      </c>
      <c r="AO14" s="30">
        <f>G14*0.106029257</f>
        <v>0</v>
      </c>
      <c r="AP14" s="30">
        <f>G14*(1-0.106029257)</f>
        <v>0</v>
      </c>
      <c r="AQ14" s="31" t="s">
        <v>53</v>
      </c>
      <c r="AV14" s="30">
        <f>AW14+AX14</f>
        <v>0</v>
      </c>
      <c r="AW14" s="30">
        <f>F14*AO14</f>
        <v>0</v>
      </c>
      <c r="AX14" s="30">
        <f>F14*AP14</f>
        <v>0</v>
      </c>
      <c r="AY14" s="31" t="s">
        <v>58</v>
      </c>
      <c r="AZ14" s="31" t="s">
        <v>59</v>
      </c>
      <c r="BA14" s="10" t="s">
        <v>60</v>
      </c>
      <c r="BC14" s="30">
        <f>AW14+AX14</f>
        <v>0</v>
      </c>
      <c r="BD14" s="30">
        <f>G14/(100-BE14)*100</f>
        <v>0</v>
      </c>
      <c r="BE14" s="30">
        <v>0</v>
      </c>
      <c r="BF14" s="30">
        <f>14</f>
        <v>14</v>
      </c>
      <c r="BH14" s="30">
        <f>F14*AO14</f>
        <v>0</v>
      </c>
      <c r="BI14" s="30">
        <f>F14*AP14</f>
        <v>0</v>
      </c>
      <c r="BJ14" s="30">
        <f>F14*G14</f>
        <v>0</v>
      </c>
      <c r="BK14" s="30"/>
      <c r="BL14" s="30">
        <v>34</v>
      </c>
      <c r="BW14" s="30">
        <v>12</v>
      </c>
      <c r="BX14" s="4" t="s">
        <v>63</v>
      </c>
    </row>
    <row r="15" spans="1:76" x14ac:dyDescent="0.25">
      <c r="A15" s="32" t="s">
        <v>65</v>
      </c>
      <c r="B15" s="33" t="s">
        <v>66</v>
      </c>
      <c r="C15" s="139" t="s">
        <v>67</v>
      </c>
      <c r="D15" s="140"/>
      <c r="E15" s="33" t="s">
        <v>56</v>
      </c>
      <c r="F15" s="34">
        <v>2</v>
      </c>
      <c r="G15" s="35">
        <v>0</v>
      </c>
      <c r="H15" s="34">
        <f>F15*AO15</f>
        <v>0</v>
      </c>
      <c r="I15" s="34">
        <f>F15*AP15</f>
        <v>0</v>
      </c>
      <c r="J15" s="34">
        <f>F15*G15</f>
        <v>0</v>
      </c>
      <c r="K15" s="36" t="s">
        <v>57</v>
      </c>
      <c r="Z15" s="30">
        <f>IF(AQ15="5",BJ15,0)</f>
        <v>0</v>
      </c>
      <c r="AB15" s="30">
        <f>IF(AQ15="1",BH15,0)</f>
        <v>0</v>
      </c>
      <c r="AC15" s="30">
        <f>IF(AQ15="1",BI15,0)</f>
        <v>0</v>
      </c>
      <c r="AD15" s="30">
        <f>IF(AQ15="7",BH15,0)</f>
        <v>0</v>
      </c>
      <c r="AE15" s="30">
        <f>IF(AQ15="7",BI15,0)</f>
        <v>0</v>
      </c>
      <c r="AF15" s="30">
        <f>IF(AQ15="2",BH15,0)</f>
        <v>0</v>
      </c>
      <c r="AG15" s="30">
        <f>IF(AQ15="2",BI15,0)</f>
        <v>0</v>
      </c>
      <c r="AH15" s="30">
        <f>IF(AQ15="0",BJ15,0)</f>
        <v>0</v>
      </c>
      <c r="AI15" s="10" t="s">
        <v>50</v>
      </c>
      <c r="AJ15" s="30">
        <f>IF(AN15=0,J15,0)</f>
        <v>0</v>
      </c>
      <c r="AK15" s="30">
        <f>IF(AN15=12,J15,0)</f>
        <v>0</v>
      </c>
      <c r="AL15" s="30">
        <f>IF(AN15=21,J15,0)</f>
        <v>0</v>
      </c>
      <c r="AN15" s="30">
        <v>12</v>
      </c>
      <c r="AO15" s="30">
        <f>G15*0.019495677</f>
        <v>0</v>
      </c>
      <c r="AP15" s="30">
        <f>G15*(1-0.019495677)</f>
        <v>0</v>
      </c>
      <c r="AQ15" s="31" t="s">
        <v>61</v>
      </c>
      <c r="AV15" s="30">
        <f>AW15+AX15</f>
        <v>0</v>
      </c>
      <c r="AW15" s="30">
        <f>F15*AO15</f>
        <v>0</v>
      </c>
      <c r="AX15" s="30">
        <f>F15*AP15</f>
        <v>0</v>
      </c>
      <c r="AY15" s="31" t="s">
        <v>58</v>
      </c>
      <c r="AZ15" s="31" t="s">
        <v>59</v>
      </c>
      <c r="BA15" s="10" t="s">
        <v>60</v>
      </c>
      <c r="BC15" s="30">
        <f>AW15+AX15</f>
        <v>0</v>
      </c>
      <c r="BD15" s="30">
        <f>G15/(100-BE15)*100</f>
        <v>0</v>
      </c>
      <c r="BE15" s="30">
        <v>0</v>
      </c>
      <c r="BF15" s="30">
        <f>15</f>
        <v>15</v>
      </c>
      <c r="BH15" s="30">
        <f>F15*AO15</f>
        <v>0</v>
      </c>
      <c r="BI15" s="30">
        <f>F15*AP15</f>
        <v>0</v>
      </c>
      <c r="BJ15" s="30">
        <f>F15*G15</f>
        <v>0</v>
      </c>
      <c r="BK15" s="30"/>
      <c r="BL15" s="30">
        <v>34</v>
      </c>
      <c r="BW15" s="30">
        <v>12</v>
      </c>
      <c r="BX15" s="4" t="s">
        <v>67</v>
      </c>
    </row>
    <row r="16" spans="1:76" ht="13.5" customHeight="1" x14ac:dyDescent="0.25">
      <c r="A16" s="37"/>
      <c r="B16" s="38" t="s">
        <v>68</v>
      </c>
      <c r="C16" s="141" t="s">
        <v>69</v>
      </c>
      <c r="D16" s="142"/>
      <c r="E16" s="142"/>
      <c r="F16" s="142"/>
      <c r="G16" s="143"/>
      <c r="H16" s="142"/>
      <c r="I16" s="142"/>
      <c r="J16" s="142"/>
      <c r="K16" s="144"/>
    </row>
    <row r="17" spans="1:76" x14ac:dyDescent="0.25">
      <c r="A17" s="25" t="s">
        <v>70</v>
      </c>
      <c r="B17" s="26" t="s">
        <v>71</v>
      </c>
      <c r="C17" s="137" t="s">
        <v>72</v>
      </c>
      <c r="D17" s="138"/>
      <c r="E17" s="26" t="s">
        <v>56</v>
      </c>
      <c r="F17" s="27">
        <v>2</v>
      </c>
      <c r="G17" s="28">
        <v>0</v>
      </c>
      <c r="H17" s="27">
        <f t="shared" ref="H17:H24" si="0">F17*AO17</f>
        <v>0</v>
      </c>
      <c r="I17" s="27">
        <f t="shared" ref="I17:I24" si="1">F17*AP17</f>
        <v>0</v>
      </c>
      <c r="J17" s="27">
        <f t="shared" ref="J17:J24" si="2">F17*G17</f>
        <v>0</v>
      </c>
      <c r="K17" s="29" t="s">
        <v>57</v>
      </c>
      <c r="Z17" s="30">
        <f t="shared" ref="Z17:Z24" si="3">IF(AQ17="5",BJ17,0)</f>
        <v>0</v>
      </c>
      <c r="AB17" s="30">
        <f t="shared" ref="AB17:AB24" si="4">IF(AQ17="1",BH17,0)</f>
        <v>0</v>
      </c>
      <c r="AC17" s="30">
        <f t="shared" ref="AC17:AC24" si="5">IF(AQ17="1",BI17,0)</f>
        <v>0</v>
      </c>
      <c r="AD17" s="30">
        <f t="shared" ref="AD17:AD24" si="6">IF(AQ17="7",BH17,0)</f>
        <v>0</v>
      </c>
      <c r="AE17" s="30">
        <f t="shared" ref="AE17:AE24" si="7">IF(AQ17="7",BI17,0)</f>
        <v>0</v>
      </c>
      <c r="AF17" s="30">
        <f t="shared" ref="AF17:AF24" si="8">IF(AQ17="2",BH17,0)</f>
        <v>0</v>
      </c>
      <c r="AG17" s="30">
        <f t="shared" ref="AG17:AG24" si="9">IF(AQ17="2",BI17,0)</f>
        <v>0</v>
      </c>
      <c r="AH17" s="30">
        <f t="shared" ref="AH17:AH24" si="10">IF(AQ17="0",BJ17,0)</f>
        <v>0</v>
      </c>
      <c r="AI17" s="10" t="s">
        <v>50</v>
      </c>
      <c r="AJ17" s="30">
        <f t="shared" ref="AJ17:AJ24" si="11">IF(AN17=0,J17,0)</f>
        <v>0</v>
      </c>
      <c r="AK17" s="30">
        <f t="shared" ref="AK17:AK24" si="12">IF(AN17=12,J17,0)</f>
        <v>0</v>
      </c>
      <c r="AL17" s="30">
        <f t="shared" ref="AL17:AL24" si="13">IF(AN17=21,J17,0)</f>
        <v>0</v>
      </c>
      <c r="AN17" s="30">
        <v>12</v>
      </c>
      <c r="AO17" s="30">
        <f>G17*0.185462069</f>
        <v>0</v>
      </c>
      <c r="AP17" s="30">
        <f>G17*(1-0.185462069)</f>
        <v>0</v>
      </c>
      <c r="AQ17" s="31" t="s">
        <v>53</v>
      </c>
      <c r="AV17" s="30">
        <f t="shared" ref="AV17:AV24" si="14">AW17+AX17</f>
        <v>0</v>
      </c>
      <c r="AW17" s="30">
        <f t="shared" ref="AW17:AW24" si="15">F17*AO17</f>
        <v>0</v>
      </c>
      <c r="AX17" s="30">
        <f t="shared" ref="AX17:AX24" si="16">F17*AP17</f>
        <v>0</v>
      </c>
      <c r="AY17" s="31" t="s">
        <v>58</v>
      </c>
      <c r="AZ17" s="31" t="s">
        <v>59</v>
      </c>
      <c r="BA17" s="10" t="s">
        <v>60</v>
      </c>
      <c r="BC17" s="30">
        <f t="shared" ref="BC17:BC24" si="17">AW17+AX17</f>
        <v>0</v>
      </c>
      <c r="BD17" s="30">
        <f t="shared" ref="BD17:BD24" si="18">G17/(100-BE17)*100</f>
        <v>0</v>
      </c>
      <c r="BE17" s="30">
        <v>0</v>
      </c>
      <c r="BF17" s="30">
        <f>17</f>
        <v>17</v>
      </c>
      <c r="BH17" s="30">
        <f t="shared" ref="BH17:BH24" si="19">F17*AO17</f>
        <v>0</v>
      </c>
      <c r="BI17" s="30">
        <f t="shared" ref="BI17:BI24" si="20">F17*AP17</f>
        <v>0</v>
      </c>
      <c r="BJ17" s="30">
        <f t="shared" ref="BJ17:BJ24" si="21">F17*G17</f>
        <v>0</v>
      </c>
      <c r="BK17" s="30"/>
      <c r="BL17" s="30">
        <v>34</v>
      </c>
      <c r="BW17" s="30">
        <v>12</v>
      </c>
      <c r="BX17" s="4" t="s">
        <v>72</v>
      </c>
    </row>
    <row r="18" spans="1:76" x14ac:dyDescent="0.25">
      <c r="A18" s="32" t="s">
        <v>73</v>
      </c>
      <c r="B18" s="33" t="s">
        <v>74</v>
      </c>
      <c r="C18" s="139" t="s">
        <v>75</v>
      </c>
      <c r="D18" s="140"/>
      <c r="E18" s="33" t="s">
        <v>76</v>
      </c>
      <c r="F18" s="34">
        <v>60</v>
      </c>
      <c r="G18" s="35">
        <v>0</v>
      </c>
      <c r="H18" s="34">
        <f t="shared" si="0"/>
        <v>0</v>
      </c>
      <c r="I18" s="34">
        <f t="shared" si="1"/>
        <v>0</v>
      </c>
      <c r="J18" s="34">
        <f t="shared" si="2"/>
        <v>0</v>
      </c>
      <c r="K18" s="36" t="s">
        <v>57</v>
      </c>
      <c r="Z18" s="30">
        <f t="shared" si="3"/>
        <v>0</v>
      </c>
      <c r="AB18" s="30">
        <f t="shared" si="4"/>
        <v>0</v>
      </c>
      <c r="AC18" s="30">
        <f t="shared" si="5"/>
        <v>0</v>
      </c>
      <c r="AD18" s="30">
        <f t="shared" si="6"/>
        <v>0</v>
      </c>
      <c r="AE18" s="30">
        <f t="shared" si="7"/>
        <v>0</v>
      </c>
      <c r="AF18" s="30">
        <f t="shared" si="8"/>
        <v>0</v>
      </c>
      <c r="AG18" s="30">
        <f t="shared" si="9"/>
        <v>0</v>
      </c>
      <c r="AH18" s="30">
        <f t="shared" si="10"/>
        <v>0</v>
      </c>
      <c r="AI18" s="10" t="s">
        <v>50</v>
      </c>
      <c r="AJ18" s="30">
        <f t="shared" si="11"/>
        <v>0</v>
      </c>
      <c r="AK18" s="30">
        <f t="shared" si="12"/>
        <v>0</v>
      </c>
      <c r="AL18" s="30">
        <f t="shared" si="13"/>
        <v>0</v>
      </c>
      <c r="AN18" s="30">
        <v>12</v>
      </c>
      <c r="AO18" s="30">
        <f>G18*0.136679684</f>
        <v>0</v>
      </c>
      <c r="AP18" s="30">
        <f>G18*(1-0.136679684)</f>
        <v>0</v>
      </c>
      <c r="AQ18" s="31" t="s">
        <v>53</v>
      </c>
      <c r="AV18" s="30">
        <f t="shared" si="14"/>
        <v>0</v>
      </c>
      <c r="AW18" s="30">
        <f t="shared" si="15"/>
        <v>0</v>
      </c>
      <c r="AX18" s="30">
        <f t="shared" si="16"/>
        <v>0</v>
      </c>
      <c r="AY18" s="31" t="s">
        <v>58</v>
      </c>
      <c r="AZ18" s="31" t="s">
        <v>59</v>
      </c>
      <c r="BA18" s="10" t="s">
        <v>60</v>
      </c>
      <c r="BC18" s="30">
        <f t="shared" si="17"/>
        <v>0</v>
      </c>
      <c r="BD18" s="30">
        <f t="shared" si="18"/>
        <v>0</v>
      </c>
      <c r="BE18" s="30">
        <v>0</v>
      </c>
      <c r="BF18" s="30">
        <f>18</f>
        <v>18</v>
      </c>
      <c r="BH18" s="30">
        <f t="shared" si="19"/>
        <v>0</v>
      </c>
      <c r="BI18" s="30">
        <f t="shared" si="20"/>
        <v>0</v>
      </c>
      <c r="BJ18" s="30">
        <f t="shared" si="21"/>
        <v>0</v>
      </c>
      <c r="BK18" s="30"/>
      <c r="BL18" s="30">
        <v>34</v>
      </c>
      <c r="BW18" s="30">
        <v>12</v>
      </c>
      <c r="BX18" s="4" t="s">
        <v>75</v>
      </c>
    </row>
    <row r="19" spans="1:76" x14ac:dyDescent="0.25">
      <c r="A19" s="32" t="s">
        <v>77</v>
      </c>
      <c r="B19" s="33" t="s">
        <v>78</v>
      </c>
      <c r="C19" s="139" t="s">
        <v>79</v>
      </c>
      <c r="D19" s="140"/>
      <c r="E19" s="33" t="s">
        <v>76</v>
      </c>
      <c r="F19" s="34">
        <v>3.9</v>
      </c>
      <c r="G19" s="35">
        <v>0</v>
      </c>
      <c r="H19" s="34">
        <f t="shared" si="0"/>
        <v>0</v>
      </c>
      <c r="I19" s="34">
        <f t="shared" si="1"/>
        <v>0</v>
      </c>
      <c r="J19" s="34">
        <f t="shared" si="2"/>
        <v>0</v>
      </c>
      <c r="K19" s="36" t="s">
        <v>57</v>
      </c>
      <c r="Z19" s="30">
        <f t="shared" si="3"/>
        <v>0</v>
      </c>
      <c r="AB19" s="30">
        <f t="shared" si="4"/>
        <v>0</v>
      </c>
      <c r="AC19" s="30">
        <f t="shared" si="5"/>
        <v>0</v>
      </c>
      <c r="AD19" s="30">
        <f t="shared" si="6"/>
        <v>0</v>
      </c>
      <c r="AE19" s="30">
        <f t="shared" si="7"/>
        <v>0</v>
      </c>
      <c r="AF19" s="30">
        <f t="shared" si="8"/>
        <v>0</v>
      </c>
      <c r="AG19" s="30">
        <f t="shared" si="9"/>
        <v>0</v>
      </c>
      <c r="AH19" s="30">
        <f t="shared" si="10"/>
        <v>0</v>
      </c>
      <c r="AI19" s="10" t="s">
        <v>50</v>
      </c>
      <c r="AJ19" s="30">
        <f t="shared" si="11"/>
        <v>0</v>
      </c>
      <c r="AK19" s="30">
        <f t="shared" si="12"/>
        <v>0</v>
      </c>
      <c r="AL19" s="30">
        <f t="shared" si="13"/>
        <v>0</v>
      </c>
      <c r="AN19" s="30">
        <v>12</v>
      </c>
      <c r="AO19" s="30">
        <f>G19*0.100007148</f>
        <v>0</v>
      </c>
      <c r="AP19" s="30">
        <f>G19*(1-0.100007148)</f>
        <v>0</v>
      </c>
      <c r="AQ19" s="31" t="s">
        <v>53</v>
      </c>
      <c r="AV19" s="30">
        <f t="shared" si="14"/>
        <v>0</v>
      </c>
      <c r="AW19" s="30">
        <f t="shared" si="15"/>
        <v>0</v>
      </c>
      <c r="AX19" s="30">
        <f t="shared" si="16"/>
        <v>0</v>
      </c>
      <c r="AY19" s="31" t="s">
        <v>58</v>
      </c>
      <c r="AZ19" s="31" t="s">
        <v>59</v>
      </c>
      <c r="BA19" s="10" t="s">
        <v>60</v>
      </c>
      <c r="BC19" s="30">
        <f t="shared" si="17"/>
        <v>0</v>
      </c>
      <c r="BD19" s="30">
        <f t="shared" si="18"/>
        <v>0</v>
      </c>
      <c r="BE19" s="30">
        <v>0</v>
      </c>
      <c r="BF19" s="30">
        <f>19</f>
        <v>19</v>
      </c>
      <c r="BH19" s="30">
        <f t="shared" si="19"/>
        <v>0</v>
      </c>
      <c r="BI19" s="30">
        <f t="shared" si="20"/>
        <v>0</v>
      </c>
      <c r="BJ19" s="30">
        <f t="shared" si="21"/>
        <v>0</v>
      </c>
      <c r="BK19" s="30"/>
      <c r="BL19" s="30">
        <v>34</v>
      </c>
      <c r="BW19" s="30">
        <v>12</v>
      </c>
      <c r="BX19" s="4" t="s">
        <v>79</v>
      </c>
    </row>
    <row r="20" spans="1:76" x14ac:dyDescent="0.25">
      <c r="A20" s="32" t="s">
        <v>80</v>
      </c>
      <c r="B20" s="33" t="s">
        <v>81</v>
      </c>
      <c r="C20" s="139" t="s">
        <v>82</v>
      </c>
      <c r="D20" s="140"/>
      <c r="E20" s="33" t="s">
        <v>76</v>
      </c>
      <c r="F20" s="34">
        <v>8.6</v>
      </c>
      <c r="G20" s="35">
        <v>0</v>
      </c>
      <c r="H20" s="34">
        <f t="shared" si="0"/>
        <v>0</v>
      </c>
      <c r="I20" s="34">
        <f t="shared" si="1"/>
        <v>0</v>
      </c>
      <c r="J20" s="34">
        <f t="shared" si="2"/>
        <v>0</v>
      </c>
      <c r="K20" s="36" t="s">
        <v>57</v>
      </c>
      <c r="Z20" s="30">
        <f t="shared" si="3"/>
        <v>0</v>
      </c>
      <c r="AB20" s="30">
        <f t="shared" si="4"/>
        <v>0</v>
      </c>
      <c r="AC20" s="30">
        <f t="shared" si="5"/>
        <v>0</v>
      </c>
      <c r="AD20" s="30">
        <f t="shared" si="6"/>
        <v>0</v>
      </c>
      <c r="AE20" s="30">
        <f t="shared" si="7"/>
        <v>0</v>
      </c>
      <c r="AF20" s="30">
        <f t="shared" si="8"/>
        <v>0</v>
      </c>
      <c r="AG20" s="30">
        <f t="shared" si="9"/>
        <v>0</v>
      </c>
      <c r="AH20" s="30">
        <f t="shared" si="10"/>
        <v>0</v>
      </c>
      <c r="AI20" s="10" t="s">
        <v>50</v>
      </c>
      <c r="AJ20" s="30">
        <f t="shared" si="11"/>
        <v>0</v>
      </c>
      <c r="AK20" s="30">
        <f t="shared" si="12"/>
        <v>0</v>
      </c>
      <c r="AL20" s="30">
        <f t="shared" si="13"/>
        <v>0</v>
      </c>
      <c r="AN20" s="30">
        <v>12</v>
      </c>
      <c r="AO20" s="30">
        <f>G20*0.100007293</f>
        <v>0</v>
      </c>
      <c r="AP20" s="30">
        <f>G20*(1-0.100007293)</f>
        <v>0</v>
      </c>
      <c r="AQ20" s="31" t="s">
        <v>53</v>
      </c>
      <c r="AV20" s="30">
        <f t="shared" si="14"/>
        <v>0</v>
      </c>
      <c r="AW20" s="30">
        <f t="shared" si="15"/>
        <v>0</v>
      </c>
      <c r="AX20" s="30">
        <f t="shared" si="16"/>
        <v>0</v>
      </c>
      <c r="AY20" s="31" t="s">
        <v>58</v>
      </c>
      <c r="AZ20" s="31" t="s">
        <v>59</v>
      </c>
      <c r="BA20" s="10" t="s">
        <v>60</v>
      </c>
      <c r="BC20" s="30">
        <f t="shared" si="17"/>
        <v>0</v>
      </c>
      <c r="BD20" s="30">
        <f t="shared" si="18"/>
        <v>0</v>
      </c>
      <c r="BE20" s="30">
        <v>0</v>
      </c>
      <c r="BF20" s="30">
        <f>20</f>
        <v>20</v>
      </c>
      <c r="BH20" s="30">
        <f t="shared" si="19"/>
        <v>0</v>
      </c>
      <c r="BI20" s="30">
        <f t="shared" si="20"/>
        <v>0</v>
      </c>
      <c r="BJ20" s="30">
        <f t="shared" si="21"/>
        <v>0</v>
      </c>
      <c r="BK20" s="30"/>
      <c r="BL20" s="30">
        <v>34</v>
      </c>
      <c r="BW20" s="30">
        <v>12</v>
      </c>
      <c r="BX20" s="4" t="s">
        <v>82</v>
      </c>
    </row>
    <row r="21" spans="1:76" x14ac:dyDescent="0.25">
      <c r="A21" s="32" t="s">
        <v>83</v>
      </c>
      <c r="B21" s="33" t="s">
        <v>84</v>
      </c>
      <c r="C21" s="139" t="s">
        <v>85</v>
      </c>
      <c r="D21" s="140"/>
      <c r="E21" s="33" t="s">
        <v>86</v>
      </c>
      <c r="F21" s="34">
        <v>0.16836000000000001</v>
      </c>
      <c r="G21" s="35">
        <v>0</v>
      </c>
      <c r="H21" s="34">
        <f t="shared" si="0"/>
        <v>0</v>
      </c>
      <c r="I21" s="34">
        <f t="shared" si="1"/>
        <v>0</v>
      </c>
      <c r="J21" s="34">
        <f t="shared" si="2"/>
        <v>0</v>
      </c>
      <c r="K21" s="36" t="s">
        <v>57</v>
      </c>
      <c r="Z21" s="30">
        <f t="shared" si="3"/>
        <v>0</v>
      </c>
      <c r="AB21" s="30">
        <f t="shared" si="4"/>
        <v>0</v>
      </c>
      <c r="AC21" s="30">
        <f t="shared" si="5"/>
        <v>0</v>
      </c>
      <c r="AD21" s="30">
        <f t="shared" si="6"/>
        <v>0</v>
      </c>
      <c r="AE21" s="30">
        <f t="shared" si="7"/>
        <v>0</v>
      </c>
      <c r="AF21" s="30">
        <f t="shared" si="8"/>
        <v>0</v>
      </c>
      <c r="AG21" s="30">
        <f t="shared" si="9"/>
        <v>0</v>
      </c>
      <c r="AH21" s="30">
        <f t="shared" si="10"/>
        <v>0</v>
      </c>
      <c r="AI21" s="10" t="s">
        <v>50</v>
      </c>
      <c r="AJ21" s="30">
        <f t="shared" si="11"/>
        <v>0</v>
      </c>
      <c r="AK21" s="30">
        <f t="shared" si="12"/>
        <v>0</v>
      </c>
      <c r="AL21" s="30">
        <f t="shared" si="13"/>
        <v>0</v>
      </c>
      <c r="AN21" s="30">
        <v>12</v>
      </c>
      <c r="AO21" s="30">
        <f>G21*0</f>
        <v>0</v>
      </c>
      <c r="AP21" s="30">
        <f>G21*(1-0)</f>
        <v>0</v>
      </c>
      <c r="AQ21" s="31" t="s">
        <v>73</v>
      </c>
      <c r="AV21" s="30">
        <f t="shared" si="14"/>
        <v>0</v>
      </c>
      <c r="AW21" s="30">
        <f t="shared" si="15"/>
        <v>0</v>
      </c>
      <c r="AX21" s="30">
        <f t="shared" si="16"/>
        <v>0</v>
      </c>
      <c r="AY21" s="31" t="s">
        <v>58</v>
      </c>
      <c r="AZ21" s="31" t="s">
        <v>59</v>
      </c>
      <c r="BA21" s="10" t="s">
        <v>60</v>
      </c>
      <c r="BC21" s="30">
        <f t="shared" si="17"/>
        <v>0</v>
      </c>
      <c r="BD21" s="30">
        <f t="shared" si="18"/>
        <v>0</v>
      </c>
      <c r="BE21" s="30">
        <v>0</v>
      </c>
      <c r="BF21" s="30">
        <f>21</f>
        <v>21</v>
      </c>
      <c r="BH21" s="30">
        <f t="shared" si="19"/>
        <v>0</v>
      </c>
      <c r="BI21" s="30">
        <f t="shared" si="20"/>
        <v>0</v>
      </c>
      <c r="BJ21" s="30">
        <f t="shared" si="21"/>
        <v>0</v>
      </c>
      <c r="BK21" s="30"/>
      <c r="BL21" s="30">
        <v>34</v>
      </c>
      <c r="BW21" s="30">
        <v>12</v>
      </c>
      <c r="BX21" s="4" t="s">
        <v>85</v>
      </c>
    </row>
    <row r="22" spans="1:76" x14ac:dyDescent="0.25">
      <c r="A22" s="32" t="s">
        <v>87</v>
      </c>
      <c r="B22" s="33" t="s">
        <v>88</v>
      </c>
      <c r="C22" s="139" t="s">
        <v>89</v>
      </c>
      <c r="D22" s="140"/>
      <c r="E22" s="33" t="s">
        <v>86</v>
      </c>
      <c r="F22" s="34">
        <v>0.16836000000000001</v>
      </c>
      <c r="G22" s="35">
        <v>0</v>
      </c>
      <c r="H22" s="34">
        <f t="shared" si="0"/>
        <v>0</v>
      </c>
      <c r="I22" s="34">
        <f t="shared" si="1"/>
        <v>0</v>
      </c>
      <c r="J22" s="34">
        <f t="shared" si="2"/>
        <v>0</v>
      </c>
      <c r="K22" s="36" t="s">
        <v>57</v>
      </c>
      <c r="Z22" s="30">
        <f t="shared" si="3"/>
        <v>0</v>
      </c>
      <c r="AB22" s="30">
        <f t="shared" si="4"/>
        <v>0</v>
      </c>
      <c r="AC22" s="30">
        <f t="shared" si="5"/>
        <v>0</v>
      </c>
      <c r="AD22" s="30">
        <f t="shared" si="6"/>
        <v>0</v>
      </c>
      <c r="AE22" s="30">
        <f t="shared" si="7"/>
        <v>0</v>
      </c>
      <c r="AF22" s="30">
        <f t="shared" si="8"/>
        <v>0</v>
      </c>
      <c r="AG22" s="30">
        <f t="shared" si="9"/>
        <v>0</v>
      </c>
      <c r="AH22" s="30">
        <f t="shared" si="10"/>
        <v>0</v>
      </c>
      <c r="AI22" s="10" t="s">
        <v>50</v>
      </c>
      <c r="AJ22" s="30">
        <f t="shared" si="11"/>
        <v>0</v>
      </c>
      <c r="AK22" s="30">
        <f t="shared" si="12"/>
        <v>0</v>
      </c>
      <c r="AL22" s="30">
        <f t="shared" si="13"/>
        <v>0</v>
      </c>
      <c r="AN22" s="30">
        <v>12</v>
      </c>
      <c r="AO22" s="30">
        <f>G22*0.01079632</f>
        <v>0</v>
      </c>
      <c r="AP22" s="30">
        <f>G22*(1-0.01079632)</f>
        <v>0</v>
      </c>
      <c r="AQ22" s="31" t="s">
        <v>73</v>
      </c>
      <c r="AV22" s="30">
        <f t="shared" si="14"/>
        <v>0</v>
      </c>
      <c r="AW22" s="30">
        <f t="shared" si="15"/>
        <v>0</v>
      </c>
      <c r="AX22" s="30">
        <f t="shared" si="16"/>
        <v>0</v>
      </c>
      <c r="AY22" s="31" t="s">
        <v>58</v>
      </c>
      <c r="AZ22" s="31" t="s">
        <v>59</v>
      </c>
      <c r="BA22" s="10" t="s">
        <v>60</v>
      </c>
      <c r="BC22" s="30">
        <f t="shared" si="17"/>
        <v>0</v>
      </c>
      <c r="BD22" s="30">
        <f t="shared" si="18"/>
        <v>0</v>
      </c>
      <c r="BE22" s="30">
        <v>0</v>
      </c>
      <c r="BF22" s="30">
        <f>22</f>
        <v>22</v>
      </c>
      <c r="BH22" s="30">
        <f t="shared" si="19"/>
        <v>0</v>
      </c>
      <c r="BI22" s="30">
        <f t="shared" si="20"/>
        <v>0</v>
      </c>
      <c r="BJ22" s="30">
        <f t="shared" si="21"/>
        <v>0</v>
      </c>
      <c r="BK22" s="30"/>
      <c r="BL22" s="30">
        <v>34</v>
      </c>
      <c r="BW22" s="30">
        <v>12</v>
      </c>
      <c r="BX22" s="4" t="s">
        <v>89</v>
      </c>
    </row>
    <row r="23" spans="1:76" x14ac:dyDescent="0.25">
      <c r="A23" s="32" t="s">
        <v>90</v>
      </c>
      <c r="B23" s="33" t="s">
        <v>91</v>
      </c>
      <c r="C23" s="139" t="s">
        <v>92</v>
      </c>
      <c r="D23" s="140"/>
      <c r="E23" s="33" t="s">
        <v>86</v>
      </c>
      <c r="F23" s="34">
        <v>0.16836000000000001</v>
      </c>
      <c r="G23" s="35">
        <v>0</v>
      </c>
      <c r="H23" s="34">
        <f t="shared" si="0"/>
        <v>0</v>
      </c>
      <c r="I23" s="34">
        <f t="shared" si="1"/>
        <v>0</v>
      </c>
      <c r="J23" s="34">
        <f t="shared" si="2"/>
        <v>0</v>
      </c>
      <c r="K23" s="36" t="s">
        <v>93</v>
      </c>
      <c r="Z23" s="30">
        <f t="shared" si="3"/>
        <v>0</v>
      </c>
      <c r="AB23" s="30">
        <f t="shared" si="4"/>
        <v>0</v>
      </c>
      <c r="AC23" s="30">
        <f t="shared" si="5"/>
        <v>0</v>
      </c>
      <c r="AD23" s="30">
        <f t="shared" si="6"/>
        <v>0</v>
      </c>
      <c r="AE23" s="30">
        <f t="shared" si="7"/>
        <v>0</v>
      </c>
      <c r="AF23" s="30">
        <f t="shared" si="8"/>
        <v>0</v>
      </c>
      <c r="AG23" s="30">
        <f t="shared" si="9"/>
        <v>0</v>
      </c>
      <c r="AH23" s="30">
        <f t="shared" si="10"/>
        <v>0</v>
      </c>
      <c r="AI23" s="10" t="s">
        <v>50</v>
      </c>
      <c r="AJ23" s="30">
        <f t="shared" si="11"/>
        <v>0</v>
      </c>
      <c r="AK23" s="30">
        <f t="shared" si="12"/>
        <v>0</v>
      </c>
      <c r="AL23" s="30">
        <f t="shared" si="13"/>
        <v>0</v>
      </c>
      <c r="AN23" s="30">
        <v>12</v>
      </c>
      <c r="AO23" s="30">
        <f>G23*0</f>
        <v>0</v>
      </c>
      <c r="AP23" s="30">
        <f>G23*(1-0)</f>
        <v>0</v>
      </c>
      <c r="AQ23" s="31" t="s">
        <v>73</v>
      </c>
      <c r="AV23" s="30">
        <f t="shared" si="14"/>
        <v>0</v>
      </c>
      <c r="AW23" s="30">
        <f t="shared" si="15"/>
        <v>0</v>
      </c>
      <c r="AX23" s="30">
        <f t="shared" si="16"/>
        <v>0</v>
      </c>
      <c r="AY23" s="31" t="s">
        <v>58</v>
      </c>
      <c r="AZ23" s="31" t="s">
        <v>59</v>
      </c>
      <c r="BA23" s="10" t="s">
        <v>60</v>
      </c>
      <c r="BC23" s="30">
        <f t="shared" si="17"/>
        <v>0</v>
      </c>
      <c r="BD23" s="30">
        <f t="shared" si="18"/>
        <v>0</v>
      </c>
      <c r="BE23" s="30">
        <v>0</v>
      </c>
      <c r="BF23" s="30">
        <f>23</f>
        <v>23</v>
      </c>
      <c r="BH23" s="30">
        <f t="shared" si="19"/>
        <v>0</v>
      </c>
      <c r="BI23" s="30">
        <f t="shared" si="20"/>
        <v>0</v>
      </c>
      <c r="BJ23" s="30">
        <f t="shared" si="21"/>
        <v>0</v>
      </c>
      <c r="BK23" s="30"/>
      <c r="BL23" s="30">
        <v>34</v>
      </c>
      <c r="BW23" s="30">
        <v>12</v>
      </c>
      <c r="BX23" s="4" t="s">
        <v>92</v>
      </c>
    </row>
    <row r="24" spans="1:76" x14ac:dyDescent="0.25">
      <c r="A24" s="32" t="s">
        <v>94</v>
      </c>
      <c r="B24" s="33" t="s">
        <v>95</v>
      </c>
      <c r="C24" s="139" t="s">
        <v>96</v>
      </c>
      <c r="D24" s="140"/>
      <c r="E24" s="33" t="s">
        <v>97</v>
      </c>
      <c r="F24" s="34">
        <v>0.22500000000000001</v>
      </c>
      <c r="G24" s="35">
        <v>0</v>
      </c>
      <c r="H24" s="34">
        <f t="shared" si="0"/>
        <v>0</v>
      </c>
      <c r="I24" s="34">
        <f t="shared" si="1"/>
        <v>0</v>
      </c>
      <c r="J24" s="34">
        <f t="shared" si="2"/>
        <v>0</v>
      </c>
      <c r="K24" s="36" t="s">
        <v>57</v>
      </c>
      <c r="Z24" s="30">
        <f t="shared" si="3"/>
        <v>0</v>
      </c>
      <c r="AB24" s="30">
        <f t="shared" si="4"/>
        <v>0</v>
      </c>
      <c r="AC24" s="30">
        <f t="shared" si="5"/>
        <v>0</v>
      </c>
      <c r="AD24" s="30">
        <f t="shared" si="6"/>
        <v>0</v>
      </c>
      <c r="AE24" s="30">
        <f t="shared" si="7"/>
        <v>0</v>
      </c>
      <c r="AF24" s="30">
        <f t="shared" si="8"/>
        <v>0</v>
      </c>
      <c r="AG24" s="30">
        <f t="shared" si="9"/>
        <v>0</v>
      </c>
      <c r="AH24" s="30">
        <f t="shared" si="10"/>
        <v>0</v>
      </c>
      <c r="AI24" s="10" t="s">
        <v>50</v>
      </c>
      <c r="AJ24" s="30">
        <f t="shared" si="11"/>
        <v>0</v>
      </c>
      <c r="AK24" s="30">
        <f t="shared" si="12"/>
        <v>0</v>
      </c>
      <c r="AL24" s="30">
        <f t="shared" si="13"/>
        <v>0</v>
      </c>
      <c r="AN24" s="30">
        <v>12</v>
      </c>
      <c r="AO24" s="30">
        <f>G24*0.78426978</f>
        <v>0</v>
      </c>
      <c r="AP24" s="30">
        <f>G24*(1-0.78426978)</f>
        <v>0</v>
      </c>
      <c r="AQ24" s="31" t="s">
        <v>53</v>
      </c>
      <c r="AV24" s="30">
        <f t="shared" si="14"/>
        <v>0</v>
      </c>
      <c r="AW24" s="30">
        <f t="shared" si="15"/>
        <v>0</v>
      </c>
      <c r="AX24" s="30">
        <f t="shared" si="16"/>
        <v>0</v>
      </c>
      <c r="AY24" s="31" t="s">
        <v>58</v>
      </c>
      <c r="AZ24" s="31" t="s">
        <v>59</v>
      </c>
      <c r="BA24" s="10" t="s">
        <v>60</v>
      </c>
      <c r="BC24" s="30">
        <f t="shared" si="17"/>
        <v>0</v>
      </c>
      <c r="BD24" s="30">
        <f t="shared" si="18"/>
        <v>0</v>
      </c>
      <c r="BE24" s="30">
        <v>0</v>
      </c>
      <c r="BF24" s="30">
        <f>24</f>
        <v>24</v>
      </c>
      <c r="BH24" s="30">
        <f t="shared" si="19"/>
        <v>0</v>
      </c>
      <c r="BI24" s="30">
        <f t="shared" si="20"/>
        <v>0</v>
      </c>
      <c r="BJ24" s="30">
        <f t="shared" si="21"/>
        <v>0</v>
      </c>
      <c r="BK24" s="30"/>
      <c r="BL24" s="30">
        <v>34</v>
      </c>
      <c r="BW24" s="30">
        <v>12</v>
      </c>
      <c r="BX24" s="4" t="s">
        <v>96</v>
      </c>
    </row>
    <row r="25" spans="1:76" x14ac:dyDescent="0.25">
      <c r="A25" s="39" t="s">
        <v>50</v>
      </c>
      <c r="B25" s="40" t="s">
        <v>98</v>
      </c>
      <c r="C25" s="145" t="s">
        <v>99</v>
      </c>
      <c r="D25" s="146"/>
      <c r="E25" s="41" t="s">
        <v>4</v>
      </c>
      <c r="F25" s="41" t="s">
        <v>4</v>
      </c>
      <c r="G25" s="42" t="s">
        <v>4</v>
      </c>
      <c r="H25" s="43">
        <f>SUM(H26:H44)</f>
        <v>0</v>
      </c>
      <c r="I25" s="43">
        <f>SUM(I26:I44)</f>
        <v>0</v>
      </c>
      <c r="J25" s="43">
        <f>SUM(J26:J44)</f>
        <v>0</v>
      </c>
      <c r="K25" s="44" t="s">
        <v>50</v>
      </c>
      <c r="AI25" s="10" t="s">
        <v>50</v>
      </c>
      <c r="AS25" s="1">
        <f>SUM(AJ26:AJ44)</f>
        <v>0</v>
      </c>
      <c r="AT25" s="1">
        <f>SUM(AK26:AK44)</f>
        <v>0</v>
      </c>
      <c r="AU25" s="1">
        <f>SUM(AL26:AL44)</f>
        <v>0</v>
      </c>
    </row>
    <row r="26" spans="1:76" x14ac:dyDescent="0.25">
      <c r="A26" s="25" t="s">
        <v>100</v>
      </c>
      <c r="B26" s="26" t="s">
        <v>101</v>
      </c>
      <c r="C26" s="137" t="s">
        <v>102</v>
      </c>
      <c r="D26" s="138"/>
      <c r="E26" s="26" t="s">
        <v>64</v>
      </c>
      <c r="F26" s="27">
        <v>18.701499999999999</v>
      </c>
      <c r="G26" s="28">
        <v>0</v>
      </c>
      <c r="H26" s="27">
        <f t="shared" ref="H26:H38" si="22">F26*AO26</f>
        <v>0</v>
      </c>
      <c r="I26" s="27">
        <f t="shared" ref="I26:I38" si="23">F26*AP26</f>
        <v>0</v>
      </c>
      <c r="J26" s="27">
        <f t="shared" ref="J26:J38" si="24">F26*G26</f>
        <v>0</v>
      </c>
      <c r="K26" s="29" t="s">
        <v>57</v>
      </c>
      <c r="Z26" s="30">
        <f t="shared" ref="Z26:Z38" si="25">IF(AQ26="5",BJ26,0)</f>
        <v>0</v>
      </c>
      <c r="AB26" s="30">
        <f t="shared" ref="AB26:AB38" si="26">IF(AQ26="1",BH26,0)</f>
        <v>0</v>
      </c>
      <c r="AC26" s="30">
        <f t="shared" ref="AC26:AC38" si="27">IF(AQ26="1",BI26,0)</f>
        <v>0</v>
      </c>
      <c r="AD26" s="30">
        <f t="shared" ref="AD26:AD38" si="28">IF(AQ26="7",BH26,0)</f>
        <v>0</v>
      </c>
      <c r="AE26" s="30">
        <f t="shared" ref="AE26:AE38" si="29">IF(AQ26="7",BI26,0)</f>
        <v>0</v>
      </c>
      <c r="AF26" s="30">
        <f t="shared" ref="AF26:AF38" si="30">IF(AQ26="2",BH26,0)</f>
        <v>0</v>
      </c>
      <c r="AG26" s="30">
        <f t="shared" ref="AG26:AG38" si="31">IF(AQ26="2",BI26,0)</f>
        <v>0</v>
      </c>
      <c r="AH26" s="30">
        <f t="shared" ref="AH26:AH38" si="32">IF(AQ26="0",BJ26,0)</f>
        <v>0</v>
      </c>
      <c r="AI26" s="10" t="s">
        <v>50</v>
      </c>
      <c r="AJ26" s="30">
        <f t="shared" ref="AJ26:AJ38" si="33">IF(AN26=0,J26,0)</f>
        <v>0</v>
      </c>
      <c r="AK26" s="30">
        <f t="shared" ref="AK26:AK38" si="34">IF(AN26=12,J26,0)</f>
        <v>0</v>
      </c>
      <c r="AL26" s="30">
        <f t="shared" ref="AL26:AL38" si="35">IF(AN26=21,J26,0)</f>
        <v>0</v>
      </c>
      <c r="AN26" s="30">
        <v>12</v>
      </c>
      <c r="AO26" s="30">
        <f>G26*0.333785837</f>
        <v>0</v>
      </c>
      <c r="AP26" s="30">
        <f>G26*(1-0.333785837)</f>
        <v>0</v>
      </c>
      <c r="AQ26" s="31" t="s">
        <v>53</v>
      </c>
      <c r="AV26" s="30">
        <f t="shared" ref="AV26:AV38" si="36">AW26+AX26</f>
        <v>0</v>
      </c>
      <c r="AW26" s="30">
        <f t="shared" ref="AW26:AW38" si="37">F26*AO26</f>
        <v>0</v>
      </c>
      <c r="AX26" s="30">
        <f t="shared" ref="AX26:AX38" si="38">F26*AP26</f>
        <v>0</v>
      </c>
      <c r="AY26" s="31" t="s">
        <v>103</v>
      </c>
      <c r="AZ26" s="31" t="s">
        <v>104</v>
      </c>
      <c r="BA26" s="10" t="s">
        <v>60</v>
      </c>
      <c r="BC26" s="30">
        <f t="shared" ref="BC26:BC38" si="39">AW26+AX26</f>
        <v>0</v>
      </c>
      <c r="BD26" s="30">
        <f t="shared" ref="BD26:BD38" si="40">G26/(100-BE26)*100</f>
        <v>0</v>
      </c>
      <c r="BE26" s="30">
        <v>0</v>
      </c>
      <c r="BF26" s="30">
        <f>26</f>
        <v>26</v>
      </c>
      <c r="BH26" s="30">
        <f t="shared" ref="BH26:BH38" si="41">F26*AO26</f>
        <v>0</v>
      </c>
      <c r="BI26" s="30">
        <f t="shared" ref="BI26:BI38" si="42">F26*AP26</f>
        <v>0</v>
      </c>
      <c r="BJ26" s="30">
        <f t="shared" ref="BJ26:BJ38" si="43">F26*G26</f>
        <v>0</v>
      </c>
      <c r="BK26" s="30"/>
      <c r="BL26" s="30">
        <v>61</v>
      </c>
      <c r="BW26" s="30">
        <v>12</v>
      </c>
      <c r="BX26" s="4" t="s">
        <v>102</v>
      </c>
    </row>
    <row r="27" spans="1:76" x14ac:dyDescent="0.25">
      <c r="A27" s="32" t="s">
        <v>105</v>
      </c>
      <c r="B27" s="33" t="s">
        <v>106</v>
      </c>
      <c r="C27" s="139" t="s">
        <v>107</v>
      </c>
      <c r="D27" s="140"/>
      <c r="E27" s="33" t="s">
        <v>64</v>
      </c>
      <c r="F27" s="34">
        <v>16.50985</v>
      </c>
      <c r="G27" s="35">
        <v>0</v>
      </c>
      <c r="H27" s="34">
        <f t="shared" si="22"/>
        <v>0</v>
      </c>
      <c r="I27" s="34">
        <f t="shared" si="23"/>
        <v>0</v>
      </c>
      <c r="J27" s="34">
        <f t="shared" si="24"/>
        <v>0</v>
      </c>
      <c r="K27" s="36" t="s">
        <v>57</v>
      </c>
      <c r="Z27" s="30">
        <f t="shared" si="25"/>
        <v>0</v>
      </c>
      <c r="AB27" s="30">
        <f t="shared" si="26"/>
        <v>0</v>
      </c>
      <c r="AC27" s="30">
        <f t="shared" si="27"/>
        <v>0</v>
      </c>
      <c r="AD27" s="30">
        <f t="shared" si="28"/>
        <v>0</v>
      </c>
      <c r="AE27" s="30">
        <f t="shared" si="29"/>
        <v>0</v>
      </c>
      <c r="AF27" s="30">
        <f t="shared" si="30"/>
        <v>0</v>
      </c>
      <c r="AG27" s="30">
        <f t="shared" si="31"/>
        <v>0</v>
      </c>
      <c r="AH27" s="30">
        <f t="shared" si="32"/>
        <v>0</v>
      </c>
      <c r="AI27" s="10" t="s">
        <v>50</v>
      </c>
      <c r="AJ27" s="30">
        <f t="shared" si="33"/>
        <v>0</v>
      </c>
      <c r="AK27" s="30">
        <f t="shared" si="34"/>
        <v>0</v>
      </c>
      <c r="AL27" s="30">
        <f t="shared" si="35"/>
        <v>0</v>
      </c>
      <c r="AN27" s="30">
        <v>12</v>
      </c>
      <c r="AO27" s="30">
        <f>G27*0</f>
        <v>0</v>
      </c>
      <c r="AP27" s="30">
        <f>G27*(1-0)</f>
        <v>0</v>
      </c>
      <c r="AQ27" s="31" t="s">
        <v>53</v>
      </c>
      <c r="AV27" s="30">
        <f t="shared" si="36"/>
        <v>0</v>
      </c>
      <c r="AW27" s="30">
        <f t="shared" si="37"/>
        <v>0</v>
      </c>
      <c r="AX27" s="30">
        <f t="shared" si="38"/>
        <v>0</v>
      </c>
      <c r="AY27" s="31" t="s">
        <v>103</v>
      </c>
      <c r="AZ27" s="31" t="s">
        <v>104</v>
      </c>
      <c r="BA27" s="10" t="s">
        <v>60</v>
      </c>
      <c r="BC27" s="30">
        <f t="shared" si="39"/>
        <v>0</v>
      </c>
      <c r="BD27" s="30">
        <f t="shared" si="40"/>
        <v>0</v>
      </c>
      <c r="BE27" s="30">
        <v>0</v>
      </c>
      <c r="BF27" s="30">
        <f>27</f>
        <v>27</v>
      </c>
      <c r="BH27" s="30">
        <f t="shared" si="41"/>
        <v>0</v>
      </c>
      <c r="BI27" s="30">
        <f t="shared" si="42"/>
        <v>0</v>
      </c>
      <c r="BJ27" s="30">
        <f t="shared" si="43"/>
        <v>0</v>
      </c>
      <c r="BK27" s="30"/>
      <c r="BL27" s="30">
        <v>61</v>
      </c>
      <c r="BW27" s="30">
        <v>12</v>
      </c>
      <c r="BX27" s="4" t="s">
        <v>107</v>
      </c>
    </row>
    <row r="28" spans="1:76" x14ac:dyDescent="0.25">
      <c r="A28" s="32" t="s">
        <v>108</v>
      </c>
      <c r="B28" s="33" t="s">
        <v>84</v>
      </c>
      <c r="C28" s="139" t="s">
        <v>85</v>
      </c>
      <c r="D28" s="140"/>
      <c r="E28" s="33" t="s">
        <v>86</v>
      </c>
      <c r="F28" s="34">
        <v>1.1226700000000001</v>
      </c>
      <c r="G28" s="35">
        <v>0</v>
      </c>
      <c r="H28" s="34">
        <f t="shared" si="22"/>
        <v>0</v>
      </c>
      <c r="I28" s="34">
        <f t="shared" si="23"/>
        <v>0</v>
      </c>
      <c r="J28" s="34">
        <f t="shared" si="24"/>
        <v>0</v>
      </c>
      <c r="K28" s="36" t="s">
        <v>57</v>
      </c>
      <c r="Z28" s="30">
        <f t="shared" si="25"/>
        <v>0</v>
      </c>
      <c r="AB28" s="30">
        <f t="shared" si="26"/>
        <v>0</v>
      </c>
      <c r="AC28" s="30">
        <f t="shared" si="27"/>
        <v>0</v>
      </c>
      <c r="AD28" s="30">
        <f t="shared" si="28"/>
        <v>0</v>
      </c>
      <c r="AE28" s="30">
        <f t="shared" si="29"/>
        <v>0</v>
      </c>
      <c r="AF28" s="30">
        <f t="shared" si="30"/>
        <v>0</v>
      </c>
      <c r="AG28" s="30">
        <f t="shared" si="31"/>
        <v>0</v>
      </c>
      <c r="AH28" s="30">
        <f t="shared" si="32"/>
        <v>0</v>
      </c>
      <c r="AI28" s="10" t="s">
        <v>50</v>
      </c>
      <c r="AJ28" s="30">
        <f t="shared" si="33"/>
        <v>0</v>
      </c>
      <c r="AK28" s="30">
        <f t="shared" si="34"/>
        <v>0</v>
      </c>
      <c r="AL28" s="30">
        <f t="shared" si="35"/>
        <v>0</v>
      </c>
      <c r="AN28" s="30">
        <v>12</v>
      </c>
      <c r="AO28" s="30">
        <f>G28*0</f>
        <v>0</v>
      </c>
      <c r="AP28" s="30">
        <f>G28*(1-0)</f>
        <v>0</v>
      </c>
      <c r="AQ28" s="31" t="s">
        <v>73</v>
      </c>
      <c r="AV28" s="30">
        <f t="shared" si="36"/>
        <v>0</v>
      </c>
      <c r="AW28" s="30">
        <f t="shared" si="37"/>
        <v>0</v>
      </c>
      <c r="AX28" s="30">
        <f t="shared" si="38"/>
        <v>0</v>
      </c>
      <c r="AY28" s="31" t="s">
        <v>103</v>
      </c>
      <c r="AZ28" s="31" t="s">
        <v>104</v>
      </c>
      <c r="BA28" s="10" t="s">
        <v>60</v>
      </c>
      <c r="BC28" s="30">
        <f t="shared" si="39"/>
        <v>0</v>
      </c>
      <c r="BD28" s="30">
        <f t="shared" si="40"/>
        <v>0</v>
      </c>
      <c r="BE28" s="30">
        <v>0</v>
      </c>
      <c r="BF28" s="30">
        <f>28</f>
        <v>28</v>
      </c>
      <c r="BH28" s="30">
        <f t="shared" si="41"/>
        <v>0</v>
      </c>
      <c r="BI28" s="30">
        <f t="shared" si="42"/>
        <v>0</v>
      </c>
      <c r="BJ28" s="30">
        <f t="shared" si="43"/>
        <v>0</v>
      </c>
      <c r="BK28" s="30"/>
      <c r="BL28" s="30">
        <v>61</v>
      </c>
      <c r="BW28" s="30">
        <v>12</v>
      </c>
      <c r="BX28" s="4" t="s">
        <v>85</v>
      </c>
    </row>
    <row r="29" spans="1:76" x14ac:dyDescent="0.25">
      <c r="A29" s="32" t="s">
        <v>109</v>
      </c>
      <c r="B29" s="33" t="s">
        <v>88</v>
      </c>
      <c r="C29" s="139" t="s">
        <v>89</v>
      </c>
      <c r="D29" s="140"/>
      <c r="E29" s="33" t="s">
        <v>86</v>
      </c>
      <c r="F29" s="34">
        <v>1.1226700000000001</v>
      </c>
      <c r="G29" s="35">
        <v>0</v>
      </c>
      <c r="H29" s="34">
        <f t="shared" si="22"/>
        <v>0</v>
      </c>
      <c r="I29" s="34">
        <f t="shared" si="23"/>
        <v>0</v>
      </c>
      <c r="J29" s="34">
        <f t="shared" si="24"/>
        <v>0</v>
      </c>
      <c r="K29" s="36" t="s">
        <v>57</v>
      </c>
      <c r="Z29" s="30">
        <f t="shared" si="25"/>
        <v>0</v>
      </c>
      <c r="AB29" s="30">
        <f t="shared" si="26"/>
        <v>0</v>
      </c>
      <c r="AC29" s="30">
        <f t="shared" si="27"/>
        <v>0</v>
      </c>
      <c r="AD29" s="30">
        <f t="shared" si="28"/>
        <v>0</v>
      </c>
      <c r="AE29" s="30">
        <f t="shared" si="29"/>
        <v>0</v>
      </c>
      <c r="AF29" s="30">
        <f t="shared" si="30"/>
        <v>0</v>
      </c>
      <c r="AG29" s="30">
        <f t="shared" si="31"/>
        <v>0</v>
      </c>
      <c r="AH29" s="30">
        <f t="shared" si="32"/>
        <v>0</v>
      </c>
      <c r="AI29" s="10" t="s">
        <v>50</v>
      </c>
      <c r="AJ29" s="30">
        <f t="shared" si="33"/>
        <v>0</v>
      </c>
      <c r="AK29" s="30">
        <f t="shared" si="34"/>
        <v>0</v>
      </c>
      <c r="AL29" s="30">
        <f t="shared" si="35"/>
        <v>0</v>
      </c>
      <c r="AN29" s="30">
        <v>12</v>
      </c>
      <c r="AO29" s="30">
        <f>G29*0.010795656</f>
        <v>0</v>
      </c>
      <c r="AP29" s="30">
        <f>G29*(1-0.010795656)</f>
        <v>0</v>
      </c>
      <c r="AQ29" s="31" t="s">
        <v>73</v>
      </c>
      <c r="AV29" s="30">
        <f t="shared" si="36"/>
        <v>0</v>
      </c>
      <c r="AW29" s="30">
        <f t="shared" si="37"/>
        <v>0</v>
      </c>
      <c r="AX29" s="30">
        <f t="shared" si="38"/>
        <v>0</v>
      </c>
      <c r="AY29" s="31" t="s">
        <v>103</v>
      </c>
      <c r="AZ29" s="31" t="s">
        <v>104</v>
      </c>
      <c r="BA29" s="10" t="s">
        <v>60</v>
      </c>
      <c r="BC29" s="30">
        <f t="shared" si="39"/>
        <v>0</v>
      </c>
      <c r="BD29" s="30">
        <f t="shared" si="40"/>
        <v>0</v>
      </c>
      <c r="BE29" s="30">
        <v>0</v>
      </c>
      <c r="BF29" s="30">
        <f>29</f>
        <v>29</v>
      </c>
      <c r="BH29" s="30">
        <f t="shared" si="41"/>
        <v>0</v>
      </c>
      <c r="BI29" s="30">
        <f t="shared" si="42"/>
        <v>0</v>
      </c>
      <c r="BJ29" s="30">
        <f t="shared" si="43"/>
        <v>0</v>
      </c>
      <c r="BK29" s="30"/>
      <c r="BL29" s="30">
        <v>61</v>
      </c>
      <c r="BW29" s="30">
        <v>12</v>
      </c>
      <c r="BX29" s="4" t="s">
        <v>89</v>
      </c>
    </row>
    <row r="30" spans="1:76" x14ac:dyDescent="0.25">
      <c r="A30" s="32" t="s">
        <v>110</v>
      </c>
      <c r="B30" s="33" t="s">
        <v>111</v>
      </c>
      <c r="C30" s="139" t="s">
        <v>112</v>
      </c>
      <c r="D30" s="140"/>
      <c r="E30" s="33" t="s">
        <v>86</v>
      </c>
      <c r="F30" s="34">
        <v>1.1226700000000001</v>
      </c>
      <c r="G30" s="35">
        <v>0</v>
      </c>
      <c r="H30" s="34">
        <f t="shared" si="22"/>
        <v>0</v>
      </c>
      <c r="I30" s="34">
        <f t="shared" si="23"/>
        <v>0</v>
      </c>
      <c r="J30" s="34">
        <f t="shared" si="24"/>
        <v>0</v>
      </c>
      <c r="K30" s="36" t="s">
        <v>113</v>
      </c>
      <c r="Z30" s="30">
        <f t="shared" si="25"/>
        <v>0</v>
      </c>
      <c r="AB30" s="30">
        <f t="shared" si="26"/>
        <v>0</v>
      </c>
      <c r="AC30" s="30">
        <f t="shared" si="27"/>
        <v>0</v>
      </c>
      <c r="AD30" s="30">
        <f t="shared" si="28"/>
        <v>0</v>
      </c>
      <c r="AE30" s="30">
        <f t="shared" si="29"/>
        <v>0</v>
      </c>
      <c r="AF30" s="30">
        <f t="shared" si="30"/>
        <v>0</v>
      </c>
      <c r="AG30" s="30">
        <f t="shared" si="31"/>
        <v>0</v>
      </c>
      <c r="AH30" s="30">
        <f t="shared" si="32"/>
        <v>0</v>
      </c>
      <c r="AI30" s="10" t="s">
        <v>50</v>
      </c>
      <c r="AJ30" s="30">
        <f t="shared" si="33"/>
        <v>0</v>
      </c>
      <c r="AK30" s="30">
        <f t="shared" si="34"/>
        <v>0</v>
      </c>
      <c r="AL30" s="30">
        <f t="shared" si="35"/>
        <v>0</v>
      </c>
      <c r="AN30" s="30">
        <v>12</v>
      </c>
      <c r="AO30" s="30">
        <f>G30*0</f>
        <v>0</v>
      </c>
      <c r="AP30" s="30">
        <f>G30*(1-0)</f>
        <v>0</v>
      </c>
      <c r="AQ30" s="31" t="s">
        <v>73</v>
      </c>
      <c r="AV30" s="30">
        <f t="shared" si="36"/>
        <v>0</v>
      </c>
      <c r="AW30" s="30">
        <f t="shared" si="37"/>
        <v>0</v>
      </c>
      <c r="AX30" s="30">
        <f t="shared" si="38"/>
        <v>0</v>
      </c>
      <c r="AY30" s="31" t="s">
        <v>103</v>
      </c>
      <c r="AZ30" s="31" t="s">
        <v>104</v>
      </c>
      <c r="BA30" s="10" t="s">
        <v>60</v>
      </c>
      <c r="BC30" s="30">
        <f t="shared" si="39"/>
        <v>0</v>
      </c>
      <c r="BD30" s="30">
        <f t="shared" si="40"/>
        <v>0</v>
      </c>
      <c r="BE30" s="30">
        <v>0</v>
      </c>
      <c r="BF30" s="30">
        <f>30</f>
        <v>30</v>
      </c>
      <c r="BH30" s="30">
        <f t="shared" si="41"/>
        <v>0</v>
      </c>
      <c r="BI30" s="30">
        <f t="shared" si="42"/>
        <v>0</v>
      </c>
      <c r="BJ30" s="30">
        <f t="shared" si="43"/>
        <v>0</v>
      </c>
      <c r="BK30" s="30"/>
      <c r="BL30" s="30">
        <v>61</v>
      </c>
      <c r="BW30" s="30">
        <v>12</v>
      </c>
      <c r="BX30" s="4" t="s">
        <v>112</v>
      </c>
    </row>
    <row r="31" spans="1:76" x14ac:dyDescent="0.25">
      <c r="A31" s="32" t="s">
        <v>114</v>
      </c>
      <c r="B31" s="33" t="s">
        <v>115</v>
      </c>
      <c r="C31" s="139" t="s">
        <v>116</v>
      </c>
      <c r="D31" s="140"/>
      <c r="E31" s="33" t="s">
        <v>76</v>
      </c>
      <c r="F31" s="34">
        <v>72.5</v>
      </c>
      <c r="G31" s="35">
        <v>0</v>
      </c>
      <c r="H31" s="34">
        <f t="shared" si="22"/>
        <v>0</v>
      </c>
      <c r="I31" s="34">
        <f t="shared" si="23"/>
        <v>0</v>
      </c>
      <c r="J31" s="34">
        <f t="shared" si="24"/>
        <v>0</v>
      </c>
      <c r="K31" s="36" t="s">
        <v>57</v>
      </c>
      <c r="Z31" s="30">
        <f t="shared" si="25"/>
        <v>0</v>
      </c>
      <c r="AB31" s="30">
        <f t="shared" si="26"/>
        <v>0</v>
      </c>
      <c r="AC31" s="30">
        <f t="shared" si="27"/>
        <v>0</v>
      </c>
      <c r="AD31" s="30">
        <f t="shared" si="28"/>
        <v>0</v>
      </c>
      <c r="AE31" s="30">
        <f t="shared" si="29"/>
        <v>0</v>
      </c>
      <c r="AF31" s="30">
        <f t="shared" si="30"/>
        <v>0</v>
      </c>
      <c r="AG31" s="30">
        <f t="shared" si="31"/>
        <v>0</v>
      </c>
      <c r="AH31" s="30">
        <f t="shared" si="32"/>
        <v>0</v>
      </c>
      <c r="AI31" s="10" t="s">
        <v>50</v>
      </c>
      <c r="AJ31" s="30">
        <f t="shared" si="33"/>
        <v>0</v>
      </c>
      <c r="AK31" s="30">
        <f t="shared" si="34"/>
        <v>0</v>
      </c>
      <c r="AL31" s="30">
        <f t="shared" si="35"/>
        <v>0</v>
      </c>
      <c r="AN31" s="30">
        <v>12</v>
      </c>
      <c r="AO31" s="30">
        <f>G31*0.436972802</f>
        <v>0</v>
      </c>
      <c r="AP31" s="30">
        <f>G31*(1-0.436972802)</f>
        <v>0</v>
      </c>
      <c r="AQ31" s="31" t="s">
        <v>53</v>
      </c>
      <c r="AV31" s="30">
        <f t="shared" si="36"/>
        <v>0</v>
      </c>
      <c r="AW31" s="30">
        <f t="shared" si="37"/>
        <v>0</v>
      </c>
      <c r="AX31" s="30">
        <f t="shared" si="38"/>
        <v>0</v>
      </c>
      <c r="AY31" s="31" t="s">
        <v>103</v>
      </c>
      <c r="AZ31" s="31" t="s">
        <v>104</v>
      </c>
      <c r="BA31" s="10" t="s">
        <v>60</v>
      </c>
      <c r="BC31" s="30">
        <f t="shared" si="39"/>
        <v>0</v>
      </c>
      <c r="BD31" s="30">
        <f t="shared" si="40"/>
        <v>0</v>
      </c>
      <c r="BE31" s="30">
        <v>0</v>
      </c>
      <c r="BF31" s="30">
        <f>31</f>
        <v>31</v>
      </c>
      <c r="BH31" s="30">
        <f t="shared" si="41"/>
        <v>0</v>
      </c>
      <c r="BI31" s="30">
        <f t="shared" si="42"/>
        <v>0</v>
      </c>
      <c r="BJ31" s="30">
        <f t="shared" si="43"/>
        <v>0</v>
      </c>
      <c r="BK31" s="30"/>
      <c r="BL31" s="30">
        <v>61</v>
      </c>
      <c r="BW31" s="30">
        <v>12</v>
      </c>
      <c r="BX31" s="4" t="s">
        <v>116</v>
      </c>
    </row>
    <row r="32" spans="1:76" x14ac:dyDescent="0.25">
      <c r="A32" s="32" t="s">
        <v>117</v>
      </c>
      <c r="B32" s="33" t="s">
        <v>118</v>
      </c>
      <c r="C32" s="139" t="s">
        <v>119</v>
      </c>
      <c r="D32" s="140"/>
      <c r="E32" s="33" t="s">
        <v>64</v>
      </c>
      <c r="F32" s="34">
        <v>16.50985</v>
      </c>
      <c r="G32" s="35">
        <v>0</v>
      </c>
      <c r="H32" s="34">
        <f t="shared" si="22"/>
        <v>0</v>
      </c>
      <c r="I32" s="34">
        <f t="shared" si="23"/>
        <v>0</v>
      </c>
      <c r="J32" s="34">
        <f t="shared" si="24"/>
        <v>0</v>
      </c>
      <c r="K32" s="36" t="s">
        <v>57</v>
      </c>
      <c r="Z32" s="30">
        <f t="shared" si="25"/>
        <v>0</v>
      </c>
      <c r="AB32" s="30">
        <f t="shared" si="26"/>
        <v>0</v>
      </c>
      <c r="AC32" s="30">
        <f t="shared" si="27"/>
        <v>0</v>
      </c>
      <c r="AD32" s="30">
        <f t="shared" si="28"/>
        <v>0</v>
      </c>
      <c r="AE32" s="30">
        <f t="shared" si="29"/>
        <v>0</v>
      </c>
      <c r="AF32" s="30">
        <f t="shared" si="30"/>
        <v>0</v>
      </c>
      <c r="AG32" s="30">
        <f t="shared" si="31"/>
        <v>0</v>
      </c>
      <c r="AH32" s="30">
        <f t="shared" si="32"/>
        <v>0</v>
      </c>
      <c r="AI32" s="10" t="s">
        <v>50</v>
      </c>
      <c r="AJ32" s="30">
        <f t="shared" si="33"/>
        <v>0</v>
      </c>
      <c r="AK32" s="30">
        <f t="shared" si="34"/>
        <v>0</v>
      </c>
      <c r="AL32" s="30">
        <f t="shared" si="35"/>
        <v>0</v>
      </c>
      <c r="AN32" s="30">
        <v>12</v>
      </c>
      <c r="AO32" s="30">
        <f>G32*0.256491701</f>
        <v>0</v>
      </c>
      <c r="AP32" s="30">
        <f>G32*(1-0.256491701)</f>
        <v>0</v>
      </c>
      <c r="AQ32" s="31" t="s">
        <v>53</v>
      </c>
      <c r="AV32" s="30">
        <f t="shared" si="36"/>
        <v>0</v>
      </c>
      <c r="AW32" s="30">
        <f t="shared" si="37"/>
        <v>0</v>
      </c>
      <c r="AX32" s="30">
        <f t="shared" si="38"/>
        <v>0</v>
      </c>
      <c r="AY32" s="31" t="s">
        <v>103</v>
      </c>
      <c r="AZ32" s="31" t="s">
        <v>104</v>
      </c>
      <c r="BA32" s="10" t="s">
        <v>60</v>
      </c>
      <c r="BC32" s="30">
        <f t="shared" si="39"/>
        <v>0</v>
      </c>
      <c r="BD32" s="30">
        <f t="shared" si="40"/>
        <v>0</v>
      </c>
      <c r="BE32" s="30">
        <v>0</v>
      </c>
      <c r="BF32" s="30">
        <f>32</f>
        <v>32</v>
      </c>
      <c r="BH32" s="30">
        <f t="shared" si="41"/>
        <v>0</v>
      </c>
      <c r="BI32" s="30">
        <f t="shared" si="42"/>
        <v>0</v>
      </c>
      <c r="BJ32" s="30">
        <f t="shared" si="43"/>
        <v>0</v>
      </c>
      <c r="BK32" s="30"/>
      <c r="BL32" s="30">
        <v>61</v>
      </c>
      <c r="BW32" s="30">
        <v>12</v>
      </c>
      <c r="BX32" s="4" t="s">
        <v>119</v>
      </c>
    </row>
    <row r="33" spans="1:76" x14ac:dyDescent="0.25">
      <c r="A33" s="32" t="s">
        <v>120</v>
      </c>
      <c r="B33" s="33" t="s">
        <v>121</v>
      </c>
      <c r="C33" s="139" t="s">
        <v>122</v>
      </c>
      <c r="D33" s="140"/>
      <c r="E33" s="33" t="s">
        <v>64</v>
      </c>
      <c r="F33" s="34">
        <v>25.153600000000001</v>
      </c>
      <c r="G33" s="35">
        <v>0</v>
      </c>
      <c r="H33" s="34">
        <f t="shared" si="22"/>
        <v>0</v>
      </c>
      <c r="I33" s="34">
        <f t="shared" si="23"/>
        <v>0</v>
      </c>
      <c r="J33" s="34">
        <f t="shared" si="24"/>
        <v>0</v>
      </c>
      <c r="K33" s="36" t="s">
        <v>57</v>
      </c>
      <c r="Z33" s="30">
        <f t="shared" si="25"/>
        <v>0</v>
      </c>
      <c r="AB33" s="30">
        <f t="shared" si="26"/>
        <v>0</v>
      </c>
      <c r="AC33" s="30">
        <f t="shared" si="27"/>
        <v>0</v>
      </c>
      <c r="AD33" s="30">
        <f t="shared" si="28"/>
        <v>0</v>
      </c>
      <c r="AE33" s="30">
        <f t="shared" si="29"/>
        <v>0</v>
      </c>
      <c r="AF33" s="30">
        <f t="shared" si="30"/>
        <v>0</v>
      </c>
      <c r="AG33" s="30">
        <f t="shared" si="31"/>
        <v>0</v>
      </c>
      <c r="AH33" s="30">
        <f t="shared" si="32"/>
        <v>0</v>
      </c>
      <c r="AI33" s="10" t="s">
        <v>50</v>
      </c>
      <c r="AJ33" s="30">
        <f t="shared" si="33"/>
        <v>0</v>
      </c>
      <c r="AK33" s="30">
        <f t="shared" si="34"/>
        <v>0</v>
      </c>
      <c r="AL33" s="30">
        <f t="shared" si="35"/>
        <v>0</v>
      </c>
      <c r="AN33" s="30">
        <v>12</v>
      </c>
      <c r="AO33" s="30">
        <f>G33*0.090183588</f>
        <v>0</v>
      </c>
      <c r="AP33" s="30">
        <f>G33*(1-0.090183588)</f>
        <v>0</v>
      </c>
      <c r="AQ33" s="31" t="s">
        <v>53</v>
      </c>
      <c r="AV33" s="30">
        <f t="shared" si="36"/>
        <v>0</v>
      </c>
      <c r="AW33" s="30">
        <f t="shared" si="37"/>
        <v>0</v>
      </c>
      <c r="AX33" s="30">
        <f t="shared" si="38"/>
        <v>0</v>
      </c>
      <c r="AY33" s="31" t="s">
        <v>103</v>
      </c>
      <c r="AZ33" s="31" t="s">
        <v>104</v>
      </c>
      <c r="BA33" s="10" t="s">
        <v>60</v>
      </c>
      <c r="BC33" s="30">
        <f t="shared" si="39"/>
        <v>0</v>
      </c>
      <c r="BD33" s="30">
        <f t="shared" si="40"/>
        <v>0</v>
      </c>
      <c r="BE33" s="30">
        <v>0</v>
      </c>
      <c r="BF33" s="30">
        <f>33</f>
        <v>33</v>
      </c>
      <c r="BH33" s="30">
        <f t="shared" si="41"/>
        <v>0</v>
      </c>
      <c r="BI33" s="30">
        <f t="shared" si="42"/>
        <v>0</v>
      </c>
      <c r="BJ33" s="30">
        <f t="shared" si="43"/>
        <v>0</v>
      </c>
      <c r="BK33" s="30"/>
      <c r="BL33" s="30">
        <v>61</v>
      </c>
      <c r="BW33" s="30">
        <v>12</v>
      </c>
      <c r="BX33" s="4" t="s">
        <v>122</v>
      </c>
    </row>
    <row r="34" spans="1:76" x14ac:dyDescent="0.25">
      <c r="A34" s="32" t="s">
        <v>123</v>
      </c>
      <c r="B34" s="33" t="s">
        <v>124</v>
      </c>
      <c r="C34" s="139" t="s">
        <v>125</v>
      </c>
      <c r="D34" s="140"/>
      <c r="E34" s="33" t="s">
        <v>64</v>
      </c>
      <c r="F34" s="34">
        <v>25.153600000000001</v>
      </c>
      <c r="G34" s="35">
        <v>0</v>
      </c>
      <c r="H34" s="34">
        <f t="shared" si="22"/>
        <v>0</v>
      </c>
      <c r="I34" s="34">
        <f t="shared" si="23"/>
        <v>0</v>
      </c>
      <c r="J34" s="34">
        <f t="shared" si="24"/>
        <v>0</v>
      </c>
      <c r="K34" s="36" t="s">
        <v>57</v>
      </c>
      <c r="Z34" s="30">
        <f t="shared" si="25"/>
        <v>0</v>
      </c>
      <c r="AB34" s="30">
        <f t="shared" si="26"/>
        <v>0</v>
      </c>
      <c r="AC34" s="30">
        <f t="shared" si="27"/>
        <v>0</v>
      </c>
      <c r="AD34" s="30">
        <f t="shared" si="28"/>
        <v>0</v>
      </c>
      <c r="AE34" s="30">
        <f t="shared" si="29"/>
        <v>0</v>
      </c>
      <c r="AF34" s="30">
        <f t="shared" si="30"/>
        <v>0</v>
      </c>
      <c r="AG34" s="30">
        <f t="shared" si="31"/>
        <v>0</v>
      </c>
      <c r="AH34" s="30">
        <f t="shared" si="32"/>
        <v>0</v>
      </c>
      <c r="AI34" s="10" t="s">
        <v>50</v>
      </c>
      <c r="AJ34" s="30">
        <f t="shared" si="33"/>
        <v>0</v>
      </c>
      <c r="AK34" s="30">
        <f t="shared" si="34"/>
        <v>0</v>
      </c>
      <c r="AL34" s="30">
        <f t="shared" si="35"/>
        <v>0</v>
      </c>
      <c r="AN34" s="30">
        <v>12</v>
      </c>
      <c r="AO34" s="30">
        <f>G34*0</f>
        <v>0</v>
      </c>
      <c r="AP34" s="30">
        <f>G34*(1-0)</f>
        <v>0</v>
      </c>
      <c r="AQ34" s="31" t="s">
        <v>53</v>
      </c>
      <c r="AV34" s="30">
        <f t="shared" si="36"/>
        <v>0</v>
      </c>
      <c r="AW34" s="30">
        <f t="shared" si="37"/>
        <v>0</v>
      </c>
      <c r="AX34" s="30">
        <f t="shared" si="38"/>
        <v>0</v>
      </c>
      <c r="AY34" s="31" t="s">
        <v>103</v>
      </c>
      <c r="AZ34" s="31" t="s">
        <v>104</v>
      </c>
      <c r="BA34" s="10" t="s">
        <v>60</v>
      </c>
      <c r="BC34" s="30">
        <f t="shared" si="39"/>
        <v>0</v>
      </c>
      <c r="BD34" s="30">
        <f t="shared" si="40"/>
        <v>0</v>
      </c>
      <c r="BE34" s="30">
        <v>0</v>
      </c>
      <c r="BF34" s="30">
        <f>34</f>
        <v>34</v>
      </c>
      <c r="BH34" s="30">
        <f t="shared" si="41"/>
        <v>0</v>
      </c>
      <c r="BI34" s="30">
        <f t="shared" si="42"/>
        <v>0</v>
      </c>
      <c r="BJ34" s="30">
        <f t="shared" si="43"/>
        <v>0</v>
      </c>
      <c r="BK34" s="30"/>
      <c r="BL34" s="30">
        <v>61</v>
      </c>
      <c r="BW34" s="30">
        <v>12</v>
      </c>
      <c r="BX34" s="4" t="s">
        <v>125</v>
      </c>
    </row>
    <row r="35" spans="1:76" x14ac:dyDescent="0.25">
      <c r="A35" s="32" t="s">
        <v>126</v>
      </c>
      <c r="B35" s="33" t="s">
        <v>127</v>
      </c>
      <c r="C35" s="139" t="s">
        <v>128</v>
      </c>
      <c r="D35" s="140"/>
      <c r="E35" s="33" t="s">
        <v>129</v>
      </c>
      <c r="F35" s="34">
        <v>24.774329999999999</v>
      </c>
      <c r="G35" s="35">
        <v>0</v>
      </c>
      <c r="H35" s="34">
        <f t="shared" si="22"/>
        <v>0</v>
      </c>
      <c r="I35" s="34">
        <f t="shared" si="23"/>
        <v>0</v>
      </c>
      <c r="J35" s="34">
        <f t="shared" si="24"/>
        <v>0</v>
      </c>
      <c r="K35" s="36" t="s">
        <v>57</v>
      </c>
      <c r="Z35" s="30">
        <f t="shared" si="25"/>
        <v>0</v>
      </c>
      <c r="AB35" s="30">
        <f t="shared" si="26"/>
        <v>0</v>
      </c>
      <c r="AC35" s="30">
        <f t="shared" si="27"/>
        <v>0</v>
      </c>
      <c r="AD35" s="30">
        <f t="shared" si="28"/>
        <v>0</v>
      </c>
      <c r="AE35" s="30">
        <f t="shared" si="29"/>
        <v>0</v>
      </c>
      <c r="AF35" s="30">
        <f t="shared" si="30"/>
        <v>0</v>
      </c>
      <c r="AG35" s="30">
        <f t="shared" si="31"/>
        <v>0</v>
      </c>
      <c r="AH35" s="30">
        <f t="shared" si="32"/>
        <v>0</v>
      </c>
      <c r="AI35" s="10" t="s">
        <v>50</v>
      </c>
      <c r="AJ35" s="30">
        <f t="shared" si="33"/>
        <v>0</v>
      </c>
      <c r="AK35" s="30">
        <f t="shared" si="34"/>
        <v>0</v>
      </c>
      <c r="AL35" s="30">
        <f t="shared" si="35"/>
        <v>0</v>
      </c>
      <c r="AN35" s="30">
        <v>12</v>
      </c>
      <c r="AO35" s="30">
        <f>G35*1</f>
        <v>0</v>
      </c>
      <c r="AP35" s="30">
        <f>G35*(1-1)</f>
        <v>0</v>
      </c>
      <c r="AQ35" s="31" t="s">
        <v>53</v>
      </c>
      <c r="AV35" s="30">
        <f t="shared" si="36"/>
        <v>0</v>
      </c>
      <c r="AW35" s="30">
        <f t="shared" si="37"/>
        <v>0</v>
      </c>
      <c r="AX35" s="30">
        <f t="shared" si="38"/>
        <v>0</v>
      </c>
      <c r="AY35" s="31" t="s">
        <v>103</v>
      </c>
      <c r="AZ35" s="31" t="s">
        <v>104</v>
      </c>
      <c r="BA35" s="10" t="s">
        <v>60</v>
      </c>
      <c r="BC35" s="30">
        <f t="shared" si="39"/>
        <v>0</v>
      </c>
      <c r="BD35" s="30">
        <f t="shared" si="40"/>
        <v>0</v>
      </c>
      <c r="BE35" s="30">
        <v>0</v>
      </c>
      <c r="BF35" s="30">
        <f>35</f>
        <v>35</v>
      </c>
      <c r="BH35" s="30">
        <f t="shared" si="41"/>
        <v>0</v>
      </c>
      <c r="BI35" s="30">
        <f t="shared" si="42"/>
        <v>0</v>
      </c>
      <c r="BJ35" s="30">
        <f t="shared" si="43"/>
        <v>0</v>
      </c>
      <c r="BK35" s="30"/>
      <c r="BL35" s="30">
        <v>61</v>
      </c>
      <c r="BW35" s="30">
        <v>12</v>
      </c>
      <c r="BX35" s="4" t="s">
        <v>128</v>
      </c>
    </row>
    <row r="36" spans="1:76" x14ac:dyDescent="0.25">
      <c r="A36" s="32" t="s">
        <v>130</v>
      </c>
      <c r="B36" s="33" t="s">
        <v>131</v>
      </c>
      <c r="C36" s="139" t="s">
        <v>132</v>
      </c>
      <c r="D36" s="140"/>
      <c r="E36" s="33" t="s">
        <v>64</v>
      </c>
      <c r="F36" s="34">
        <v>25.153600000000001</v>
      </c>
      <c r="G36" s="35">
        <v>0</v>
      </c>
      <c r="H36" s="34">
        <f t="shared" si="22"/>
        <v>0</v>
      </c>
      <c r="I36" s="34">
        <f t="shared" si="23"/>
        <v>0</v>
      </c>
      <c r="J36" s="34">
        <f t="shared" si="24"/>
        <v>0</v>
      </c>
      <c r="K36" s="36" t="s">
        <v>57</v>
      </c>
      <c r="Z36" s="30">
        <f t="shared" si="25"/>
        <v>0</v>
      </c>
      <c r="AB36" s="30">
        <f t="shared" si="26"/>
        <v>0</v>
      </c>
      <c r="AC36" s="30">
        <f t="shared" si="27"/>
        <v>0</v>
      </c>
      <c r="AD36" s="30">
        <f t="shared" si="28"/>
        <v>0</v>
      </c>
      <c r="AE36" s="30">
        <f t="shared" si="29"/>
        <v>0</v>
      </c>
      <c r="AF36" s="30">
        <f t="shared" si="30"/>
        <v>0</v>
      </c>
      <c r="AG36" s="30">
        <f t="shared" si="31"/>
        <v>0</v>
      </c>
      <c r="AH36" s="30">
        <f t="shared" si="32"/>
        <v>0</v>
      </c>
      <c r="AI36" s="10" t="s">
        <v>50</v>
      </c>
      <c r="AJ36" s="30">
        <f t="shared" si="33"/>
        <v>0</v>
      </c>
      <c r="AK36" s="30">
        <f t="shared" si="34"/>
        <v>0</v>
      </c>
      <c r="AL36" s="30">
        <f t="shared" si="35"/>
        <v>0</v>
      </c>
      <c r="AN36" s="30">
        <v>12</v>
      </c>
      <c r="AO36" s="30">
        <f>G36*0.254414601</f>
        <v>0</v>
      </c>
      <c r="AP36" s="30">
        <f>G36*(1-0.254414601)</f>
        <v>0</v>
      </c>
      <c r="AQ36" s="31" t="s">
        <v>53</v>
      </c>
      <c r="AV36" s="30">
        <f t="shared" si="36"/>
        <v>0</v>
      </c>
      <c r="AW36" s="30">
        <f t="shared" si="37"/>
        <v>0</v>
      </c>
      <c r="AX36" s="30">
        <f t="shared" si="38"/>
        <v>0</v>
      </c>
      <c r="AY36" s="31" t="s">
        <v>103</v>
      </c>
      <c r="AZ36" s="31" t="s">
        <v>104</v>
      </c>
      <c r="BA36" s="10" t="s">
        <v>60</v>
      </c>
      <c r="BC36" s="30">
        <f t="shared" si="39"/>
        <v>0</v>
      </c>
      <c r="BD36" s="30">
        <f t="shared" si="40"/>
        <v>0</v>
      </c>
      <c r="BE36" s="30">
        <v>0</v>
      </c>
      <c r="BF36" s="30">
        <f>36</f>
        <v>36</v>
      </c>
      <c r="BH36" s="30">
        <f t="shared" si="41"/>
        <v>0</v>
      </c>
      <c r="BI36" s="30">
        <f t="shared" si="42"/>
        <v>0</v>
      </c>
      <c r="BJ36" s="30">
        <f t="shared" si="43"/>
        <v>0</v>
      </c>
      <c r="BK36" s="30"/>
      <c r="BL36" s="30">
        <v>61</v>
      </c>
      <c r="BW36" s="30">
        <v>12</v>
      </c>
      <c r="BX36" s="4" t="s">
        <v>132</v>
      </c>
    </row>
    <row r="37" spans="1:76" x14ac:dyDescent="0.25">
      <c r="A37" s="32" t="s">
        <v>133</v>
      </c>
      <c r="B37" s="33" t="s">
        <v>134</v>
      </c>
      <c r="C37" s="139" t="s">
        <v>135</v>
      </c>
      <c r="D37" s="140"/>
      <c r="E37" s="33" t="s">
        <v>76</v>
      </c>
      <c r="F37" s="34">
        <v>30.975000000000001</v>
      </c>
      <c r="G37" s="35">
        <v>0</v>
      </c>
      <c r="H37" s="34">
        <f t="shared" si="22"/>
        <v>0</v>
      </c>
      <c r="I37" s="34">
        <f t="shared" si="23"/>
        <v>0</v>
      </c>
      <c r="J37" s="34">
        <f t="shared" si="24"/>
        <v>0</v>
      </c>
      <c r="K37" s="36" t="s">
        <v>57</v>
      </c>
      <c r="Z37" s="30">
        <f t="shared" si="25"/>
        <v>0</v>
      </c>
      <c r="AB37" s="30">
        <f t="shared" si="26"/>
        <v>0</v>
      </c>
      <c r="AC37" s="30">
        <f t="shared" si="27"/>
        <v>0</v>
      </c>
      <c r="AD37" s="30">
        <f t="shared" si="28"/>
        <v>0</v>
      </c>
      <c r="AE37" s="30">
        <f t="shared" si="29"/>
        <v>0</v>
      </c>
      <c r="AF37" s="30">
        <f t="shared" si="30"/>
        <v>0</v>
      </c>
      <c r="AG37" s="30">
        <f t="shared" si="31"/>
        <v>0</v>
      </c>
      <c r="AH37" s="30">
        <f t="shared" si="32"/>
        <v>0</v>
      </c>
      <c r="AI37" s="10" t="s">
        <v>50</v>
      </c>
      <c r="AJ37" s="30">
        <f t="shared" si="33"/>
        <v>0</v>
      </c>
      <c r="AK37" s="30">
        <f t="shared" si="34"/>
        <v>0</v>
      </c>
      <c r="AL37" s="30">
        <f t="shared" si="35"/>
        <v>0</v>
      </c>
      <c r="AN37" s="30">
        <v>12</v>
      </c>
      <c r="AO37" s="30">
        <f>G37*0.863061353</f>
        <v>0</v>
      </c>
      <c r="AP37" s="30">
        <f>G37*(1-0.863061353)</f>
        <v>0</v>
      </c>
      <c r="AQ37" s="31" t="s">
        <v>53</v>
      </c>
      <c r="AV37" s="30">
        <f t="shared" si="36"/>
        <v>0</v>
      </c>
      <c r="AW37" s="30">
        <f t="shared" si="37"/>
        <v>0</v>
      </c>
      <c r="AX37" s="30">
        <f t="shared" si="38"/>
        <v>0</v>
      </c>
      <c r="AY37" s="31" t="s">
        <v>103</v>
      </c>
      <c r="AZ37" s="31" t="s">
        <v>104</v>
      </c>
      <c r="BA37" s="10" t="s">
        <v>60</v>
      </c>
      <c r="BC37" s="30">
        <f t="shared" si="39"/>
        <v>0</v>
      </c>
      <c r="BD37" s="30">
        <f t="shared" si="40"/>
        <v>0</v>
      </c>
      <c r="BE37" s="30">
        <v>0</v>
      </c>
      <c r="BF37" s="30">
        <f>37</f>
        <v>37</v>
      </c>
      <c r="BH37" s="30">
        <f t="shared" si="41"/>
        <v>0</v>
      </c>
      <c r="BI37" s="30">
        <f t="shared" si="42"/>
        <v>0</v>
      </c>
      <c r="BJ37" s="30">
        <f t="shared" si="43"/>
        <v>0</v>
      </c>
      <c r="BK37" s="30"/>
      <c r="BL37" s="30">
        <v>61</v>
      </c>
      <c r="BW37" s="30">
        <v>12</v>
      </c>
      <c r="BX37" s="4" t="s">
        <v>135</v>
      </c>
    </row>
    <row r="38" spans="1:76" x14ac:dyDescent="0.25">
      <c r="A38" s="32" t="s">
        <v>136</v>
      </c>
      <c r="B38" s="33" t="s">
        <v>137</v>
      </c>
      <c r="C38" s="139" t="s">
        <v>138</v>
      </c>
      <c r="D38" s="140"/>
      <c r="E38" s="33" t="s">
        <v>64</v>
      </c>
      <c r="F38" s="34">
        <v>21.96</v>
      </c>
      <c r="G38" s="35">
        <v>0</v>
      </c>
      <c r="H38" s="34">
        <f t="shared" si="22"/>
        <v>0</v>
      </c>
      <c r="I38" s="34">
        <f t="shared" si="23"/>
        <v>0</v>
      </c>
      <c r="J38" s="34">
        <f t="shared" si="24"/>
        <v>0</v>
      </c>
      <c r="K38" s="36" t="s">
        <v>57</v>
      </c>
      <c r="Z38" s="30">
        <f t="shared" si="25"/>
        <v>0</v>
      </c>
      <c r="AB38" s="30">
        <f t="shared" si="26"/>
        <v>0</v>
      </c>
      <c r="AC38" s="30">
        <f t="shared" si="27"/>
        <v>0</v>
      </c>
      <c r="AD38" s="30">
        <f t="shared" si="28"/>
        <v>0</v>
      </c>
      <c r="AE38" s="30">
        <f t="shared" si="29"/>
        <v>0</v>
      </c>
      <c r="AF38" s="30">
        <f t="shared" si="30"/>
        <v>0</v>
      </c>
      <c r="AG38" s="30">
        <f t="shared" si="31"/>
        <v>0</v>
      </c>
      <c r="AH38" s="30">
        <f t="shared" si="32"/>
        <v>0</v>
      </c>
      <c r="AI38" s="10" t="s">
        <v>50</v>
      </c>
      <c r="AJ38" s="30">
        <f t="shared" si="33"/>
        <v>0</v>
      </c>
      <c r="AK38" s="30">
        <f t="shared" si="34"/>
        <v>0</v>
      </c>
      <c r="AL38" s="30">
        <f t="shared" si="35"/>
        <v>0</v>
      </c>
      <c r="AN38" s="30">
        <v>12</v>
      </c>
      <c r="AO38" s="30">
        <f>G38*0.347656968</f>
        <v>0</v>
      </c>
      <c r="AP38" s="30">
        <f>G38*(1-0.347656968)</f>
        <v>0</v>
      </c>
      <c r="AQ38" s="31" t="s">
        <v>53</v>
      </c>
      <c r="AV38" s="30">
        <f t="shared" si="36"/>
        <v>0</v>
      </c>
      <c r="AW38" s="30">
        <f t="shared" si="37"/>
        <v>0</v>
      </c>
      <c r="AX38" s="30">
        <f t="shared" si="38"/>
        <v>0</v>
      </c>
      <c r="AY38" s="31" t="s">
        <v>103</v>
      </c>
      <c r="AZ38" s="31" t="s">
        <v>104</v>
      </c>
      <c r="BA38" s="10" t="s">
        <v>60</v>
      </c>
      <c r="BC38" s="30">
        <f t="shared" si="39"/>
        <v>0</v>
      </c>
      <c r="BD38" s="30">
        <f t="shared" si="40"/>
        <v>0</v>
      </c>
      <c r="BE38" s="30">
        <v>0</v>
      </c>
      <c r="BF38" s="30">
        <f>38</f>
        <v>38</v>
      </c>
      <c r="BH38" s="30">
        <f t="shared" si="41"/>
        <v>0</v>
      </c>
      <c r="BI38" s="30">
        <f t="shared" si="42"/>
        <v>0</v>
      </c>
      <c r="BJ38" s="30">
        <f t="shared" si="43"/>
        <v>0</v>
      </c>
      <c r="BK38" s="30"/>
      <c r="BL38" s="30">
        <v>61</v>
      </c>
      <c r="BW38" s="30">
        <v>12</v>
      </c>
      <c r="BX38" s="4" t="s">
        <v>138</v>
      </c>
    </row>
    <row r="39" spans="1:76" ht="13.5" customHeight="1" x14ac:dyDescent="0.25">
      <c r="A39" s="37"/>
      <c r="B39" s="38" t="s">
        <v>68</v>
      </c>
      <c r="C39" s="141" t="s">
        <v>139</v>
      </c>
      <c r="D39" s="142"/>
      <c r="E39" s="142"/>
      <c r="F39" s="142"/>
      <c r="G39" s="143"/>
      <c r="H39" s="142"/>
      <c r="I39" s="142"/>
      <c r="J39" s="142"/>
      <c r="K39" s="144"/>
    </row>
    <row r="40" spans="1:76" x14ac:dyDescent="0.25">
      <c r="A40" s="25" t="s">
        <v>140</v>
      </c>
      <c r="B40" s="26" t="s">
        <v>141</v>
      </c>
      <c r="C40" s="137" t="s">
        <v>142</v>
      </c>
      <c r="D40" s="138"/>
      <c r="E40" s="26" t="s">
        <v>76</v>
      </c>
      <c r="F40" s="27">
        <v>135.501</v>
      </c>
      <c r="G40" s="28">
        <v>0</v>
      </c>
      <c r="H40" s="27">
        <f>F40*AO40</f>
        <v>0</v>
      </c>
      <c r="I40" s="27">
        <f>F40*AP40</f>
        <v>0</v>
      </c>
      <c r="J40" s="27">
        <f>F40*G40</f>
        <v>0</v>
      </c>
      <c r="K40" s="29" t="s">
        <v>57</v>
      </c>
      <c r="Z40" s="30">
        <f>IF(AQ40="5",BJ40,0)</f>
        <v>0</v>
      </c>
      <c r="AB40" s="30">
        <f>IF(AQ40="1",BH40,0)</f>
        <v>0</v>
      </c>
      <c r="AC40" s="30">
        <f>IF(AQ40="1",BI40,0)</f>
        <v>0</v>
      </c>
      <c r="AD40" s="30">
        <f>IF(AQ40="7",BH40,0)</f>
        <v>0</v>
      </c>
      <c r="AE40" s="30">
        <f>IF(AQ40="7",BI40,0)</f>
        <v>0</v>
      </c>
      <c r="AF40" s="30">
        <f>IF(AQ40="2",BH40,0)</f>
        <v>0</v>
      </c>
      <c r="AG40" s="30">
        <f>IF(AQ40="2",BI40,0)</f>
        <v>0</v>
      </c>
      <c r="AH40" s="30">
        <f>IF(AQ40="0",BJ40,0)</f>
        <v>0</v>
      </c>
      <c r="AI40" s="10" t="s">
        <v>50</v>
      </c>
      <c r="AJ40" s="30">
        <f>IF(AN40=0,J40,0)</f>
        <v>0</v>
      </c>
      <c r="AK40" s="30">
        <f>IF(AN40=12,J40,0)</f>
        <v>0</v>
      </c>
      <c r="AL40" s="30">
        <f>IF(AN40=21,J40,0)</f>
        <v>0</v>
      </c>
      <c r="AN40" s="30">
        <v>12</v>
      </c>
      <c r="AO40" s="30">
        <f>G40*0.636303835</f>
        <v>0</v>
      </c>
      <c r="AP40" s="30">
        <f>G40*(1-0.636303835)</f>
        <v>0</v>
      </c>
      <c r="AQ40" s="31" t="s">
        <v>53</v>
      </c>
      <c r="AV40" s="30">
        <f>AW40+AX40</f>
        <v>0</v>
      </c>
      <c r="AW40" s="30">
        <f>F40*AO40</f>
        <v>0</v>
      </c>
      <c r="AX40" s="30">
        <f>F40*AP40</f>
        <v>0</v>
      </c>
      <c r="AY40" s="31" t="s">
        <v>103</v>
      </c>
      <c r="AZ40" s="31" t="s">
        <v>104</v>
      </c>
      <c r="BA40" s="10" t="s">
        <v>60</v>
      </c>
      <c r="BC40" s="30">
        <f>AW40+AX40</f>
        <v>0</v>
      </c>
      <c r="BD40" s="30">
        <f>G40/(100-BE40)*100</f>
        <v>0</v>
      </c>
      <c r="BE40" s="30">
        <v>0</v>
      </c>
      <c r="BF40" s="30">
        <f>40</f>
        <v>40</v>
      </c>
      <c r="BH40" s="30">
        <f>F40*AO40</f>
        <v>0</v>
      </c>
      <c r="BI40" s="30">
        <f>F40*AP40</f>
        <v>0</v>
      </c>
      <c r="BJ40" s="30">
        <f>F40*G40</f>
        <v>0</v>
      </c>
      <c r="BK40" s="30"/>
      <c r="BL40" s="30">
        <v>61</v>
      </c>
      <c r="BW40" s="30">
        <v>12</v>
      </c>
      <c r="BX40" s="4" t="s">
        <v>142</v>
      </c>
    </row>
    <row r="41" spans="1:76" x14ac:dyDescent="0.25">
      <c r="A41" s="32" t="s">
        <v>143</v>
      </c>
      <c r="B41" s="33" t="s">
        <v>144</v>
      </c>
      <c r="C41" s="139" t="s">
        <v>145</v>
      </c>
      <c r="D41" s="140"/>
      <c r="E41" s="33" t="s">
        <v>64</v>
      </c>
      <c r="F41" s="34">
        <v>21.96</v>
      </c>
      <c r="G41" s="35">
        <v>0</v>
      </c>
      <c r="H41" s="34">
        <f>F41*AO41</f>
        <v>0</v>
      </c>
      <c r="I41" s="34">
        <f>F41*AP41</f>
        <v>0</v>
      </c>
      <c r="J41" s="34">
        <f>F41*G41</f>
        <v>0</v>
      </c>
      <c r="K41" s="36" t="s">
        <v>93</v>
      </c>
      <c r="Z41" s="30">
        <f>IF(AQ41="5",BJ41,0)</f>
        <v>0</v>
      </c>
      <c r="AB41" s="30">
        <f>IF(AQ41="1",BH41,0)</f>
        <v>0</v>
      </c>
      <c r="AC41" s="30">
        <f>IF(AQ41="1",BI41,0)</f>
        <v>0</v>
      </c>
      <c r="AD41" s="30">
        <f>IF(AQ41="7",BH41,0)</f>
        <v>0</v>
      </c>
      <c r="AE41" s="30">
        <f>IF(AQ41="7",BI41,0)</f>
        <v>0</v>
      </c>
      <c r="AF41" s="30">
        <f>IF(AQ41="2",BH41,0)</f>
        <v>0</v>
      </c>
      <c r="AG41" s="30">
        <f>IF(AQ41="2",BI41,0)</f>
        <v>0</v>
      </c>
      <c r="AH41" s="30">
        <f>IF(AQ41="0",BJ41,0)</f>
        <v>0</v>
      </c>
      <c r="AI41" s="10" t="s">
        <v>50</v>
      </c>
      <c r="AJ41" s="30">
        <f>IF(AN41=0,J41,0)</f>
        <v>0</v>
      </c>
      <c r="AK41" s="30">
        <f>IF(AN41=12,J41,0)</f>
        <v>0</v>
      </c>
      <c r="AL41" s="30">
        <f>IF(AN41=21,J41,0)</f>
        <v>0</v>
      </c>
      <c r="AN41" s="30">
        <v>12</v>
      </c>
      <c r="AO41" s="30">
        <f>G41*0.11866171</f>
        <v>0</v>
      </c>
      <c r="AP41" s="30">
        <f>G41*(1-0.11866171)</f>
        <v>0</v>
      </c>
      <c r="AQ41" s="31" t="s">
        <v>53</v>
      </c>
      <c r="AV41" s="30">
        <f>AW41+AX41</f>
        <v>0</v>
      </c>
      <c r="AW41" s="30">
        <f>F41*AO41</f>
        <v>0</v>
      </c>
      <c r="AX41" s="30">
        <f>F41*AP41</f>
        <v>0</v>
      </c>
      <c r="AY41" s="31" t="s">
        <v>103</v>
      </c>
      <c r="AZ41" s="31" t="s">
        <v>104</v>
      </c>
      <c r="BA41" s="10" t="s">
        <v>60</v>
      </c>
      <c r="BC41" s="30">
        <f>AW41+AX41</f>
        <v>0</v>
      </c>
      <c r="BD41" s="30">
        <f>G41/(100-BE41)*100</f>
        <v>0</v>
      </c>
      <c r="BE41" s="30">
        <v>0</v>
      </c>
      <c r="BF41" s="30">
        <f>41</f>
        <v>41</v>
      </c>
      <c r="BH41" s="30">
        <f>F41*AO41</f>
        <v>0</v>
      </c>
      <c r="BI41" s="30">
        <f>F41*AP41</f>
        <v>0</v>
      </c>
      <c r="BJ41" s="30">
        <f>F41*G41</f>
        <v>0</v>
      </c>
      <c r="BK41" s="30"/>
      <c r="BL41" s="30">
        <v>61</v>
      </c>
      <c r="BW41" s="30">
        <v>12</v>
      </c>
      <c r="BX41" s="4" t="s">
        <v>145</v>
      </c>
    </row>
    <row r="42" spans="1:76" x14ac:dyDescent="0.25">
      <c r="A42" s="32" t="s">
        <v>146</v>
      </c>
      <c r="B42" s="33" t="s">
        <v>147</v>
      </c>
      <c r="C42" s="139" t="s">
        <v>148</v>
      </c>
      <c r="D42" s="140"/>
      <c r="E42" s="33" t="s">
        <v>64</v>
      </c>
      <c r="F42" s="34">
        <v>4</v>
      </c>
      <c r="G42" s="35">
        <v>0</v>
      </c>
      <c r="H42" s="34">
        <f>F42*AO42</f>
        <v>0</v>
      </c>
      <c r="I42" s="34">
        <f>F42*AP42</f>
        <v>0</v>
      </c>
      <c r="J42" s="34">
        <f>F42*G42</f>
        <v>0</v>
      </c>
      <c r="K42" s="36" t="s">
        <v>57</v>
      </c>
      <c r="Z42" s="30">
        <f>IF(AQ42="5",BJ42,0)</f>
        <v>0</v>
      </c>
      <c r="AB42" s="30">
        <f>IF(AQ42="1",BH42,0)</f>
        <v>0</v>
      </c>
      <c r="AC42" s="30">
        <f>IF(AQ42="1",BI42,0)</f>
        <v>0</v>
      </c>
      <c r="AD42" s="30">
        <f>IF(AQ42="7",BH42,0)</f>
        <v>0</v>
      </c>
      <c r="AE42" s="30">
        <f>IF(AQ42="7",BI42,0)</f>
        <v>0</v>
      </c>
      <c r="AF42" s="30">
        <f>IF(AQ42="2",BH42,0)</f>
        <v>0</v>
      </c>
      <c r="AG42" s="30">
        <f>IF(AQ42="2",BI42,0)</f>
        <v>0</v>
      </c>
      <c r="AH42" s="30">
        <f>IF(AQ42="0",BJ42,0)</f>
        <v>0</v>
      </c>
      <c r="AI42" s="10" t="s">
        <v>50</v>
      </c>
      <c r="AJ42" s="30">
        <f>IF(AN42=0,J42,0)</f>
        <v>0</v>
      </c>
      <c r="AK42" s="30">
        <f>IF(AN42=12,J42,0)</f>
        <v>0</v>
      </c>
      <c r="AL42" s="30">
        <f>IF(AN42=21,J42,0)</f>
        <v>0</v>
      </c>
      <c r="AN42" s="30">
        <v>12</v>
      </c>
      <c r="AO42" s="30">
        <f>G42*0.328787276</f>
        <v>0</v>
      </c>
      <c r="AP42" s="30">
        <f>G42*(1-0.328787276)</f>
        <v>0</v>
      </c>
      <c r="AQ42" s="31" t="s">
        <v>53</v>
      </c>
      <c r="AV42" s="30">
        <f>AW42+AX42</f>
        <v>0</v>
      </c>
      <c r="AW42" s="30">
        <f>F42*AO42</f>
        <v>0</v>
      </c>
      <c r="AX42" s="30">
        <f>F42*AP42</f>
        <v>0</v>
      </c>
      <c r="AY42" s="31" t="s">
        <v>103</v>
      </c>
      <c r="AZ42" s="31" t="s">
        <v>104</v>
      </c>
      <c r="BA42" s="10" t="s">
        <v>60</v>
      </c>
      <c r="BC42" s="30">
        <f>AW42+AX42</f>
        <v>0</v>
      </c>
      <c r="BD42" s="30">
        <f>G42/(100-BE42)*100</f>
        <v>0</v>
      </c>
      <c r="BE42" s="30">
        <v>0</v>
      </c>
      <c r="BF42" s="30">
        <f>42</f>
        <v>42</v>
      </c>
      <c r="BH42" s="30">
        <f>F42*AO42</f>
        <v>0</v>
      </c>
      <c r="BI42" s="30">
        <f>F42*AP42</f>
        <v>0</v>
      </c>
      <c r="BJ42" s="30">
        <f>F42*G42</f>
        <v>0</v>
      </c>
      <c r="BK42" s="30"/>
      <c r="BL42" s="30">
        <v>61</v>
      </c>
      <c r="BW42" s="30">
        <v>12</v>
      </c>
      <c r="BX42" s="4" t="s">
        <v>148</v>
      </c>
    </row>
    <row r="43" spans="1:76" ht="13.5" customHeight="1" x14ac:dyDescent="0.25">
      <c r="A43" s="37"/>
      <c r="B43" s="38" t="s">
        <v>68</v>
      </c>
      <c r="C43" s="141" t="s">
        <v>149</v>
      </c>
      <c r="D43" s="142"/>
      <c r="E43" s="142"/>
      <c r="F43" s="142"/>
      <c r="G43" s="143"/>
      <c r="H43" s="142"/>
      <c r="I43" s="142"/>
      <c r="J43" s="142"/>
      <c r="K43" s="144"/>
    </row>
    <row r="44" spans="1:76" x14ac:dyDescent="0.25">
      <c r="A44" s="25" t="s">
        <v>150</v>
      </c>
      <c r="B44" s="26" t="s">
        <v>151</v>
      </c>
      <c r="C44" s="137" t="s">
        <v>152</v>
      </c>
      <c r="D44" s="138"/>
      <c r="E44" s="26" t="s">
        <v>86</v>
      </c>
      <c r="F44" s="27">
        <v>1.6791</v>
      </c>
      <c r="G44" s="28">
        <v>0</v>
      </c>
      <c r="H44" s="27">
        <f>F44*AO44</f>
        <v>0</v>
      </c>
      <c r="I44" s="27">
        <f>F44*AP44</f>
        <v>0</v>
      </c>
      <c r="J44" s="27">
        <f>F44*G44</f>
        <v>0</v>
      </c>
      <c r="K44" s="29" t="s">
        <v>57</v>
      </c>
      <c r="Z44" s="30">
        <f>IF(AQ44="5",BJ44,0)</f>
        <v>0</v>
      </c>
      <c r="AB44" s="30">
        <f>IF(AQ44="1",BH44,0)</f>
        <v>0</v>
      </c>
      <c r="AC44" s="30">
        <f>IF(AQ44="1",BI44,0)</f>
        <v>0</v>
      </c>
      <c r="AD44" s="30">
        <f>IF(AQ44="7",BH44,0)</f>
        <v>0</v>
      </c>
      <c r="AE44" s="30">
        <f>IF(AQ44="7",BI44,0)</f>
        <v>0</v>
      </c>
      <c r="AF44" s="30">
        <f>IF(AQ44="2",BH44,0)</f>
        <v>0</v>
      </c>
      <c r="AG44" s="30">
        <f>IF(AQ44="2",BI44,0)</f>
        <v>0</v>
      </c>
      <c r="AH44" s="30">
        <f>IF(AQ44="0",BJ44,0)</f>
        <v>0</v>
      </c>
      <c r="AI44" s="10" t="s">
        <v>50</v>
      </c>
      <c r="AJ44" s="30">
        <f>IF(AN44=0,J44,0)</f>
        <v>0</v>
      </c>
      <c r="AK44" s="30">
        <f>IF(AN44=12,J44,0)</f>
        <v>0</v>
      </c>
      <c r="AL44" s="30">
        <f>IF(AN44=21,J44,0)</f>
        <v>0</v>
      </c>
      <c r="AN44" s="30">
        <v>12</v>
      </c>
      <c r="AO44" s="30">
        <f>G44*0</f>
        <v>0</v>
      </c>
      <c r="AP44" s="30">
        <f>G44*(1-0)</f>
        <v>0</v>
      </c>
      <c r="AQ44" s="31" t="s">
        <v>73</v>
      </c>
      <c r="AV44" s="30">
        <f>AW44+AX44</f>
        <v>0</v>
      </c>
      <c r="AW44" s="30">
        <f>F44*AO44</f>
        <v>0</v>
      </c>
      <c r="AX44" s="30">
        <f>F44*AP44</f>
        <v>0</v>
      </c>
      <c r="AY44" s="31" t="s">
        <v>103</v>
      </c>
      <c r="AZ44" s="31" t="s">
        <v>104</v>
      </c>
      <c r="BA44" s="10" t="s">
        <v>60</v>
      </c>
      <c r="BC44" s="30">
        <f>AW44+AX44</f>
        <v>0</v>
      </c>
      <c r="BD44" s="30">
        <f>G44/(100-BE44)*100</f>
        <v>0</v>
      </c>
      <c r="BE44" s="30">
        <v>0</v>
      </c>
      <c r="BF44" s="30">
        <f>44</f>
        <v>44</v>
      </c>
      <c r="BH44" s="30">
        <f>F44*AO44</f>
        <v>0</v>
      </c>
      <c r="BI44" s="30">
        <f>F44*AP44</f>
        <v>0</v>
      </c>
      <c r="BJ44" s="30">
        <f>F44*G44</f>
        <v>0</v>
      </c>
      <c r="BK44" s="30"/>
      <c r="BL44" s="30">
        <v>61</v>
      </c>
      <c r="BW44" s="30">
        <v>12</v>
      </c>
      <c r="BX44" s="4" t="s">
        <v>152</v>
      </c>
    </row>
    <row r="45" spans="1:76" x14ac:dyDescent="0.25">
      <c r="A45" s="39" t="s">
        <v>50</v>
      </c>
      <c r="B45" s="40" t="s">
        <v>153</v>
      </c>
      <c r="C45" s="145" t="s">
        <v>154</v>
      </c>
      <c r="D45" s="146"/>
      <c r="E45" s="41" t="s">
        <v>4</v>
      </c>
      <c r="F45" s="41" t="s">
        <v>4</v>
      </c>
      <c r="G45" s="42" t="s">
        <v>4</v>
      </c>
      <c r="H45" s="43">
        <f>SUM(H46:H46)</f>
        <v>0</v>
      </c>
      <c r="I45" s="43">
        <f>SUM(I46:I46)</f>
        <v>0</v>
      </c>
      <c r="J45" s="43">
        <f>SUM(J46:J46)</f>
        <v>0</v>
      </c>
      <c r="K45" s="44" t="s">
        <v>50</v>
      </c>
      <c r="AI45" s="10" t="s">
        <v>50</v>
      </c>
      <c r="AS45" s="1">
        <f>SUM(AJ46:AJ46)</f>
        <v>0</v>
      </c>
      <c r="AT45" s="1">
        <f>SUM(AK46:AK46)</f>
        <v>0</v>
      </c>
      <c r="AU45" s="1">
        <f>SUM(AL46:AL46)</f>
        <v>0</v>
      </c>
    </row>
    <row r="46" spans="1:76" x14ac:dyDescent="0.25">
      <c r="A46" s="25" t="s">
        <v>155</v>
      </c>
      <c r="B46" s="26" t="s">
        <v>156</v>
      </c>
      <c r="C46" s="137" t="s">
        <v>157</v>
      </c>
      <c r="D46" s="138"/>
      <c r="E46" s="26" t="s">
        <v>56</v>
      </c>
      <c r="F46" s="27">
        <v>6</v>
      </c>
      <c r="G46" s="28">
        <v>0</v>
      </c>
      <c r="H46" s="27">
        <f>F46*AO46</f>
        <v>0</v>
      </c>
      <c r="I46" s="27">
        <f>F46*AP46</f>
        <v>0</v>
      </c>
      <c r="J46" s="27">
        <f>F46*G46</f>
        <v>0</v>
      </c>
      <c r="K46" s="29" t="s">
        <v>93</v>
      </c>
      <c r="Z46" s="30">
        <f>IF(AQ46="5",BJ46,0)</f>
        <v>0</v>
      </c>
      <c r="AB46" s="30">
        <f>IF(AQ46="1",BH46,0)</f>
        <v>0</v>
      </c>
      <c r="AC46" s="30">
        <f>IF(AQ46="1",BI46,0)</f>
        <v>0</v>
      </c>
      <c r="AD46" s="30">
        <f>IF(AQ46="7",BH46,0)</f>
        <v>0</v>
      </c>
      <c r="AE46" s="30">
        <f>IF(AQ46="7",BI46,0)</f>
        <v>0</v>
      </c>
      <c r="AF46" s="30">
        <f>IF(AQ46="2",BH46,0)</f>
        <v>0</v>
      </c>
      <c r="AG46" s="30">
        <f>IF(AQ46="2",BI46,0)</f>
        <v>0</v>
      </c>
      <c r="AH46" s="30">
        <f>IF(AQ46="0",BJ46,0)</f>
        <v>0</v>
      </c>
      <c r="AI46" s="10" t="s">
        <v>50</v>
      </c>
      <c r="AJ46" s="30">
        <f>IF(AN46=0,J46,0)</f>
        <v>0</v>
      </c>
      <c r="AK46" s="30">
        <f>IF(AN46=12,J46,0)</f>
        <v>0</v>
      </c>
      <c r="AL46" s="30">
        <f>IF(AN46=21,J46,0)</f>
        <v>0</v>
      </c>
      <c r="AN46" s="30">
        <v>12</v>
      </c>
      <c r="AO46" s="30">
        <f>G46*0</f>
        <v>0</v>
      </c>
      <c r="AP46" s="30">
        <f>G46*(1-0)</f>
        <v>0</v>
      </c>
      <c r="AQ46" s="31" t="s">
        <v>53</v>
      </c>
      <c r="AV46" s="30">
        <f>AW46+AX46</f>
        <v>0</v>
      </c>
      <c r="AW46" s="30">
        <f>F46*AO46</f>
        <v>0</v>
      </c>
      <c r="AX46" s="30">
        <f>F46*AP46</f>
        <v>0</v>
      </c>
      <c r="AY46" s="31" t="s">
        <v>158</v>
      </c>
      <c r="AZ46" s="31" t="s">
        <v>104</v>
      </c>
      <c r="BA46" s="10" t="s">
        <v>60</v>
      </c>
      <c r="BC46" s="30">
        <f>AW46+AX46</f>
        <v>0</v>
      </c>
      <c r="BD46" s="30">
        <f>G46/(100-BE46)*100</f>
        <v>0</v>
      </c>
      <c r="BE46" s="30">
        <v>0</v>
      </c>
      <c r="BF46" s="30">
        <f>46</f>
        <v>46</v>
      </c>
      <c r="BH46" s="30">
        <f>F46*AO46</f>
        <v>0</v>
      </c>
      <c r="BI46" s="30">
        <f>F46*AP46</f>
        <v>0</v>
      </c>
      <c r="BJ46" s="30">
        <f>F46*G46</f>
        <v>0</v>
      </c>
      <c r="BK46" s="30"/>
      <c r="BL46" s="30">
        <v>64</v>
      </c>
      <c r="BW46" s="30">
        <v>12</v>
      </c>
      <c r="BX46" s="4" t="s">
        <v>157</v>
      </c>
    </row>
    <row r="47" spans="1:76" x14ac:dyDescent="0.25">
      <c r="A47" s="39" t="s">
        <v>50</v>
      </c>
      <c r="B47" s="40" t="s">
        <v>159</v>
      </c>
      <c r="C47" s="145" t="s">
        <v>160</v>
      </c>
      <c r="D47" s="146"/>
      <c r="E47" s="41" t="s">
        <v>4</v>
      </c>
      <c r="F47" s="41" t="s">
        <v>4</v>
      </c>
      <c r="G47" s="42" t="s">
        <v>4</v>
      </c>
      <c r="H47" s="43">
        <f>SUM(H48:H52)</f>
        <v>0</v>
      </c>
      <c r="I47" s="43">
        <f>SUM(I48:I52)</f>
        <v>0</v>
      </c>
      <c r="J47" s="43">
        <f>SUM(J48:J52)</f>
        <v>0</v>
      </c>
      <c r="K47" s="44" t="s">
        <v>50</v>
      </c>
      <c r="AI47" s="10" t="s">
        <v>50</v>
      </c>
      <c r="AS47" s="1">
        <f>SUM(AJ48:AJ52)</f>
        <v>0</v>
      </c>
      <c r="AT47" s="1">
        <f>SUM(AK48:AK52)</f>
        <v>0</v>
      </c>
      <c r="AU47" s="1">
        <f>SUM(AL48:AL52)</f>
        <v>0</v>
      </c>
    </row>
    <row r="48" spans="1:76" x14ac:dyDescent="0.25">
      <c r="A48" s="25" t="s">
        <v>161</v>
      </c>
      <c r="B48" s="26" t="s">
        <v>162</v>
      </c>
      <c r="C48" s="137" t="s">
        <v>163</v>
      </c>
      <c r="D48" s="138"/>
      <c r="E48" s="26" t="s">
        <v>76</v>
      </c>
      <c r="F48" s="27">
        <v>8.6</v>
      </c>
      <c r="G48" s="28">
        <v>0</v>
      </c>
      <c r="H48" s="27">
        <f>F48*AO48</f>
        <v>0</v>
      </c>
      <c r="I48" s="27">
        <f>F48*AP48</f>
        <v>0</v>
      </c>
      <c r="J48" s="27">
        <f>F48*G48</f>
        <v>0</v>
      </c>
      <c r="K48" s="29" t="s">
        <v>57</v>
      </c>
      <c r="Z48" s="30">
        <f>IF(AQ48="5",BJ48,0)</f>
        <v>0</v>
      </c>
      <c r="AB48" s="30">
        <f>IF(AQ48="1",BH48,0)</f>
        <v>0</v>
      </c>
      <c r="AC48" s="30">
        <f>IF(AQ48="1",BI48,0)</f>
        <v>0</v>
      </c>
      <c r="AD48" s="30">
        <f>IF(AQ48="7",BH48,0)</f>
        <v>0</v>
      </c>
      <c r="AE48" s="30">
        <f>IF(AQ48="7",BI48,0)</f>
        <v>0</v>
      </c>
      <c r="AF48" s="30">
        <f>IF(AQ48="2",BH48,0)</f>
        <v>0</v>
      </c>
      <c r="AG48" s="30">
        <f>IF(AQ48="2",BI48,0)</f>
        <v>0</v>
      </c>
      <c r="AH48" s="30">
        <f>IF(AQ48="0",BJ48,0)</f>
        <v>0</v>
      </c>
      <c r="AI48" s="10" t="s">
        <v>50</v>
      </c>
      <c r="AJ48" s="30">
        <f>IF(AN48=0,J48,0)</f>
        <v>0</v>
      </c>
      <c r="AK48" s="30">
        <f>IF(AN48=12,J48,0)</f>
        <v>0</v>
      </c>
      <c r="AL48" s="30">
        <f>IF(AN48=21,J48,0)</f>
        <v>0</v>
      </c>
      <c r="AN48" s="30">
        <v>12</v>
      </c>
      <c r="AO48" s="30">
        <f>G48*0.340587406</f>
        <v>0</v>
      </c>
      <c r="AP48" s="30">
        <f>G48*(1-0.340587406)</f>
        <v>0</v>
      </c>
      <c r="AQ48" s="31" t="s">
        <v>80</v>
      </c>
      <c r="AV48" s="30">
        <f>AW48+AX48</f>
        <v>0</v>
      </c>
      <c r="AW48" s="30">
        <f>F48*AO48</f>
        <v>0</v>
      </c>
      <c r="AX48" s="30">
        <f>F48*AP48</f>
        <v>0</v>
      </c>
      <c r="AY48" s="31" t="s">
        <v>164</v>
      </c>
      <c r="AZ48" s="31" t="s">
        <v>165</v>
      </c>
      <c r="BA48" s="10" t="s">
        <v>60</v>
      </c>
      <c r="BC48" s="30">
        <f>AW48+AX48</f>
        <v>0</v>
      </c>
      <c r="BD48" s="30">
        <f>G48/(100-BE48)*100</f>
        <v>0</v>
      </c>
      <c r="BE48" s="30">
        <v>0</v>
      </c>
      <c r="BF48" s="30">
        <f>48</f>
        <v>48</v>
      </c>
      <c r="BH48" s="30">
        <f>F48*AO48</f>
        <v>0</v>
      </c>
      <c r="BI48" s="30">
        <f>F48*AP48</f>
        <v>0</v>
      </c>
      <c r="BJ48" s="30">
        <f>F48*G48</f>
        <v>0</v>
      </c>
      <c r="BK48" s="30"/>
      <c r="BL48" s="30">
        <v>721</v>
      </c>
      <c r="BW48" s="30">
        <v>12</v>
      </c>
      <c r="BX48" s="4" t="s">
        <v>163</v>
      </c>
    </row>
    <row r="49" spans="1:76" x14ac:dyDescent="0.25">
      <c r="A49" s="32" t="s">
        <v>166</v>
      </c>
      <c r="B49" s="33" t="s">
        <v>167</v>
      </c>
      <c r="C49" s="139" t="s">
        <v>168</v>
      </c>
      <c r="D49" s="140"/>
      <c r="E49" s="33" t="s">
        <v>56</v>
      </c>
      <c r="F49" s="34">
        <v>4</v>
      </c>
      <c r="G49" s="35">
        <v>0</v>
      </c>
      <c r="H49" s="34">
        <f>F49*AO49</f>
        <v>0</v>
      </c>
      <c r="I49" s="34">
        <f>F49*AP49</f>
        <v>0</v>
      </c>
      <c r="J49" s="34">
        <f>F49*G49</f>
        <v>0</v>
      </c>
      <c r="K49" s="36" t="s">
        <v>57</v>
      </c>
      <c r="Z49" s="30">
        <f>IF(AQ49="5",BJ49,0)</f>
        <v>0</v>
      </c>
      <c r="AB49" s="30">
        <f>IF(AQ49="1",BH49,0)</f>
        <v>0</v>
      </c>
      <c r="AC49" s="30">
        <f>IF(AQ49="1",BI49,0)</f>
        <v>0</v>
      </c>
      <c r="AD49" s="30">
        <f>IF(AQ49="7",BH49,0)</f>
        <v>0</v>
      </c>
      <c r="AE49" s="30">
        <f>IF(AQ49="7",BI49,0)</f>
        <v>0</v>
      </c>
      <c r="AF49" s="30">
        <f>IF(AQ49="2",BH49,0)</f>
        <v>0</v>
      </c>
      <c r="AG49" s="30">
        <f>IF(AQ49="2",BI49,0)</f>
        <v>0</v>
      </c>
      <c r="AH49" s="30">
        <f>IF(AQ49="0",BJ49,0)</f>
        <v>0</v>
      </c>
      <c r="AI49" s="10" t="s">
        <v>50</v>
      </c>
      <c r="AJ49" s="30">
        <f>IF(AN49=0,J49,0)</f>
        <v>0</v>
      </c>
      <c r="AK49" s="30">
        <f>IF(AN49=12,J49,0)</f>
        <v>0</v>
      </c>
      <c r="AL49" s="30">
        <f>IF(AN49=21,J49,0)</f>
        <v>0</v>
      </c>
      <c r="AN49" s="30">
        <v>12</v>
      </c>
      <c r="AO49" s="30">
        <f>G49*0</f>
        <v>0</v>
      </c>
      <c r="AP49" s="30">
        <f>G49*(1-0)</f>
        <v>0</v>
      </c>
      <c r="AQ49" s="31" t="s">
        <v>80</v>
      </c>
      <c r="AV49" s="30">
        <f>AW49+AX49</f>
        <v>0</v>
      </c>
      <c r="AW49" s="30">
        <f>F49*AO49</f>
        <v>0</v>
      </c>
      <c r="AX49" s="30">
        <f>F49*AP49</f>
        <v>0</v>
      </c>
      <c r="AY49" s="31" t="s">
        <v>164</v>
      </c>
      <c r="AZ49" s="31" t="s">
        <v>165</v>
      </c>
      <c r="BA49" s="10" t="s">
        <v>60</v>
      </c>
      <c r="BC49" s="30">
        <f>AW49+AX49</f>
        <v>0</v>
      </c>
      <c r="BD49" s="30">
        <f>G49/(100-BE49)*100</f>
        <v>0</v>
      </c>
      <c r="BE49" s="30">
        <v>0</v>
      </c>
      <c r="BF49" s="30">
        <f>49</f>
        <v>49</v>
      </c>
      <c r="BH49" s="30">
        <f>F49*AO49</f>
        <v>0</v>
      </c>
      <c r="BI49" s="30">
        <f>F49*AP49</f>
        <v>0</v>
      </c>
      <c r="BJ49" s="30">
        <f>F49*G49</f>
        <v>0</v>
      </c>
      <c r="BK49" s="30"/>
      <c r="BL49" s="30">
        <v>721</v>
      </c>
      <c r="BW49" s="30">
        <v>12</v>
      </c>
      <c r="BX49" s="4" t="s">
        <v>168</v>
      </c>
    </row>
    <row r="50" spans="1:76" ht="25.5" x14ac:dyDescent="0.25">
      <c r="A50" s="32" t="s">
        <v>169</v>
      </c>
      <c r="B50" s="33" t="s">
        <v>170</v>
      </c>
      <c r="C50" s="139" t="s">
        <v>171</v>
      </c>
      <c r="D50" s="140"/>
      <c r="E50" s="33" t="s">
        <v>56</v>
      </c>
      <c r="F50" s="34">
        <v>1</v>
      </c>
      <c r="G50" s="35">
        <v>0</v>
      </c>
      <c r="H50" s="34">
        <f>F50*AO50</f>
        <v>0</v>
      </c>
      <c r="I50" s="34">
        <f>F50*AP50</f>
        <v>0</v>
      </c>
      <c r="J50" s="34">
        <f>F50*G50</f>
        <v>0</v>
      </c>
      <c r="K50" s="36" t="s">
        <v>57</v>
      </c>
      <c r="Z50" s="30">
        <f>IF(AQ50="5",BJ50,0)</f>
        <v>0</v>
      </c>
      <c r="AB50" s="30">
        <f>IF(AQ50="1",BH50,0)</f>
        <v>0</v>
      </c>
      <c r="AC50" s="30">
        <f>IF(AQ50="1",BI50,0)</f>
        <v>0</v>
      </c>
      <c r="AD50" s="30">
        <f>IF(AQ50="7",BH50,0)</f>
        <v>0</v>
      </c>
      <c r="AE50" s="30">
        <f>IF(AQ50="7",BI50,0)</f>
        <v>0</v>
      </c>
      <c r="AF50" s="30">
        <f>IF(AQ50="2",BH50,0)</f>
        <v>0</v>
      </c>
      <c r="AG50" s="30">
        <f>IF(AQ50="2",BI50,0)</f>
        <v>0</v>
      </c>
      <c r="AH50" s="30">
        <f>IF(AQ50="0",BJ50,0)</f>
        <v>0</v>
      </c>
      <c r="AI50" s="10" t="s">
        <v>50</v>
      </c>
      <c r="AJ50" s="30">
        <f>IF(AN50=0,J50,0)</f>
        <v>0</v>
      </c>
      <c r="AK50" s="30">
        <f>IF(AN50=12,J50,0)</f>
        <v>0</v>
      </c>
      <c r="AL50" s="30">
        <f>IF(AN50=21,J50,0)</f>
        <v>0</v>
      </c>
      <c r="AN50" s="30">
        <v>12</v>
      </c>
      <c r="AO50" s="30">
        <f>G50*0.234419254</f>
        <v>0</v>
      </c>
      <c r="AP50" s="30">
        <f>G50*(1-0.234419254)</f>
        <v>0</v>
      </c>
      <c r="AQ50" s="31" t="s">
        <v>80</v>
      </c>
      <c r="AV50" s="30">
        <f>AW50+AX50</f>
        <v>0</v>
      </c>
      <c r="AW50" s="30">
        <f>F50*AO50</f>
        <v>0</v>
      </c>
      <c r="AX50" s="30">
        <f>F50*AP50</f>
        <v>0</v>
      </c>
      <c r="AY50" s="31" t="s">
        <v>164</v>
      </c>
      <c r="AZ50" s="31" t="s">
        <v>165</v>
      </c>
      <c r="BA50" s="10" t="s">
        <v>60</v>
      </c>
      <c r="BC50" s="30">
        <f>AW50+AX50</f>
        <v>0</v>
      </c>
      <c r="BD50" s="30">
        <f>G50/(100-BE50)*100</f>
        <v>0</v>
      </c>
      <c r="BE50" s="30">
        <v>0</v>
      </c>
      <c r="BF50" s="30">
        <f>50</f>
        <v>50</v>
      </c>
      <c r="BH50" s="30">
        <f>F50*AO50</f>
        <v>0</v>
      </c>
      <c r="BI50" s="30">
        <f>F50*AP50</f>
        <v>0</v>
      </c>
      <c r="BJ50" s="30">
        <f>F50*G50</f>
        <v>0</v>
      </c>
      <c r="BK50" s="30"/>
      <c r="BL50" s="30">
        <v>721</v>
      </c>
      <c r="BW50" s="30">
        <v>12</v>
      </c>
      <c r="BX50" s="4" t="s">
        <v>171</v>
      </c>
    </row>
    <row r="51" spans="1:76" x14ac:dyDescent="0.25">
      <c r="A51" s="32" t="s">
        <v>172</v>
      </c>
      <c r="B51" s="33" t="s">
        <v>173</v>
      </c>
      <c r="C51" s="139" t="s">
        <v>174</v>
      </c>
      <c r="D51" s="140"/>
      <c r="E51" s="33" t="s">
        <v>76</v>
      </c>
      <c r="F51" s="34">
        <v>8.6</v>
      </c>
      <c r="G51" s="35">
        <v>0</v>
      </c>
      <c r="H51" s="34">
        <f>F51*AO51</f>
        <v>0</v>
      </c>
      <c r="I51" s="34">
        <f>F51*AP51</f>
        <v>0</v>
      </c>
      <c r="J51" s="34">
        <f>F51*G51</f>
        <v>0</v>
      </c>
      <c r="K51" s="36" t="s">
        <v>57</v>
      </c>
      <c r="Z51" s="30">
        <f>IF(AQ51="5",BJ51,0)</f>
        <v>0</v>
      </c>
      <c r="AB51" s="30">
        <f>IF(AQ51="1",BH51,0)</f>
        <v>0</v>
      </c>
      <c r="AC51" s="30">
        <f>IF(AQ51="1",BI51,0)</f>
        <v>0</v>
      </c>
      <c r="AD51" s="30">
        <f>IF(AQ51="7",BH51,0)</f>
        <v>0</v>
      </c>
      <c r="AE51" s="30">
        <f>IF(AQ51="7",BI51,0)</f>
        <v>0</v>
      </c>
      <c r="AF51" s="30">
        <f>IF(AQ51="2",BH51,0)</f>
        <v>0</v>
      </c>
      <c r="AG51" s="30">
        <f>IF(AQ51="2",BI51,0)</f>
        <v>0</v>
      </c>
      <c r="AH51" s="30">
        <f>IF(AQ51="0",BJ51,0)</f>
        <v>0</v>
      </c>
      <c r="AI51" s="10" t="s">
        <v>50</v>
      </c>
      <c r="AJ51" s="30">
        <f>IF(AN51=0,J51,0)</f>
        <v>0</v>
      </c>
      <c r="AK51" s="30">
        <f>IF(AN51=12,J51,0)</f>
        <v>0</v>
      </c>
      <c r="AL51" s="30">
        <f>IF(AN51=21,J51,0)</f>
        <v>0</v>
      </c>
      <c r="AN51" s="30">
        <v>12</v>
      </c>
      <c r="AO51" s="30">
        <f>G51*0.029824561</f>
        <v>0</v>
      </c>
      <c r="AP51" s="30">
        <f>G51*(1-0.029824561)</f>
        <v>0</v>
      </c>
      <c r="AQ51" s="31" t="s">
        <v>80</v>
      </c>
      <c r="AV51" s="30">
        <f>AW51+AX51</f>
        <v>0</v>
      </c>
      <c r="AW51" s="30">
        <f>F51*AO51</f>
        <v>0</v>
      </c>
      <c r="AX51" s="30">
        <f>F51*AP51</f>
        <v>0</v>
      </c>
      <c r="AY51" s="31" t="s">
        <v>164</v>
      </c>
      <c r="AZ51" s="31" t="s">
        <v>165</v>
      </c>
      <c r="BA51" s="10" t="s">
        <v>60</v>
      </c>
      <c r="BC51" s="30">
        <f>AW51+AX51</f>
        <v>0</v>
      </c>
      <c r="BD51" s="30">
        <f>G51/(100-BE51)*100</f>
        <v>0</v>
      </c>
      <c r="BE51" s="30">
        <v>0</v>
      </c>
      <c r="BF51" s="30">
        <f>51</f>
        <v>51</v>
      </c>
      <c r="BH51" s="30">
        <f>F51*AO51</f>
        <v>0</v>
      </c>
      <c r="BI51" s="30">
        <f>F51*AP51</f>
        <v>0</v>
      </c>
      <c r="BJ51" s="30">
        <f>F51*G51</f>
        <v>0</v>
      </c>
      <c r="BK51" s="30"/>
      <c r="BL51" s="30">
        <v>721</v>
      </c>
      <c r="BW51" s="30">
        <v>12</v>
      </c>
      <c r="BX51" s="4" t="s">
        <v>174</v>
      </c>
    </row>
    <row r="52" spans="1:76" x14ac:dyDescent="0.25">
      <c r="A52" s="32" t="s">
        <v>51</v>
      </c>
      <c r="B52" s="33" t="s">
        <v>175</v>
      </c>
      <c r="C52" s="139" t="s">
        <v>176</v>
      </c>
      <c r="D52" s="140"/>
      <c r="E52" s="33" t="s">
        <v>86</v>
      </c>
      <c r="F52" s="34">
        <v>4.0400000000000002E-3</v>
      </c>
      <c r="G52" s="35">
        <v>0</v>
      </c>
      <c r="H52" s="34">
        <f>F52*AO52</f>
        <v>0</v>
      </c>
      <c r="I52" s="34">
        <f>F52*AP52</f>
        <v>0</v>
      </c>
      <c r="J52" s="34">
        <f>F52*G52</f>
        <v>0</v>
      </c>
      <c r="K52" s="36" t="s">
        <v>57</v>
      </c>
      <c r="Z52" s="30">
        <f>IF(AQ52="5",BJ52,0)</f>
        <v>0</v>
      </c>
      <c r="AB52" s="30">
        <f>IF(AQ52="1",BH52,0)</f>
        <v>0</v>
      </c>
      <c r="AC52" s="30">
        <f>IF(AQ52="1",BI52,0)</f>
        <v>0</v>
      </c>
      <c r="AD52" s="30">
        <f>IF(AQ52="7",BH52,0)</f>
        <v>0</v>
      </c>
      <c r="AE52" s="30">
        <f>IF(AQ52="7",BI52,0)</f>
        <v>0</v>
      </c>
      <c r="AF52" s="30">
        <f>IF(AQ52="2",BH52,0)</f>
        <v>0</v>
      </c>
      <c r="AG52" s="30">
        <f>IF(AQ52="2",BI52,0)</f>
        <v>0</v>
      </c>
      <c r="AH52" s="30">
        <f>IF(AQ52="0",BJ52,0)</f>
        <v>0</v>
      </c>
      <c r="AI52" s="10" t="s">
        <v>50</v>
      </c>
      <c r="AJ52" s="30">
        <f>IF(AN52=0,J52,0)</f>
        <v>0</v>
      </c>
      <c r="AK52" s="30">
        <f>IF(AN52=12,J52,0)</f>
        <v>0</v>
      </c>
      <c r="AL52" s="30">
        <f>IF(AN52=21,J52,0)</f>
        <v>0</v>
      </c>
      <c r="AN52" s="30">
        <v>12</v>
      </c>
      <c r="AO52" s="30">
        <f>G52*0</f>
        <v>0</v>
      </c>
      <c r="AP52" s="30">
        <f>G52*(1-0)</f>
        <v>0</v>
      </c>
      <c r="AQ52" s="31" t="s">
        <v>73</v>
      </c>
      <c r="AV52" s="30">
        <f>AW52+AX52</f>
        <v>0</v>
      </c>
      <c r="AW52" s="30">
        <f>F52*AO52</f>
        <v>0</v>
      </c>
      <c r="AX52" s="30">
        <f>F52*AP52</f>
        <v>0</v>
      </c>
      <c r="AY52" s="31" t="s">
        <v>164</v>
      </c>
      <c r="AZ52" s="31" t="s">
        <v>165</v>
      </c>
      <c r="BA52" s="10" t="s">
        <v>60</v>
      </c>
      <c r="BC52" s="30">
        <f>AW52+AX52</f>
        <v>0</v>
      </c>
      <c r="BD52" s="30">
        <f>G52/(100-BE52)*100</f>
        <v>0</v>
      </c>
      <c r="BE52" s="30">
        <v>0</v>
      </c>
      <c r="BF52" s="30">
        <f>52</f>
        <v>52</v>
      </c>
      <c r="BH52" s="30">
        <f>F52*AO52</f>
        <v>0</v>
      </c>
      <c r="BI52" s="30">
        <f>F52*AP52</f>
        <v>0</v>
      </c>
      <c r="BJ52" s="30">
        <f>F52*G52</f>
        <v>0</v>
      </c>
      <c r="BK52" s="30"/>
      <c r="BL52" s="30">
        <v>721</v>
      </c>
      <c r="BW52" s="30">
        <v>12</v>
      </c>
      <c r="BX52" s="4" t="s">
        <v>176</v>
      </c>
    </row>
    <row r="53" spans="1:76" x14ac:dyDescent="0.25">
      <c r="A53" s="39" t="s">
        <v>50</v>
      </c>
      <c r="B53" s="40" t="s">
        <v>177</v>
      </c>
      <c r="C53" s="145" t="s">
        <v>178</v>
      </c>
      <c r="D53" s="146"/>
      <c r="E53" s="41" t="s">
        <v>4</v>
      </c>
      <c r="F53" s="41" t="s">
        <v>4</v>
      </c>
      <c r="G53" s="42" t="s">
        <v>4</v>
      </c>
      <c r="H53" s="43">
        <f>SUM(H54:H63)</f>
        <v>0</v>
      </c>
      <c r="I53" s="43">
        <f>SUM(I54:I63)</f>
        <v>0</v>
      </c>
      <c r="J53" s="43">
        <f>SUM(J54:J63)</f>
        <v>0</v>
      </c>
      <c r="K53" s="44" t="s">
        <v>50</v>
      </c>
      <c r="AI53" s="10" t="s">
        <v>50</v>
      </c>
      <c r="AS53" s="1">
        <f>SUM(AJ54:AJ63)</f>
        <v>0</v>
      </c>
      <c r="AT53" s="1">
        <f>SUM(AK54:AK63)</f>
        <v>0</v>
      </c>
      <c r="AU53" s="1">
        <f>SUM(AL54:AL63)</f>
        <v>0</v>
      </c>
    </row>
    <row r="54" spans="1:76" x14ac:dyDescent="0.25">
      <c r="A54" s="25" t="s">
        <v>179</v>
      </c>
      <c r="B54" s="26" t="s">
        <v>180</v>
      </c>
      <c r="C54" s="137" t="s">
        <v>181</v>
      </c>
      <c r="D54" s="138"/>
      <c r="E54" s="26" t="s">
        <v>76</v>
      </c>
      <c r="F54" s="27">
        <v>8.4</v>
      </c>
      <c r="G54" s="28">
        <v>0</v>
      </c>
      <c r="H54" s="27">
        <f>F54*AO54</f>
        <v>0</v>
      </c>
      <c r="I54" s="27">
        <f>F54*AP54</f>
        <v>0</v>
      </c>
      <c r="J54" s="27">
        <f>F54*G54</f>
        <v>0</v>
      </c>
      <c r="K54" s="29" t="s">
        <v>57</v>
      </c>
      <c r="Z54" s="30">
        <f>IF(AQ54="5",BJ54,0)</f>
        <v>0</v>
      </c>
      <c r="AB54" s="30">
        <f>IF(AQ54="1",BH54,0)</f>
        <v>0</v>
      </c>
      <c r="AC54" s="30">
        <f>IF(AQ54="1",BI54,0)</f>
        <v>0</v>
      </c>
      <c r="AD54" s="30">
        <f>IF(AQ54="7",BH54,0)</f>
        <v>0</v>
      </c>
      <c r="AE54" s="30">
        <f>IF(AQ54="7",BI54,0)</f>
        <v>0</v>
      </c>
      <c r="AF54" s="30">
        <f>IF(AQ54="2",BH54,0)</f>
        <v>0</v>
      </c>
      <c r="AG54" s="30">
        <f>IF(AQ54="2",BI54,0)</f>
        <v>0</v>
      </c>
      <c r="AH54" s="30">
        <f>IF(AQ54="0",BJ54,0)</f>
        <v>0</v>
      </c>
      <c r="AI54" s="10" t="s">
        <v>50</v>
      </c>
      <c r="AJ54" s="30">
        <f>IF(AN54=0,J54,0)</f>
        <v>0</v>
      </c>
      <c r="AK54" s="30">
        <f>IF(AN54=12,J54,0)</f>
        <v>0</v>
      </c>
      <c r="AL54" s="30">
        <f>IF(AN54=21,J54,0)</f>
        <v>0</v>
      </c>
      <c r="AN54" s="30">
        <v>12</v>
      </c>
      <c r="AO54" s="30">
        <f>G54*0.226815203</f>
        <v>0</v>
      </c>
      <c r="AP54" s="30">
        <f>G54*(1-0.226815203)</f>
        <v>0</v>
      </c>
      <c r="AQ54" s="31" t="s">
        <v>80</v>
      </c>
      <c r="AV54" s="30">
        <f>AW54+AX54</f>
        <v>0</v>
      </c>
      <c r="AW54" s="30">
        <f>F54*AO54</f>
        <v>0</v>
      </c>
      <c r="AX54" s="30">
        <f>F54*AP54</f>
        <v>0</v>
      </c>
      <c r="AY54" s="31" t="s">
        <v>182</v>
      </c>
      <c r="AZ54" s="31" t="s">
        <v>165</v>
      </c>
      <c r="BA54" s="10" t="s">
        <v>60</v>
      </c>
      <c r="BC54" s="30">
        <f>AW54+AX54</f>
        <v>0</v>
      </c>
      <c r="BD54" s="30">
        <f>G54/(100-BE54)*100</f>
        <v>0</v>
      </c>
      <c r="BE54" s="30">
        <v>0</v>
      </c>
      <c r="BF54" s="30">
        <f>54</f>
        <v>54</v>
      </c>
      <c r="BH54" s="30">
        <f>F54*AO54</f>
        <v>0</v>
      </c>
      <c r="BI54" s="30">
        <f>F54*AP54</f>
        <v>0</v>
      </c>
      <c r="BJ54" s="30">
        <f>F54*G54</f>
        <v>0</v>
      </c>
      <c r="BK54" s="30"/>
      <c r="BL54" s="30">
        <v>722</v>
      </c>
      <c r="BW54" s="30">
        <v>12</v>
      </c>
      <c r="BX54" s="4" t="s">
        <v>181</v>
      </c>
    </row>
    <row r="55" spans="1:76" x14ac:dyDescent="0.25">
      <c r="A55" s="32" t="s">
        <v>183</v>
      </c>
      <c r="B55" s="33" t="s">
        <v>184</v>
      </c>
      <c r="C55" s="139" t="s">
        <v>185</v>
      </c>
      <c r="D55" s="140"/>
      <c r="E55" s="33" t="s">
        <v>76</v>
      </c>
      <c r="F55" s="34">
        <v>8.4</v>
      </c>
      <c r="G55" s="35">
        <v>0</v>
      </c>
      <c r="H55" s="34">
        <f>F55*AO55</f>
        <v>0</v>
      </c>
      <c r="I55" s="34">
        <f>F55*AP55</f>
        <v>0</v>
      </c>
      <c r="J55" s="34">
        <f>F55*G55</f>
        <v>0</v>
      </c>
      <c r="K55" s="36" t="s">
        <v>57</v>
      </c>
      <c r="Z55" s="30">
        <f>IF(AQ55="5",BJ55,0)</f>
        <v>0</v>
      </c>
      <c r="AB55" s="30">
        <f>IF(AQ55="1",BH55,0)</f>
        <v>0</v>
      </c>
      <c r="AC55" s="30">
        <f>IF(AQ55="1",BI55,0)</f>
        <v>0</v>
      </c>
      <c r="AD55" s="30">
        <f>IF(AQ55="7",BH55,0)</f>
        <v>0</v>
      </c>
      <c r="AE55" s="30">
        <f>IF(AQ55="7",BI55,0)</f>
        <v>0</v>
      </c>
      <c r="AF55" s="30">
        <f>IF(AQ55="2",BH55,0)</f>
        <v>0</v>
      </c>
      <c r="AG55" s="30">
        <f>IF(AQ55="2",BI55,0)</f>
        <v>0</v>
      </c>
      <c r="AH55" s="30">
        <f>IF(AQ55="0",BJ55,0)</f>
        <v>0</v>
      </c>
      <c r="AI55" s="10" t="s">
        <v>50</v>
      </c>
      <c r="AJ55" s="30">
        <f>IF(AN55=0,J55,0)</f>
        <v>0</v>
      </c>
      <c r="AK55" s="30">
        <f>IF(AN55=12,J55,0)</f>
        <v>0</v>
      </c>
      <c r="AL55" s="30">
        <f>IF(AN55=21,J55,0)</f>
        <v>0</v>
      </c>
      <c r="AN55" s="30">
        <v>12</v>
      </c>
      <c r="AO55" s="30">
        <f>G55*0.099876391</f>
        <v>0</v>
      </c>
      <c r="AP55" s="30">
        <f>G55*(1-0.099876391)</f>
        <v>0</v>
      </c>
      <c r="AQ55" s="31" t="s">
        <v>80</v>
      </c>
      <c r="AV55" s="30">
        <f>AW55+AX55</f>
        <v>0</v>
      </c>
      <c r="AW55" s="30">
        <f>F55*AO55</f>
        <v>0</v>
      </c>
      <c r="AX55" s="30">
        <f>F55*AP55</f>
        <v>0</v>
      </c>
      <c r="AY55" s="31" t="s">
        <v>182</v>
      </c>
      <c r="AZ55" s="31" t="s">
        <v>165</v>
      </c>
      <c r="BA55" s="10" t="s">
        <v>60</v>
      </c>
      <c r="BC55" s="30">
        <f>AW55+AX55</f>
        <v>0</v>
      </c>
      <c r="BD55" s="30">
        <f>G55/(100-BE55)*100</f>
        <v>0</v>
      </c>
      <c r="BE55" s="30">
        <v>0</v>
      </c>
      <c r="BF55" s="30">
        <f>55</f>
        <v>55</v>
      </c>
      <c r="BH55" s="30">
        <f>F55*AO55</f>
        <v>0</v>
      </c>
      <c r="BI55" s="30">
        <f>F55*AP55</f>
        <v>0</v>
      </c>
      <c r="BJ55" s="30">
        <f>F55*G55</f>
        <v>0</v>
      </c>
      <c r="BK55" s="30"/>
      <c r="BL55" s="30">
        <v>722</v>
      </c>
      <c r="BW55" s="30">
        <v>12</v>
      </c>
      <c r="BX55" s="4" t="s">
        <v>185</v>
      </c>
    </row>
    <row r="56" spans="1:76" x14ac:dyDescent="0.25">
      <c r="A56" s="32" t="s">
        <v>186</v>
      </c>
      <c r="B56" s="33" t="s">
        <v>187</v>
      </c>
      <c r="C56" s="139" t="s">
        <v>188</v>
      </c>
      <c r="D56" s="140"/>
      <c r="E56" s="33" t="s">
        <v>76</v>
      </c>
      <c r="F56" s="34">
        <v>8.4</v>
      </c>
      <c r="G56" s="35">
        <v>0</v>
      </c>
      <c r="H56" s="34">
        <f>F56*AO56</f>
        <v>0</v>
      </c>
      <c r="I56" s="34">
        <f>F56*AP56</f>
        <v>0</v>
      </c>
      <c r="J56" s="34">
        <f>F56*G56</f>
        <v>0</v>
      </c>
      <c r="K56" s="36" t="s">
        <v>57</v>
      </c>
      <c r="Z56" s="30">
        <f>IF(AQ56="5",BJ56,0)</f>
        <v>0</v>
      </c>
      <c r="AB56" s="30">
        <f>IF(AQ56="1",BH56,0)</f>
        <v>0</v>
      </c>
      <c r="AC56" s="30">
        <f>IF(AQ56="1",BI56,0)</f>
        <v>0</v>
      </c>
      <c r="AD56" s="30">
        <f>IF(AQ56="7",BH56,0)</f>
        <v>0</v>
      </c>
      <c r="AE56" s="30">
        <f>IF(AQ56="7",BI56,0)</f>
        <v>0</v>
      </c>
      <c r="AF56" s="30">
        <f>IF(AQ56="2",BH56,0)</f>
        <v>0</v>
      </c>
      <c r="AG56" s="30">
        <f>IF(AQ56="2",BI56,0)</f>
        <v>0</v>
      </c>
      <c r="AH56" s="30">
        <f>IF(AQ56="0",BJ56,0)</f>
        <v>0</v>
      </c>
      <c r="AI56" s="10" t="s">
        <v>50</v>
      </c>
      <c r="AJ56" s="30">
        <f>IF(AN56=0,J56,0)</f>
        <v>0</v>
      </c>
      <c r="AK56" s="30">
        <f>IF(AN56=12,J56,0)</f>
        <v>0</v>
      </c>
      <c r="AL56" s="30">
        <f>IF(AN56=21,J56,0)</f>
        <v>0</v>
      </c>
      <c r="AN56" s="30">
        <v>12</v>
      </c>
      <c r="AO56" s="30">
        <f>G56*0.28762825</f>
        <v>0</v>
      </c>
      <c r="AP56" s="30">
        <f>G56*(1-0.28762825)</f>
        <v>0</v>
      </c>
      <c r="AQ56" s="31" t="s">
        <v>80</v>
      </c>
      <c r="AV56" s="30">
        <f>AW56+AX56</f>
        <v>0</v>
      </c>
      <c r="AW56" s="30">
        <f>F56*AO56</f>
        <v>0</v>
      </c>
      <c r="AX56" s="30">
        <f>F56*AP56</f>
        <v>0</v>
      </c>
      <c r="AY56" s="31" t="s">
        <v>182</v>
      </c>
      <c r="AZ56" s="31" t="s">
        <v>165</v>
      </c>
      <c r="BA56" s="10" t="s">
        <v>60</v>
      </c>
      <c r="BC56" s="30">
        <f>AW56+AX56</f>
        <v>0</v>
      </c>
      <c r="BD56" s="30">
        <f>G56/(100-BE56)*100</f>
        <v>0</v>
      </c>
      <c r="BE56" s="30">
        <v>0</v>
      </c>
      <c r="BF56" s="30">
        <f>56</f>
        <v>56</v>
      </c>
      <c r="BH56" s="30">
        <f>F56*AO56</f>
        <v>0</v>
      </c>
      <c r="BI56" s="30">
        <f>F56*AP56</f>
        <v>0</v>
      </c>
      <c r="BJ56" s="30">
        <f>F56*G56</f>
        <v>0</v>
      </c>
      <c r="BK56" s="30"/>
      <c r="BL56" s="30">
        <v>722</v>
      </c>
      <c r="BW56" s="30">
        <v>12</v>
      </c>
      <c r="BX56" s="4" t="s">
        <v>188</v>
      </c>
    </row>
    <row r="57" spans="1:76" ht="13.5" customHeight="1" x14ac:dyDescent="0.25">
      <c r="A57" s="37"/>
      <c r="B57" s="38" t="s">
        <v>68</v>
      </c>
      <c r="C57" s="141" t="s">
        <v>189</v>
      </c>
      <c r="D57" s="142"/>
      <c r="E57" s="142"/>
      <c r="F57" s="142"/>
      <c r="G57" s="143"/>
      <c r="H57" s="142"/>
      <c r="I57" s="142"/>
      <c r="J57" s="142"/>
      <c r="K57" s="144"/>
    </row>
    <row r="58" spans="1:76" x14ac:dyDescent="0.25">
      <c r="A58" s="25" t="s">
        <v>190</v>
      </c>
      <c r="B58" s="26" t="s">
        <v>191</v>
      </c>
      <c r="C58" s="137" t="s">
        <v>192</v>
      </c>
      <c r="D58" s="138"/>
      <c r="E58" s="26" t="s">
        <v>56</v>
      </c>
      <c r="F58" s="27">
        <v>8</v>
      </c>
      <c r="G58" s="28">
        <v>0</v>
      </c>
      <c r="H58" s="27">
        <f t="shared" ref="H58:H63" si="44">F58*AO58</f>
        <v>0</v>
      </c>
      <c r="I58" s="27">
        <f t="shared" ref="I58:I63" si="45">F58*AP58</f>
        <v>0</v>
      </c>
      <c r="J58" s="27">
        <f t="shared" ref="J58:J63" si="46">F58*G58</f>
        <v>0</v>
      </c>
      <c r="K58" s="29" t="s">
        <v>57</v>
      </c>
      <c r="Z58" s="30">
        <f t="shared" ref="Z58:Z63" si="47">IF(AQ58="5",BJ58,0)</f>
        <v>0</v>
      </c>
      <c r="AB58" s="30">
        <f t="shared" ref="AB58:AB63" si="48">IF(AQ58="1",BH58,0)</f>
        <v>0</v>
      </c>
      <c r="AC58" s="30">
        <f t="shared" ref="AC58:AC63" si="49">IF(AQ58="1",BI58,0)</f>
        <v>0</v>
      </c>
      <c r="AD58" s="30">
        <f t="shared" ref="AD58:AD63" si="50">IF(AQ58="7",BH58,0)</f>
        <v>0</v>
      </c>
      <c r="AE58" s="30">
        <f t="shared" ref="AE58:AE63" si="51">IF(AQ58="7",BI58,0)</f>
        <v>0</v>
      </c>
      <c r="AF58" s="30">
        <f t="shared" ref="AF58:AF63" si="52">IF(AQ58="2",BH58,0)</f>
        <v>0</v>
      </c>
      <c r="AG58" s="30">
        <f t="shared" ref="AG58:AG63" si="53">IF(AQ58="2",BI58,0)</f>
        <v>0</v>
      </c>
      <c r="AH58" s="30">
        <f t="shared" ref="AH58:AH63" si="54">IF(AQ58="0",BJ58,0)</f>
        <v>0</v>
      </c>
      <c r="AI58" s="10" t="s">
        <v>50</v>
      </c>
      <c r="AJ58" s="30">
        <f t="shared" ref="AJ58:AJ63" si="55">IF(AN58=0,J58,0)</f>
        <v>0</v>
      </c>
      <c r="AK58" s="30">
        <f t="shared" ref="AK58:AK63" si="56">IF(AN58=12,J58,0)</f>
        <v>0</v>
      </c>
      <c r="AL58" s="30">
        <f t="shared" ref="AL58:AL63" si="57">IF(AN58=21,J58,0)</f>
        <v>0</v>
      </c>
      <c r="AN58" s="30">
        <v>12</v>
      </c>
      <c r="AO58" s="30">
        <f>G58*0</f>
        <v>0</v>
      </c>
      <c r="AP58" s="30">
        <f>G58*(1-0)</f>
        <v>0</v>
      </c>
      <c r="AQ58" s="31" t="s">
        <v>80</v>
      </c>
      <c r="AV58" s="30">
        <f t="shared" ref="AV58:AV63" si="58">AW58+AX58</f>
        <v>0</v>
      </c>
      <c r="AW58" s="30">
        <f t="shared" ref="AW58:AW63" si="59">F58*AO58</f>
        <v>0</v>
      </c>
      <c r="AX58" s="30">
        <f t="shared" ref="AX58:AX63" si="60">F58*AP58</f>
        <v>0</v>
      </c>
      <c r="AY58" s="31" t="s">
        <v>182</v>
      </c>
      <c r="AZ58" s="31" t="s">
        <v>165</v>
      </c>
      <c r="BA58" s="10" t="s">
        <v>60</v>
      </c>
      <c r="BC58" s="30">
        <f t="shared" ref="BC58:BC63" si="61">AW58+AX58</f>
        <v>0</v>
      </c>
      <c r="BD58" s="30">
        <f t="shared" ref="BD58:BD63" si="62">G58/(100-BE58)*100</f>
        <v>0</v>
      </c>
      <c r="BE58" s="30">
        <v>0</v>
      </c>
      <c r="BF58" s="30">
        <f>58</f>
        <v>58</v>
      </c>
      <c r="BH58" s="30">
        <f t="shared" ref="BH58:BH63" si="63">F58*AO58</f>
        <v>0</v>
      </c>
      <c r="BI58" s="30">
        <f t="shared" ref="BI58:BI63" si="64">F58*AP58</f>
        <v>0</v>
      </c>
      <c r="BJ58" s="30">
        <f t="shared" ref="BJ58:BJ63" si="65">F58*G58</f>
        <v>0</v>
      </c>
      <c r="BK58" s="30"/>
      <c r="BL58" s="30">
        <v>722</v>
      </c>
      <c r="BW58" s="30">
        <v>12</v>
      </c>
      <c r="BX58" s="4" t="s">
        <v>192</v>
      </c>
    </row>
    <row r="59" spans="1:76" x14ac:dyDescent="0.25">
      <c r="A59" s="32" t="s">
        <v>193</v>
      </c>
      <c r="B59" s="33" t="s">
        <v>194</v>
      </c>
      <c r="C59" s="139" t="s">
        <v>195</v>
      </c>
      <c r="D59" s="140"/>
      <c r="E59" s="33" t="s">
        <v>56</v>
      </c>
      <c r="F59" s="34">
        <v>4</v>
      </c>
      <c r="G59" s="35">
        <v>0</v>
      </c>
      <c r="H59" s="34">
        <f t="shared" si="44"/>
        <v>0</v>
      </c>
      <c r="I59" s="34">
        <f t="shared" si="45"/>
        <v>0</v>
      </c>
      <c r="J59" s="34">
        <f t="shared" si="46"/>
        <v>0</v>
      </c>
      <c r="K59" s="36" t="s">
        <v>57</v>
      </c>
      <c r="Z59" s="30">
        <f t="shared" si="47"/>
        <v>0</v>
      </c>
      <c r="AB59" s="30">
        <f t="shared" si="48"/>
        <v>0</v>
      </c>
      <c r="AC59" s="30">
        <f t="shared" si="49"/>
        <v>0</v>
      </c>
      <c r="AD59" s="30">
        <f t="shared" si="50"/>
        <v>0</v>
      </c>
      <c r="AE59" s="30">
        <f t="shared" si="51"/>
        <v>0</v>
      </c>
      <c r="AF59" s="30">
        <f t="shared" si="52"/>
        <v>0</v>
      </c>
      <c r="AG59" s="30">
        <f t="shared" si="53"/>
        <v>0</v>
      </c>
      <c r="AH59" s="30">
        <f t="shared" si="54"/>
        <v>0</v>
      </c>
      <c r="AI59" s="10" t="s">
        <v>50</v>
      </c>
      <c r="AJ59" s="30">
        <f t="shared" si="55"/>
        <v>0</v>
      </c>
      <c r="AK59" s="30">
        <f t="shared" si="56"/>
        <v>0</v>
      </c>
      <c r="AL59" s="30">
        <f t="shared" si="57"/>
        <v>0</v>
      </c>
      <c r="AN59" s="30">
        <v>12</v>
      </c>
      <c r="AO59" s="30">
        <f>G59*0.52306338</f>
        <v>0</v>
      </c>
      <c r="AP59" s="30">
        <f>G59*(1-0.52306338)</f>
        <v>0</v>
      </c>
      <c r="AQ59" s="31" t="s">
        <v>80</v>
      </c>
      <c r="AV59" s="30">
        <f t="shared" si="58"/>
        <v>0</v>
      </c>
      <c r="AW59" s="30">
        <f t="shared" si="59"/>
        <v>0</v>
      </c>
      <c r="AX59" s="30">
        <f t="shared" si="60"/>
        <v>0</v>
      </c>
      <c r="AY59" s="31" t="s">
        <v>182</v>
      </c>
      <c r="AZ59" s="31" t="s">
        <v>165</v>
      </c>
      <c r="BA59" s="10" t="s">
        <v>60</v>
      </c>
      <c r="BC59" s="30">
        <f t="shared" si="61"/>
        <v>0</v>
      </c>
      <c r="BD59" s="30">
        <f t="shared" si="62"/>
        <v>0</v>
      </c>
      <c r="BE59" s="30">
        <v>0</v>
      </c>
      <c r="BF59" s="30">
        <f>59</f>
        <v>59</v>
      </c>
      <c r="BH59" s="30">
        <f t="shared" si="63"/>
        <v>0</v>
      </c>
      <c r="BI59" s="30">
        <f t="shared" si="64"/>
        <v>0</v>
      </c>
      <c r="BJ59" s="30">
        <f t="shared" si="65"/>
        <v>0</v>
      </c>
      <c r="BK59" s="30"/>
      <c r="BL59" s="30">
        <v>722</v>
      </c>
      <c r="BW59" s="30">
        <v>12</v>
      </c>
      <c r="BX59" s="4" t="s">
        <v>195</v>
      </c>
    </row>
    <row r="60" spans="1:76" x14ac:dyDescent="0.25">
      <c r="A60" s="32" t="s">
        <v>196</v>
      </c>
      <c r="B60" s="33" t="s">
        <v>197</v>
      </c>
      <c r="C60" s="139" t="s">
        <v>198</v>
      </c>
      <c r="D60" s="140"/>
      <c r="E60" s="33" t="s">
        <v>199</v>
      </c>
      <c r="F60" s="34">
        <v>2</v>
      </c>
      <c r="G60" s="35">
        <v>0</v>
      </c>
      <c r="H60" s="34">
        <f t="shared" si="44"/>
        <v>0</v>
      </c>
      <c r="I60" s="34">
        <f t="shared" si="45"/>
        <v>0</v>
      </c>
      <c r="J60" s="34">
        <f t="shared" si="46"/>
        <v>0</v>
      </c>
      <c r="K60" s="36" t="s">
        <v>57</v>
      </c>
      <c r="Z60" s="30">
        <f t="shared" si="47"/>
        <v>0</v>
      </c>
      <c r="AB60" s="30">
        <f t="shared" si="48"/>
        <v>0</v>
      </c>
      <c r="AC60" s="30">
        <f t="shared" si="49"/>
        <v>0</v>
      </c>
      <c r="AD60" s="30">
        <f t="shared" si="50"/>
        <v>0</v>
      </c>
      <c r="AE60" s="30">
        <f t="shared" si="51"/>
        <v>0</v>
      </c>
      <c r="AF60" s="30">
        <f t="shared" si="52"/>
        <v>0</v>
      </c>
      <c r="AG60" s="30">
        <f t="shared" si="53"/>
        <v>0</v>
      </c>
      <c r="AH60" s="30">
        <f t="shared" si="54"/>
        <v>0</v>
      </c>
      <c r="AI60" s="10" t="s">
        <v>50</v>
      </c>
      <c r="AJ60" s="30">
        <f t="shared" si="55"/>
        <v>0</v>
      </c>
      <c r="AK60" s="30">
        <f t="shared" si="56"/>
        <v>0</v>
      </c>
      <c r="AL60" s="30">
        <f t="shared" si="57"/>
        <v>0</v>
      </c>
      <c r="AN60" s="30">
        <v>12</v>
      </c>
      <c r="AO60" s="30">
        <f>G60*0.529089317</f>
        <v>0</v>
      </c>
      <c r="AP60" s="30">
        <f>G60*(1-0.529089317)</f>
        <v>0</v>
      </c>
      <c r="AQ60" s="31" t="s">
        <v>80</v>
      </c>
      <c r="AV60" s="30">
        <f t="shared" si="58"/>
        <v>0</v>
      </c>
      <c r="AW60" s="30">
        <f t="shared" si="59"/>
        <v>0</v>
      </c>
      <c r="AX60" s="30">
        <f t="shared" si="60"/>
        <v>0</v>
      </c>
      <c r="AY60" s="31" t="s">
        <v>182</v>
      </c>
      <c r="AZ60" s="31" t="s">
        <v>165</v>
      </c>
      <c r="BA60" s="10" t="s">
        <v>60</v>
      </c>
      <c r="BC60" s="30">
        <f t="shared" si="61"/>
        <v>0</v>
      </c>
      <c r="BD60" s="30">
        <f t="shared" si="62"/>
        <v>0</v>
      </c>
      <c r="BE60" s="30">
        <v>0</v>
      </c>
      <c r="BF60" s="30">
        <f>60</f>
        <v>60</v>
      </c>
      <c r="BH60" s="30">
        <f t="shared" si="63"/>
        <v>0</v>
      </c>
      <c r="BI60" s="30">
        <f t="shared" si="64"/>
        <v>0</v>
      </c>
      <c r="BJ60" s="30">
        <f t="shared" si="65"/>
        <v>0</v>
      </c>
      <c r="BK60" s="30"/>
      <c r="BL60" s="30">
        <v>722</v>
      </c>
      <c r="BW60" s="30">
        <v>12</v>
      </c>
      <c r="BX60" s="4" t="s">
        <v>198</v>
      </c>
    </row>
    <row r="61" spans="1:76" x14ac:dyDescent="0.25">
      <c r="A61" s="32" t="s">
        <v>200</v>
      </c>
      <c r="B61" s="33" t="s">
        <v>201</v>
      </c>
      <c r="C61" s="139" t="s">
        <v>202</v>
      </c>
      <c r="D61" s="140"/>
      <c r="E61" s="33" t="s">
        <v>76</v>
      </c>
      <c r="F61" s="34">
        <v>8.4</v>
      </c>
      <c r="G61" s="35">
        <v>0</v>
      </c>
      <c r="H61" s="34">
        <f t="shared" si="44"/>
        <v>0</v>
      </c>
      <c r="I61" s="34">
        <f t="shared" si="45"/>
        <v>0</v>
      </c>
      <c r="J61" s="34">
        <f t="shared" si="46"/>
        <v>0</v>
      </c>
      <c r="K61" s="36" t="s">
        <v>57</v>
      </c>
      <c r="Z61" s="30">
        <f t="shared" si="47"/>
        <v>0</v>
      </c>
      <c r="AB61" s="30">
        <f t="shared" si="48"/>
        <v>0</v>
      </c>
      <c r="AC61" s="30">
        <f t="shared" si="49"/>
        <v>0</v>
      </c>
      <c r="AD61" s="30">
        <f t="shared" si="50"/>
        <v>0</v>
      </c>
      <c r="AE61" s="30">
        <f t="shared" si="51"/>
        <v>0</v>
      </c>
      <c r="AF61" s="30">
        <f t="shared" si="52"/>
        <v>0</v>
      </c>
      <c r="AG61" s="30">
        <f t="shared" si="53"/>
        <v>0</v>
      </c>
      <c r="AH61" s="30">
        <f t="shared" si="54"/>
        <v>0</v>
      </c>
      <c r="AI61" s="10" t="s">
        <v>50</v>
      </c>
      <c r="AJ61" s="30">
        <f t="shared" si="55"/>
        <v>0</v>
      </c>
      <c r="AK61" s="30">
        <f t="shared" si="56"/>
        <v>0</v>
      </c>
      <c r="AL61" s="30">
        <f t="shared" si="57"/>
        <v>0</v>
      </c>
      <c r="AN61" s="30">
        <v>12</v>
      </c>
      <c r="AO61" s="30">
        <f>G61*0.239779006</f>
        <v>0</v>
      </c>
      <c r="AP61" s="30">
        <f>G61*(1-0.239779006)</f>
        <v>0</v>
      </c>
      <c r="AQ61" s="31" t="s">
        <v>80</v>
      </c>
      <c r="AV61" s="30">
        <f t="shared" si="58"/>
        <v>0</v>
      </c>
      <c r="AW61" s="30">
        <f t="shared" si="59"/>
        <v>0</v>
      </c>
      <c r="AX61" s="30">
        <f t="shared" si="60"/>
        <v>0</v>
      </c>
      <c r="AY61" s="31" t="s">
        <v>182</v>
      </c>
      <c r="AZ61" s="31" t="s">
        <v>165</v>
      </c>
      <c r="BA61" s="10" t="s">
        <v>60</v>
      </c>
      <c r="BC61" s="30">
        <f t="shared" si="61"/>
        <v>0</v>
      </c>
      <c r="BD61" s="30">
        <f t="shared" si="62"/>
        <v>0</v>
      </c>
      <c r="BE61" s="30">
        <v>0</v>
      </c>
      <c r="BF61" s="30">
        <f>61</f>
        <v>61</v>
      </c>
      <c r="BH61" s="30">
        <f t="shared" si="63"/>
        <v>0</v>
      </c>
      <c r="BI61" s="30">
        <f t="shared" si="64"/>
        <v>0</v>
      </c>
      <c r="BJ61" s="30">
        <f t="shared" si="65"/>
        <v>0</v>
      </c>
      <c r="BK61" s="30"/>
      <c r="BL61" s="30">
        <v>722</v>
      </c>
      <c r="BW61" s="30">
        <v>12</v>
      </c>
      <c r="BX61" s="4" t="s">
        <v>202</v>
      </c>
    </row>
    <row r="62" spans="1:76" x14ac:dyDescent="0.25">
      <c r="A62" s="32" t="s">
        <v>203</v>
      </c>
      <c r="B62" s="33" t="s">
        <v>204</v>
      </c>
      <c r="C62" s="139" t="s">
        <v>205</v>
      </c>
      <c r="D62" s="140"/>
      <c r="E62" s="33" t="s">
        <v>76</v>
      </c>
      <c r="F62" s="34">
        <v>8.4</v>
      </c>
      <c r="G62" s="35">
        <v>0</v>
      </c>
      <c r="H62" s="34">
        <f t="shared" si="44"/>
        <v>0</v>
      </c>
      <c r="I62" s="34">
        <f t="shared" si="45"/>
        <v>0</v>
      </c>
      <c r="J62" s="34">
        <f t="shared" si="46"/>
        <v>0</v>
      </c>
      <c r="K62" s="36" t="s">
        <v>57</v>
      </c>
      <c r="Z62" s="30">
        <f t="shared" si="47"/>
        <v>0</v>
      </c>
      <c r="AB62" s="30">
        <f t="shared" si="48"/>
        <v>0</v>
      </c>
      <c r="AC62" s="30">
        <f t="shared" si="49"/>
        <v>0</v>
      </c>
      <c r="AD62" s="30">
        <f t="shared" si="50"/>
        <v>0</v>
      </c>
      <c r="AE62" s="30">
        <f t="shared" si="51"/>
        <v>0</v>
      </c>
      <c r="AF62" s="30">
        <f t="shared" si="52"/>
        <v>0</v>
      </c>
      <c r="AG62" s="30">
        <f t="shared" si="53"/>
        <v>0</v>
      </c>
      <c r="AH62" s="30">
        <f t="shared" si="54"/>
        <v>0</v>
      </c>
      <c r="AI62" s="10" t="s">
        <v>50</v>
      </c>
      <c r="AJ62" s="30">
        <f t="shared" si="55"/>
        <v>0</v>
      </c>
      <c r="AK62" s="30">
        <f t="shared" si="56"/>
        <v>0</v>
      </c>
      <c r="AL62" s="30">
        <f t="shared" si="57"/>
        <v>0</v>
      </c>
      <c r="AN62" s="30">
        <v>12</v>
      </c>
      <c r="AO62" s="30">
        <f>G62*0.05464191</f>
        <v>0</v>
      </c>
      <c r="AP62" s="30">
        <f>G62*(1-0.05464191)</f>
        <v>0</v>
      </c>
      <c r="AQ62" s="31" t="s">
        <v>80</v>
      </c>
      <c r="AV62" s="30">
        <f t="shared" si="58"/>
        <v>0</v>
      </c>
      <c r="AW62" s="30">
        <f t="shared" si="59"/>
        <v>0</v>
      </c>
      <c r="AX62" s="30">
        <f t="shared" si="60"/>
        <v>0</v>
      </c>
      <c r="AY62" s="31" t="s">
        <v>182</v>
      </c>
      <c r="AZ62" s="31" t="s">
        <v>165</v>
      </c>
      <c r="BA62" s="10" t="s">
        <v>60</v>
      </c>
      <c r="BC62" s="30">
        <f t="shared" si="61"/>
        <v>0</v>
      </c>
      <c r="BD62" s="30">
        <f t="shared" si="62"/>
        <v>0</v>
      </c>
      <c r="BE62" s="30">
        <v>0</v>
      </c>
      <c r="BF62" s="30">
        <f>62</f>
        <v>62</v>
      </c>
      <c r="BH62" s="30">
        <f t="shared" si="63"/>
        <v>0</v>
      </c>
      <c r="BI62" s="30">
        <f t="shared" si="64"/>
        <v>0</v>
      </c>
      <c r="BJ62" s="30">
        <f t="shared" si="65"/>
        <v>0</v>
      </c>
      <c r="BK62" s="30"/>
      <c r="BL62" s="30">
        <v>722</v>
      </c>
      <c r="BW62" s="30">
        <v>12</v>
      </c>
      <c r="BX62" s="4" t="s">
        <v>205</v>
      </c>
    </row>
    <row r="63" spans="1:76" x14ac:dyDescent="0.25">
      <c r="A63" s="32" t="s">
        <v>206</v>
      </c>
      <c r="B63" s="33" t="s">
        <v>207</v>
      </c>
      <c r="C63" s="139" t="s">
        <v>208</v>
      </c>
      <c r="D63" s="140"/>
      <c r="E63" s="33" t="s">
        <v>86</v>
      </c>
      <c r="F63" s="34">
        <v>4.1680000000000002E-2</v>
      </c>
      <c r="G63" s="35">
        <v>0</v>
      </c>
      <c r="H63" s="34">
        <f t="shared" si="44"/>
        <v>0</v>
      </c>
      <c r="I63" s="34">
        <f t="shared" si="45"/>
        <v>0</v>
      </c>
      <c r="J63" s="34">
        <f t="shared" si="46"/>
        <v>0</v>
      </c>
      <c r="K63" s="36" t="s">
        <v>57</v>
      </c>
      <c r="Z63" s="30">
        <f t="shared" si="47"/>
        <v>0</v>
      </c>
      <c r="AB63" s="30">
        <f t="shared" si="48"/>
        <v>0</v>
      </c>
      <c r="AC63" s="30">
        <f t="shared" si="49"/>
        <v>0</v>
      </c>
      <c r="AD63" s="30">
        <f t="shared" si="50"/>
        <v>0</v>
      </c>
      <c r="AE63" s="30">
        <f t="shared" si="51"/>
        <v>0</v>
      </c>
      <c r="AF63" s="30">
        <f t="shared" si="52"/>
        <v>0</v>
      </c>
      <c r="AG63" s="30">
        <f t="shared" si="53"/>
        <v>0</v>
      </c>
      <c r="AH63" s="30">
        <f t="shared" si="54"/>
        <v>0</v>
      </c>
      <c r="AI63" s="10" t="s">
        <v>50</v>
      </c>
      <c r="AJ63" s="30">
        <f t="shared" si="55"/>
        <v>0</v>
      </c>
      <c r="AK63" s="30">
        <f t="shared" si="56"/>
        <v>0</v>
      </c>
      <c r="AL63" s="30">
        <f t="shared" si="57"/>
        <v>0</v>
      </c>
      <c r="AN63" s="30">
        <v>12</v>
      </c>
      <c r="AO63" s="30">
        <f>G63*0</f>
        <v>0</v>
      </c>
      <c r="AP63" s="30">
        <f>G63*(1-0)</f>
        <v>0</v>
      </c>
      <c r="AQ63" s="31" t="s">
        <v>73</v>
      </c>
      <c r="AV63" s="30">
        <f t="shared" si="58"/>
        <v>0</v>
      </c>
      <c r="AW63" s="30">
        <f t="shared" si="59"/>
        <v>0</v>
      </c>
      <c r="AX63" s="30">
        <f t="shared" si="60"/>
        <v>0</v>
      </c>
      <c r="AY63" s="31" t="s">
        <v>182</v>
      </c>
      <c r="AZ63" s="31" t="s">
        <v>165</v>
      </c>
      <c r="BA63" s="10" t="s">
        <v>60</v>
      </c>
      <c r="BC63" s="30">
        <f t="shared" si="61"/>
        <v>0</v>
      </c>
      <c r="BD63" s="30">
        <f t="shared" si="62"/>
        <v>0</v>
      </c>
      <c r="BE63" s="30">
        <v>0</v>
      </c>
      <c r="BF63" s="30">
        <f>63</f>
        <v>63</v>
      </c>
      <c r="BH63" s="30">
        <f t="shared" si="63"/>
        <v>0</v>
      </c>
      <c r="BI63" s="30">
        <f t="shared" si="64"/>
        <v>0</v>
      </c>
      <c r="BJ63" s="30">
        <f t="shared" si="65"/>
        <v>0</v>
      </c>
      <c r="BK63" s="30"/>
      <c r="BL63" s="30">
        <v>722</v>
      </c>
      <c r="BW63" s="30">
        <v>12</v>
      </c>
      <c r="BX63" s="4" t="s">
        <v>208</v>
      </c>
    </row>
    <row r="64" spans="1:76" x14ac:dyDescent="0.25">
      <c r="A64" s="39" t="s">
        <v>50</v>
      </c>
      <c r="B64" s="40" t="s">
        <v>209</v>
      </c>
      <c r="C64" s="145" t="s">
        <v>210</v>
      </c>
      <c r="D64" s="146"/>
      <c r="E64" s="41" t="s">
        <v>4</v>
      </c>
      <c r="F64" s="41" t="s">
        <v>4</v>
      </c>
      <c r="G64" s="42" t="s">
        <v>4</v>
      </c>
      <c r="H64" s="43">
        <f>SUM(H65:H94)</f>
        <v>0</v>
      </c>
      <c r="I64" s="43">
        <f>SUM(I65:I94)</f>
        <v>0</v>
      </c>
      <c r="J64" s="43">
        <f>SUM(J65:J94)</f>
        <v>0</v>
      </c>
      <c r="K64" s="44" t="s">
        <v>50</v>
      </c>
      <c r="AI64" s="10" t="s">
        <v>50</v>
      </c>
      <c r="AS64" s="1">
        <f>SUM(AJ65:AJ94)</f>
        <v>0</v>
      </c>
      <c r="AT64" s="1">
        <f>SUM(AK65:AK94)</f>
        <v>0</v>
      </c>
      <c r="AU64" s="1">
        <f>SUM(AL65:AL94)</f>
        <v>0</v>
      </c>
    </row>
    <row r="65" spans="1:76" x14ac:dyDescent="0.25">
      <c r="A65" s="25" t="s">
        <v>211</v>
      </c>
      <c r="B65" s="26" t="s">
        <v>212</v>
      </c>
      <c r="C65" s="137" t="s">
        <v>213</v>
      </c>
      <c r="D65" s="138"/>
      <c r="E65" s="26" t="s">
        <v>56</v>
      </c>
      <c r="F65" s="27">
        <v>1</v>
      </c>
      <c r="G65" s="28">
        <v>0</v>
      </c>
      <c r="H65" s="27">
        <f>F65*AO65</f>
        <v>0</v>
      </c>
      <c r="I65" s="27">
        <f>F65*AP65</f>
        <v>0</v>
      </c>
      <c r="J65" s="27">
        <f>F65*G65</f>
        <v>0</v>
      </c>
      <c r="K65" s="29" t="s">
        <v>57</v>
      </c>
      <c r="Z65" s="30">
        <f>IF(AQ65="5",BJ65,0)</f>
        <v>0</v>
      </c>
      <c r="AB65" s="30">
        <f>IF(AQ65="1",BH65,0)</f>
        <v>0</v>
      </c>
      <c r="AC65" s="30">
        <f>IF(AQ65="1",BI65,0)</f>
        <v>0</v>
      </c>
      <c r="AD65" s="30">
        <f>IF(AQ65="7",BH65,0)</f>
        <v>0</v>
      </c>
      <c r="AE65" s="30">
        <f>IF(AQ65="7",BI65,0)</f>
        <v>0</v>
      </c>
      <c r="AF65" s="30">
        <f>IF(AQ65="2",BH65,0)</f>
        <v>0</v>
      </c>
      <c r="AG65" s="30">
        <f>IF(AQ65="2",BI65,0)</f>
        <v>0</v>
      </c>
      <c r="AH65" s="30">
        <f>IF(AQ65="0",BJ65,0)</f>
        <v>0</v>
      </c>
      <c r="AI65" s="10" t="s">
        <v>50</v>
      </c>
      <c r="AJ65" s="30">
        <f>IF(AN65=0,J65,0)</f>
        <v>0</v>
      </c>
      <c r="AK65" s="30">
        <f>IF(AN65=12,J65,0)</f>
        <v>0</v>
      </c>
      <c r="AL65" s="30">
        <f>IF(AN65=21,J65,0)</f>
        <v>0</v>
      </c>
      <c r="AN65" s="30">
        <v>12</v>
      </c>
      <c r="AO65" s="30">
        <f>G65*0</f>
        <v>0</v>
      </c>
      <c r="AP65" s="30">
        <f>G65*(1-0)</f>
        <v>0</v>
      </c>
      <c r="AQ65" s="31" t="s">
        <v>80</v>
      </c>
      <c r="AV65" s="30">
        <f>AW65+AX65</f>
        <v>0</v>
      </c>
      <c r="AW65" s="30">
        <f>F65*AO65</f>
        <v>0</v>
      </c>
      <c r="AX65" s="30">
        <f>F65*AP65</f>
        <v>0</v>
      </c>
      <c r="AY65" s="31" t="s">
        <v>214</v>
      </c>
      <c r="AZ65" s="31" t="s">
        <v>165</v>
      </c>
      <c r="BA65" s="10" t="s">
        <v>60</v>
      </c>
      <c r="BC65" s="30">
        <f>AW65+AX65</f>
        <v>0</v>
      </c>
      <c r="BD65" s="30">
        <f>G65/(100-BE65)*100</f>
        <v>0</v>
      </c>
      <c r="BE65" s="30">
        <v>0</v>
      </c>
      <c r="BF65" s="30">
        <f>65</f>
        <v>65</v>
      </c>
      <c r="BH65" s="30">
        <f>F65*AO65</f>
        <v>0</v>
      </c>
      <c r="BI65" s="30">
        <f>F65*AP65</f>
        <v>0</v>
      </c>
      <c r="BJ65" s="30">
        <f>F65*G65</f>
        <v>0</v>
      </c>
      <c r="BK65" s="30"/>
      <c r="BL65" s="30">
        <v>725</v>
      </c>
      <c r="BW65" s="30">
        <v>12</v>
      </c>
      <c r="BX65" s="4" t="s">
        <v>213</v>
      </c>
    </row>
    <row r="66" spans="1:76" x14ac:dyDescent="0.25">
      <c r="A66" s="32" t="s">
        <v>215</v>
      </c>
      <c r="B66" s="33" t="s">
        <v>216</v>
      </c>
      <c r="C66" s="139" t="s">
        <v>217</v>
      </c>
      <c r="D66" s="140"/>
      <c r="E66" s="33" t="s">
        <v>218</v>
      </c>
      <c r="F66" s="34">
        <v>1</v>
      </c>
      <c r="G66" s="35">
        <v>0</v>
      </c>
      <c r="H66" s="34">
        <f>F66*AO66</f>
        <v>0</v>
      </c>
      <c r="I66" s="34">
        <f>F66*AP66</f>
        <v>0</v>
      </c>
      <c r="J66" s="34">
        <f>F66*G66</f>
        <v>0</v>
      </c>
      <c r="K66" s="36" t="s">
        <v>57</v>
      </c>
      <c r="Z66" s="30">
        <f>IF(AQ66="5",BJ66,0)</f>
        <v>0</v>
      </c>
      <c r="AB66" s="30">
        <f>IF(AQ66="1",BH66,0)</f>
        <v>0</v>
      </c>
      <c r="AC66" s="30">
        <f>IF(AQ66="1",BI66,0)</f>
        <v>0</v>
      </c>
      <c r="AD66" s="30">
        <f>IF(AQ66="7",BH66,0)</f>
        <v>0</v>
      </c>
      <c r="AE66" s="30">
        <f>IF(AQ66="7",BI66,0)</f>
        <v>0</v>
      </c>
      <c r="AF66" s="30">
        <f>IF(AQ66="2",BH66,0)</f>
        <v>0</v>
      </c>
      <c r="AG66" s="30">
        <f>IF(AQ66="2",BI66,0)</f>
        <v>0</v>
      </c>
      <c r="AH66" s="30">
        <f>IF(AQ66="0",BJ66,0)</f>
        <v>0</v>
      </c>
      <c r="AI66" s="10" t="s">
        <v>50</v>
      </c>
      <c r="AJ66" s="30">
        <f>IF(AN66=0,J66,0)</f>
        <v>0</v>
      </c>
      <c r="AK66" s="30">
        <f>IF(AN66=12,J66,0)</f>
        <v>0</v>
      </c>
      <c r="AL66" s="30">
        <f>IF(AN66=21,J66,0)</f>
        <v>0</v>
      </c>
      <c r="AN66" s="30">
        <v>12</v>
      </c>
      <c r="AO66" s="30">
        <f>G66*0</f>
        <v>0</v>
      </c>
      <c r="AP66" s="30">
        <f>G66*(1-0)</f>
        <v>0</v>
      </c>
      <c r="AQ66" s="31" t="s">
        <v>80</v>
      </c>
      <c r="AV66" s="30">
        <f>AW66+AX66</f>
        <v>0</v>
      </c>
      <c r="AW66" s="30">
        <f>F66*AO66</f>
        <v>0</v>
      </c>
      <c r="AX66" s="30">
        <f>F66*AP66</f>
        <v>0</v>
      </c>
      <c r="AY66" s="31" t="s">
        <v>214</v>
      </c>
      <c r="AZ66" s="31" t="s">
        <v>165</v>
      </c>
      <c r="BA66" s="10" t="s">
        <v>60</v>
      </c>
      <c r="BC66" s="30">
        <f>AW66+AX66</f>
        <v>0</v>
      </c>
      <c r="BD66" s="30">
        <f>G66/(100-BE66)*100</f>
        <v>0</v>
      </c>
      <c r="BE66" s="30">
        <v>0</v>
      </c>
      <c r="BF66" s="30">
        <f>66</f>
        <v>66</v>
      </c>
      <c r="BH66" s="30">
        <f>F66*AO66</f>
        <v>0</v>
      </c>
      <c r="BI66" s="30">
        <f>F66*AP66</f>
        <v>0</v>
      </c>
      <c r="BJ66" s="30">
        <f>F66*G66</f>
        <v>0</v>
      </c>
      <c r="BK66" s="30"/>
      <c r="BL66" s="30">
        <v>725</v>
      </c>
      <c r="BW66" s="30">
        <v>12</v>
      </c>
      <c r="BX66" s="4" t="s">
        <v>217</v>
      </c>
    </row>
    <row r="67" spans="1:76" x14ac:dyDescent="0.25">
      <c r="A67" s="32" t="s">
        <v>219</v>
      </c>
      <c r="B67" s="33" t="s">
        <v>220</v>
      </c>
      <c r="C67" s="139" t="s">
        <v>221</v>
      </c>
      <c r="D67" s="140"/>
      <c r="E67" s="33" t="s">
        <v>218</v>
      </c>
      <c r="F67" s="34">
        <v>1</v>
      </c>
      <c r="G67" s="35">
        <v>0</v>
      </c>
      <c r="H67" s="34">
        <f>F67*AO67</f>
        <v>0</v>
      </c>
      <c r="I67" s="34">
        <f>F67*AP67</f>
        <v>0</v>
      </c>
      <c r="J67" s="34">
        <f>F67*G67</f>
        <v>0</v>
      </c>
      <c r="K67" s="36" t="s">
        <v>57</v>
      </c>
      <c r="Z67" s="30">
        <f>IF(AQ67="5",BJ67,0)</f>
        <v>0</v>
      </c>
      <c r="AB67" s="30">
        <f>IF(AQ67="1",BH67,0)</f>
        <v>0</v>
      </c>
      <c r="AC67" s="30">
        <f>IF(AQ67="1",BI67,0)</f>
        <v>0</v>
      </c>
      <c r="AD67" s="30">
        <f>IF(AQ67="7",BH67,0)</f>
        <v>0</v>
      </c>
      <c r="AE67" s="30">
        <f>IF(AQ67="7",BI67,0)</f>
        <v>0</v>
      </c>
      <c r="AF67" s="30">
        <f>IF(AQ67="2",BH67,0)</f>
        <v>0</v>
      </c>
      <c r="AG67" s="30">
        <f>IF(AQ67="2",BI67,0)</f>
        <v>0</v>
      </c>
      <c r="AH67" s="30">
        <f>IF(AQ67="0",BJ67,0)</f>
        <v>0</v>
      </c>
      <c r="AI67" s="10" t="s">
        <v>50</v>
      </c>
      <c r="AJ67" s="30">
        <f>IF(AN67=0,J67,0)</f>
        <v>0</v>
      </c>
      <c r="AK67" s="30">
        <f>IF(AN67=12,J67,0)</f>
        <v>0</v>
      </c>
      <c r="AL67" s="30">
        <f>IF(AN67=21,J67,0)</f>
        <v>0</v>
      </c>
      <c r="AN67" s="30">
        <v>12</v>
      </c>
      <c r="AO67" s="30">
        <f>G67*0</f>
        <v>0</v>
      </c>
      <c r="AP67" s="30">
        <f>G67*(1-0)</f>
        <v>0</v>
      </c>
      <c r="AQ67" s="31" t="s">
        <v>80</v>
      </c>
      <c r="AV67" s="30">
        <f>AW67+AX67</f>
        <v>0</v>
      </c>
      <c r="AW67" s="30">
        <f>F67*AO67</f>
        <v>0</v>
      </c>
      <c r="AX67" s="30">
        <f>F67*AP67</f>
        <v>0</v>
      </c>
      <c r="AY67" s="31" t="s">
        <v>214</v>
      </c>
      <c r="AZ67" s="31" t="s">
        <v>165</v>
      </c>
      <c r="BA67" s="10" t="s">
        <v>60</v>
      </c>
      <c r="BC67" s="30">
        <f>AW67+AX67</f>
        <v>0</v>
      </c>
      <c r="BD67" s="30">
        <f>G67/(100-BE67)*100</f>
        <v>0</v>
      </c>
      <c r="BE67" s="30">
        <v>0</v>
      </c>
      <c r="BF67" s="30">
        <f>67</f>
        <v>67</v>
      </c>
      <c r="BH67" s="30">
        <f>F67*AO67</f>
        <v>0</v>
      </c>
      <c r="BI67" s="30">
        <f>F67*AP67</f>
        <v>0</v>
      </c>
      <c r="BJ67" s="30">
        <f>F67*G67</f>
        <v>0</v>
      </c>
      <c r="BK67" s="30"/>
      <c r="BL67" s="30">
        <v>725</v>
      </c>
      <c r="BW67" s="30">
        <v>12</v>
      </c>
      <c r="BX67" s="4" t="s">
        <v>221</v>
      </c>
    </row>
    <row r="68" spans="1:76" x14ac:dyDescent="0.25">
      <c r="A68" s="32" t="s">
        <v>222</v>
      </c>
      <c r="B68" s="33" t="s">
        <v>223</v>
      </c>
      <c r="C68" s="139" t="s">
        <v>224</v>
      </c>
      <c r="D68" s="140"/>
      <c r="E68" s="33" t="s">
        <v>218</v>
      </c>
      <c r="F68" s="34">
        <v>2</v>
      </c>
      <c r="G68" s="35">
        <v>0</v>
      </c>
      <c r="H68" s="34">
        <f>F68*AO68</f>
        <v>0</v>
      </c>
      <c r="I68" s="34">
        <f>F68*AP68</f>
        <v>0</v>
      </c>
      <c r="J68" s="34">
        <f>F68*G68</f>
        <v>0</v>
      </c>
      <c r="K68" s="36" t="s">
        <v>57</v>
      </c>
      <c r="Z68" s="30">
        <f>IF(AQ68="5",BJ68,0)</f>
        <v>0</v>
      </c>
      <c r="AB68" s="30">
        <f>IF(AQ68="1",BH68,0)</f>
        <v>0</v>
      </c>
      <c r="AC68" s="30">
        <f>IF(AQ68="1",BI68,0)</f>
        <v>0</v>
      </c>
      <c r="AD68" s="30">
        <f>IF(AQ68="7",BH68,0)</f>
        <v>0</v>
      </c>
      <c r="AE68" s="30">
        <f>IF(AQ68="7",BI68,0)</f>
        <v>0</v>
      </c>
      <c r="AF68" s="30">
        <f>IF(AQ68="2",BH68,0)</f>
        <v>0</v>
      </c>
      <c r="AG68" s="30">
        <f>IF(AQ68="2",BI68,0)</f>
        <v>0</v>
      </c>
      <c r="AH68" s="30">
        <f>IF(AQ68="0",BJ68,0)</f>
        <v>0</v>
      </c>
      <c r="AI68" s="10" t="s">
        <v>50</v>
      </c>
      <c r="AJ68" s="30">
        <f>IF(AN68=0,J68,0)</f>
        <v>0</v>
      </c>
      <c r="AK68" s="30">
        <f>IF(AN68=12,J68,0)</f>
        <v>0</v>
      </c>
      <c r="AL68" s="30">
        <f>IF(AN68=21,J68,0)</f>
        <v>0</v>
      </c>
      <c r="AN68" s="30">
        <v>12</v>
      </c>
      <c r="AO68" s="30">
        <f>G68*0</f>
        <v>0</v>
      </c>
      <c r="AP68" s="30">
        <f>G68*(1-0)</f>
        <v>0</v>
      </c>
      <c r="AQ68" s="31" t="s">
        <v>80</v>
      </c>
      <c r="AV68" s="30">
        <f>AW68+AX68</f>
        <v>0</v>
      </c>
      <c r="AW68" s="30">
        <f>F68*AO68</f>
        <v>0</v>
      </c>
      <c r="AX68" s="30">
        <f>F68*AP68</f>
        <v>0</v>
      </c>
      <c r="AY68" s="31" t="s">
        <v>214</v>
      </c>
      <c r="AZ68" s="31" t="s">
        <v>165</v>
      </c>
      <c r="BA68" s="10" t="s">
        <v>60</v>
      </c>
      <c r="BC68" s="30">
        <f>AW68+AX68</f>
        <v>0</v>
      </c>
      <c r="BD68" s="30">
        <f>G68/(100-BE68)*100</f>
        <v>0</v>
      </c>
      <c r="BE68" s="30">
        <v>0</v>
      </c>
      <c r="BF68" s="30">
        <f>68</f>
        <v>68</v>
      </c>
      <c r="BH68" s="30">
        <f>F68*AO68</f>
        <v>0</v>
      </c>
      <c r="BI68" s="30">
        <f>F68*AP68</f>
        <v>0</v>
      </c>
      <c r="BJ68" s="30">
        <f>F68*G68</f>
        <v>0</v>
      </c>
      <c r="BK68" s="30"/>
      <c r="BL68" s="30">
        <v>725</v>
      </c>
      <c r="BW68" s="30">
        <v>12</v>
      </c>
      <c r="BX68" s="4" t="s">
        <v>224</v>
      </c>
    </row>
    <row r="69" spans="1:76" x14ac:dyDescent="0.25">
      <c r="A69" s="32" t="s">
        <v>225</v>
      </c>
      <c r="B69" s="33" t="s">
        <v>226</v>
      </c>
      <c r="C69" s="139" t="s">
        <v>227</v>
      </c>
      <c r="D69" s="140"/>
      <c r="E69" s="33" t="s">
        <v>56</v>
      </c>
      <c r="F69" s="34">
        <v>2</v>
      </c>
      <c r="G69" s="35">
        <v>0</v>
      </c>
      <c r="H69" s="34">
        <f>F69*AO69</f>
        <v>0</v>
      </c>
      <c r="I69" s="34">
        <f>F69*AP69</f>
        <v>0</v>
      </c>
      <c r="J69" s="34">
        <f>F69*G69</f>
        <v>0</v>
      </c>
      <c r="K69" s="36" t="s">
        <v>57</v>
      </c>
      <c r="Z69" s="30">
        <f>IF(AQ69="5",BJ69,0)</f>
        <v>0</v>
      </c>
      <c r="AB69" s="30">
        <f>IF(AQ69="1",BH69,0)</f>
        <v>0</v>
      </c>
      <c r="AC69" s="30">
        <f>IF(AQ69="1",BI69,0)</f>
        <v>0</v>
      </c>
      <c r="AD69" s="30">
        <f>IF(AQ69="7",BH69,0)</f>
        <v>0</v>
      </c>
      <c r="AE69" s="30">
        <f>IF(AQ69="7",BI69,0)</f>
        <v>0</v>
      </c>
      <c r="AF69" s="30">
        <f>IF(AQ69="2",BH69,0)</f>
        <v>0</v>
      </c>
      <c r="AG69" s="30">
        <f>IF(AQ69="2",BI69,0)</f>
        <v>0</v>
      </c>
      <c r="AH69" s="30">
        <f>IF(AQ69="0",BJ69,0)</f>
        <v>0</v>
      </c>
      <c r="AI69" s="10" t="s">
        <v>50</v>
      </c>
      <c r="AJ69" s="30">
        <f>IF(AN69=0,J69,0)</f>
        <v>0</v>
      </c>
      <c r="AK69" s="30">
        <f>IF(AN69=12,J69,0)</f>
        <v>0</v>
      </c>
      <c r="AL69" s="30">
        <f>IF(AN69=21,J69,0)</f>
        <v>0</v>
      </c>
      <c r="AN69" s="30">
        <v>12</v>
      </c>
      <c r="AO69" s="30">
        <f>G69*0.8963074</f>
        <v>0</v>
      </c>
      <c r="AP69" s="30">
        <f>G69*(1-0.8963074)</f>
        <v>0</v>
      </c>
      <c r="AQ69" s="31" t="s">
        <v>80</v>
      </c>
      <c r="AV69" s="30">
        <f>AW69+AX69</f>
        <v>0</v>
      </c>
      <c r="AW69" s="30">
        <f>F69*AO69</f>
        <v>0</v>
      </c>
      <c r="AX69" s="30">
        <f>F69*AP69</f>
        <v>0</v>
      </c>
      <c r="AY69" s="31" t="s">
        <v>214</v>
      </c>
      <c r="AZ69" s="31" t="s">
        <v>165</v>
      </c>
      <c r="BA69" s="10" t="s">
        <v>60</v>
      </c>
      <c r="BC69" s="30">
        <f>AW69+AX69</f>
        <v>0</v>
      </c>
      <c r="BD69" s="30">
        <f>G69/(100-BE69)*100</f>
        <v>0</v>
      </c>
      <c r="BE69" s="30">
        <v>0</v>
      </c>
      <c r="BF69" s="30">
        <f>69</f>
        <v>69</v>
      </c>
      <c r="BH69" s="30">
        <f>F69*AO69</f>
        <v>0</v>
      </c>
      <c r="BI69" s="30">
        <f>F69*AP69</f>
        <v>0</v>
      </c>
      <c r="BJ69" s="30">
        <f>F69*G69</f>
        <v>0</v>
      </c>
      <c r="BK69" s="30"/>
      <c r="BL69" s="30">
        <v>725</v>
      </c>
      <c r="BW69" s="30">
        <v>12</v>
      </c>
      <c r="BX69" s="4" t="s">
        <v>227</v>
      </c>
    </row>
    <row r="70" spans="1:76" ht="13.5" customHeight="1" x14ac:dyDescent="0.25">
      <c r="A70" s="37"/>
      <c r="B70" s="38" t="s">
        <v>68</v>
      </c>
      <c r="C70" s="141" t="s">
        <v>228</v>
      </c>
      <c r="D70" s="142"/>
      <c r="E70" s="142"/>
      <c r="F70" s="142"/>
      <c r="G70" s="143"/>
      <c r="H70" s="142"/>
      <c r="I70" s="142"/>
      <c r="J70" s="142"/>
      <c r="K70" s="144"/>
    </row>
    <row r="71" spans="1:76" x14ac:dyDescent="0.25">
      <c r="A71" s="25" t="s">
        <v>229</v>
      </c>
      <c r="B71" s="26" t="s">
        <v>230</v>
      </c>
      <c r="C71" s="137" t="s">
        <v>231</v>
      </c>
      <c r="D71" s="138"/>
      <c r="E71" s="26" t="s">
        <v>56</v>
      </c>
      <c r="F71" s="27">
        <v>1</v>
      </c>
      <c r="G71" s="28">
        <v>0</v>
      </c>
      <c r="H71" s="27">
        <f t="shared" ref="H71:H76" si="66">F71*AO71</f>
        <v>0</v>
      </c>
      <c r="I71" s="27">
        <f t="shared" ref="I71:I76" si="67">F71*AP71</f>
        <v>0</v>
      </c>
      <c r="J71" s="27">
        <f t="shared" ref="J71:J76" si="68">F71*G71</f>
        <v>0</v>
      </c>
      <c r="K71" s="29" t="s">
        <v>57</v>
      </c>
      <c r="Z71" s="30">
        <f t="shared" ref="Z71:Z76" si="69">IF(AQ71="5",BJ71,0)</f>
        <v>0</v>
      </c>
      <c r="AB71" s="30">
        <f t="shared" ref="AB71:AB76" si="70">IF(AQ71="1",BH71,0)</f>
        <v>0</v>
      </c>
      <c r="AC71" s="30">
        <f t="shared" ref="AC71:AC76" si="71">IF(AQ71="1",BI71,0)</f>
        <v>0</v>
      </c>
      <c r="AD71" s="30">
        <f t="shared" ref="AD71:AD76" si="72">IF(AQ71="7",BH71,0)</f>
        <v>0</v>
      </c>
      <c r="AE71" s="30">
        <f t="shared" ref="AE71:AE76" si="73">IF(AQ71="7",BI71,0)</f>
        <v>0</v>
      </c>
      <c r="AF71" s="30">
        <f t="shared" ref="AF71:AF76" si="74">IF(AQ71="2",BH71,0)</f>
        <v>0</v>
      </c>
      <c r="AG71" s="30">
        <f t="shared" ref="AG71:AG76" si="75">IF(AQ71="2",BI71,0)</f>
        <v>0</v>
      </c>
      <c r="AH71" s="30">
        <f t="shared" ref="AH71:AH76" si="76">IF(AQ71="0",BJ71,0)</f>
        <v>0</v>
      </c>
      <c r="AI71" s="10" t="s">
        <v>50</v>
      </c>
      <c r="AJ71" s="30">
        <f t="shared" ref="AJ71:AJ76" si="77">IF(AN71=0,J71,0)</f>
        <v>0</v>
      </c>
      <c r="AK71" s="30">
        <f t="shared" ref="AK71:AK76" si="78">IF(AN71=12,J71,0)</f>
        <v>0</v>
      </c>
      <c r="AL71" s="30">
        <f t="shared" ref="AL71:AL76" si="79">IF(AN71=21,J71,0)</f>
        <v>0</v>
      </c>
      <c r="AN71" s="30">
        <v>12</v>
      </c>
      <c r="AO71" s="30">
        <f>G71*0.369266667</f>
        <v>0</v>
      </c>
      <c r="AP71" s="30">
        <f>G71*(1-0.369266667)</f>
        <v>0</v>
      </c>
      <c r="AQ71" s="31" t="s">
        <v>80</v>
      </c>
      <c r="AV71" s="30">
        <f t="shared" ref="AV71:AV76" si="80">AW71+AX71</f>
        <v>0</v>
      </c>
      <c r="AW71" s="30">
        <f t="shared" ref="AW71:AW76" si="81">F71*AO71</f>
        <v>0</v>
      </c>
      <c r="AX71" s="30">
        <f t="shared" ref="AX71:AX76" si="82">F71*AP71</f>
        <v>0</v>
      </c>
      <c r="AY71" s="31" t="s">
        <v>214</v>
      </c>
      <c r="AZ71" s="31" t="s">
        <v>165</v>
      </c>
      <c r="BA71" s="10" t="s">
        <v>60</v>
      </c>
      <c r="BC71" s="30">
        <f t="shared" ref="BC71:BC76" si="83">AW71+AX71</f>
        <v>0</v>
      </c>
      <c r="BD71" s="30">
        <f t="shared" ref="BD71:BD76" si="84">G71/(100-BE71)*100</f>
        <v>0</v>
      </c>
      <c r="BE71" s="30">
        <v>0</v>
      </c>
      <c r="BF71" s="30">
        <f>71</f>
        <v>71</v>
      </c>
      <c r="BH71" s="30">
        <f t="shared" ref="BH71:BH76" si="85">F71*AO71</f>
        <v>0</v>
      </c>
      <c r="BI71" s="30">
        <f t="shared" ref="BI71:BI76" si="86">F71*AP71</f>
        <v>0</v>
      </c>
      <c r="BJ71" s="30">
        <f t="shared" ref="BJ71:BJ76" si="87">F71*G71</f>
        <v>0</v>
      </c>
      <c r="BK71" s="30"/>
      <c r="BL71" s="30">
        <v>725</v>
      </c>
      <c r="BW71" s="30">
        <v>12</v>
      </c>
      <c r="BX71" s="4" t="s">
        <v>231</v>
      </c>
    </row>
    <row r="72" spans="1:76" x14ac:dyDescent="0.25">
      <c r="A72" s="32" t="s">
        <v>232</v>
      </c>
      <c r="B72" s="33" t="s">
        <v>233</v>
      </c>
      <c r="C72" s="139" t="s">
        <v>234</v>
      </c>
      <c r="D72" s="140"/>
      <c r="E72" s="33" t="s">
        <v>56</v>
      </c>
      <c r="F72" s="34">
        <v>1</v>
      </c>
      <c r="G72" s="35">
        <v>0</v>
      </c>
      <c r="H72" s="34">
        <f t="shared" si="66"/>
        <v>0</v>
      </c>
      <c r="I72" s="34">
        <f t="shared" si="67"/>
        <v>0</v>
      </c>
      <c r="J72" s="34">
        <f t="shared" si="68"/>
        <v>0</v>
      </c>
      <c r="K72" s="36" t="s">
        <v>57</v>
      </c>
      <c r="Z72" s="30">
        <f t="shared" si="69"/>
        <v>0</v>
      </c>
      <c r="AB72" s="30">
        <f t="shared" si="70"/>
        <v>0</v>
      </c>
      <c r="AC72" s="30">
        <f t="shared" si="71"/>
        <v>0</v>
      </c>
      <c r="AD72" s="30">
        <f t="shared" si="72"/>
        <v>0</v>
      </c>
      <c r="AE72" s="30">
        <f t="shared" si="73"/>
        <v>0</v>
      </c>
      <c r="AF72" s="30">
        <f t="shared" si="74"/>
        <v>0</v>
      </c>
      <c r="AG72" s="30">
        <f t="shared" si="75"/>
        <v>0</v>
      </c>
      <c r="AH72" s="30">
        <f t="shared" si="76"/>
        <v>0</v>
      </c>
      <c r="AI72" s="10" t="s">
        <v>50</v>
      </c>
      <c r="AJ72" s="30">
        <f t="shared" si="77"/>
        <v>0</v>
      </c>
      <c r="AK72" s="30">
        <f t="shared" si="78"/>
        <v>0</v>
      </c>
      <c r="AL72" s="30">
        <f t="shared" si="79"/>
        <v>0</v>
      </c>
      <c r="AN72" s="30">
        <v>12</v>
      </c>
      <c r="AO72" s="30">
        <f>G72*1</f>
        <v>0</v>
      </c>
      <c r="AP72" s="30">
        <f>G72*(1-1)</f>
        <v>0</v>
      </c>
      <c r="AQ72" s="31" t="s">
        <v>80</v>
      </c>
      <c r="AV72" s="30">
        <f t="shared" si="80"/>
        <v>0</v>
      </c>
      <c r="AW72" s="30">
        <f t="shared" si="81"/>
        <v>0</v>
      </c>
      <c r="AX72" s="30">
        <f t="shared" si="82"/>
        <v>0</v>
      </c>
      <c r="AY72" s="31" t="s">
        <v>214</v>
      </c>
      <c r="AZ72" s="31" t="s">
        <v>165</v>
      </c>
      <c r="BA72" s="10" t="s">
        <v>60</v>
      </c>
      <c r="BC72" s="30">
        <f t="shared" si="83"/>
        <v>0</v>
      </c>
      <c r="BD72" s="30">
        <f t="shared" si="84"/>
        <v>0</v>
      </c>
      <c r="BE72" s="30">
        <v>0</v>
      </c>
      <c r="BF72" s="30">
        <f>72</f>
        <v>72</v>
      </c>
      <c r="BH72" s="30">
        <f t="shared" si="85"/>
        <v>0</v>
      </c>
      <c r="BI72" s="30">
        <f t="shared" si="86"/>
        <v>0</v>
      </c>
      <c r="BJ72" s="30">
        <f t="shared" si="87"/>
        <v>0</v>
      </c>
      <c r="BK72" s="30"/>
      <c r="BL72" s="30">
        <v>725</v>
      </c>
      <c r="BW72" s="30">
        <v>12</v>
      </c>
      <c r="BX72" s="4" t="s">
        <v>234</v>
      </c>
    </row>
    <row r="73" spans="1:76" x14ac:dyDescent="0.25">
      <c r="A73" s="32" t="s">
        <v>235</v>
      </c>
      <c r="B73" s="33" t="s">
        <v>236</v>
      </c>
      <c r="C73" s="139" t="s">
        <v>237</v>
      </c>
      <c r="D73" s="140"/>
      <c r="E73" s="33" t="s">
        <v>56</v>
      </c>
      <c r="F73" s="34">
        <v>2</v>
      </c>
      <c r="G73" s="35">
        <v>0</v>
      </c>
      <c r="H73" s="34">
        <f t="shared" si="66"/>
        <v>0</v>
      </c>
      <c r="I73" s="34">
        <f t="shared" si="67"/>
        <v>0</v>
      </c>
      <c r="J73" s="34">
        <f t="shared" si="68"/>
        <v>0</v>
      </c>
      <c r="K73" s="36" t="s">
        <v>57</v>
      </c>
      <c r="Z73" s="30">
        <f t="shared" si="69"/>
        <v>0</v>
      </c>
      <c r="AB73" s="30">
        <f t="shared" si="70"/>
        <v>0</v>
      </c>
      <c r="AC73" s="30">
        <f t="shared" si="71"/>
        <v>0</v>
      </c>
      <c r="AD73" s="30">
        <f t="shared" si="72"/>
        <v>0</v>
      </c>
      <c r="AE73" s="30">
        <f t="shared" si="73"/>
        <v>0</v>
      </c>
      <c r="AF73" s="30">
        <f t="shared" si="74"/>
        <v>0</v>
      </c>
      <c r="AG73" s="30">
        <f t="shared" si="75"/>
        <v>0</v>
      </c>
      <c r="AH73" s="30">
        <f t="shared" si="76"/>
        <v>0</v>
      </c>
      <c r="AI73" s="10" t="s">
        <v>50</v>
      </c>
      <c r="AJ73" s="30">
        <f t="shared" si="77"/>
        <v>0</v>
      </c>
      <c r="AK73" s="30">
        <f t="shared" si="78"/>
        <v>0</v>
      </c>
      <c r="AL73" s="30">
        <f t="shared" si="79"/>
        <v>0</v>
      </c>
      <c r="AN73" s="30">
        <v>12</v>
      </c>
      <c r="AO73" s="30">
        <f>G73*0.868028037</f>
        <v>0</v>
      </c>
      <c r="AP73" s="30">
        <f>G73*(1-0.868028037)</f>
        <v>0</v>
      </c>
      <c r="AQ73" s="31" t="s">
        <v>80</v>
      </c>
      <c r="AV73" s="30">
        <f t="shared" si="80"/>
        <v>0</v>
      </c>
      <c r="AW73" s="30">
        <f t="shared" si="81"/>
        <v>0</v>
      </c>
      <c r="AX73" s="30">
        <f t="shared" si="82"/>
        <v>0</v>
      </c>
      <c r="AY73" s="31" t="s">
        <v>214</v>
      </c>
      <c r="AZ73" s="31" t="s">
        <v>165</v>
      </c>
      <c r="BA73" s="10" t="s">
        <v>60</v>
      </c>
      <c r="BC73" s="30">
        <f t="shared" si="83"/>
        <v>0</v>
      </c>
      <c r="BD73" s="30">
        <f t="shared" si="84"/>
        <v>0</v>
      </c>
      <c r="BE73" s="30">
        <v>0</v>
      </c>
      <c r="BF73" s="30">
        <f>73</f>
        <v>73</v>
      </c>
      <c r="BH73" s="30">
        <f t="shared" si="85"/>
        <v>0</v>
      </c>
      <c r="BI73" s="30">
        <f t="shared" si="86"/>
        <v>0</v>
      </c>
      <c r="BJ73" s="30">
        <f t="shared" si="87"/>
        <v>0</v>
      </c>
      <c r="BK73" s="30"/>
      <c r="BL73" s="30">
        <v>725</v>
      </c>
      <c r="BW73" s="30">
        <v>12</v>
      </c>
      <c r="BX73" s="4" t="s">
        <v>237</v>
      </c>
    </row>
    <row r="74" spans="1:76" x14ac:dyDescent="0.25">
      <c r="A74" s="32" t="s">
        <v>238</v>
      </c>
      <c r="B74" s="33" t="s">
        <v>239</v>
      </c>
      <c r="C74" s="139" t="s">
        <v>240</v>
      </c>
      <c r="D74" s="140"/>
      <c r="E74" s="33" t="s">
        <v>56</v>
      </c>
      <c r="F74" s="34">
        <v>2</v>
      </c>
      <c r="G74" s="35">
        <v>0</v>
      </c>
      <c r="H74" s="34">
        <f t="shared" si="66"/>
        <v>0</v>
      </c>
      <c r="I74" s="34">
        <f t="shared" si="67"/>
        <v>0</v>
      </c>
      <c r="J74" s="34">
        <f t="shared" si="68"/>
        <v>0</v>
      </c>
      <c r="K74" s="36" t="s">
        <v>57</v>
      </c>
      <c r="Z74" s="30">
        <f t="shared" si="69"/>
        <v>0</v>
      </c>
      <c r="AB74" s="30">
        <f t="shared" si="70"/>
        <v>0</v>
      </c>
      <c r="AC74" s="30">
        <f t="shared" si="71"/>
        <v>0</v>
      </c>
      <c r="AD74" s="30">
        <f t="shared" si="72"/>
        <v>0</v>
      </c>
      <c r="AE74" s="30">
        <f t="shared" si="73"/>
        <v>0</v>
      </c>
      <c r="AF74" s="30">
        <f t="shared" si="74"/>
        <v>0</v>
      </c>
      <c r="AG74" s="30">
        <f t="shared" si="75"/>
        <v>0</v>
      </c>
      <c r="AH74" s="30">
        <f t="shared" si="76"/>
        <v>0</v>
      </c>
      <c r="AI74" s="10" t="s">
        <v>50</v>
      </c>
      <c r="AJ74" s="30">
        <f t="shared" si="77"/>
        <v>0</v>
      </c>
      <c r="AK74" s="30">
        <f t="shared" si="78"/>
        <v>0</v>
      </c>
      <c r="AL74" s="30">
        <f t="shared" si="79"/>
        <v>0</v>
      </c>
      <c r="AN74" s="30">
        <v>12</v>
      </c>
      <c r="AO74" s="30">
        <f>G74*0</f>
        <v>0</v>
      </c>
      <c r="AP74" s="30">
        <f>G74*(1-0)</f>
        <v>0</v>
      </c>
      <c r="AQ74" s="31" t="s">
        <v>80</v>
      </c>
      <c r="AV74" s="30">
        <f t="shared" si="80"/>
        <v>0</v>
      </c>
      <c r="AW74" s="30">
        <f t="shared" si="81"/>
        <v>0</v>
      </c>
      <c r="AX74" s="30">
        <f t="shared" si="82"/>
        <v>0</v>
      </c>
      <c r="AY74" s="31" t="s">
        <v>214</v>
      </c>
      <c r="AZ74" s="31" t="s">
        <v>165</v>
      </c>
      <c r="BA74" s="10" t="s">
        <v>60</v>
      </c>
      <c r="BC74" s="30">
        <f t="shared" si="83"/>
        <v>0</v>
      </c>
      <c r="BD74" s="30">
        <f t="shared" si="84"/>
        <v>0</v>
      </c>
      <c r="BE74" s="30">
        <v>0</v>
      </c>
      <c r="BF74" s="30">
        <f>74</f>
        <v>74</v>
      </c>
      <c r="BH74" s="30">
        <f t="shared" si="85"/>
        <v>0</v>
      </c>
      <c r="BI74" s="30">
        <f t="shared" si="86"/>
        <v>0</v>
      </c>
      <c r="BJ74" s="30">
        <f t="shared" si="87"/>
        <v>0</v>
      </c>
      <c r="BK74" s="30"/>
      <c r="BL74" s="30">
        <v>725</v>
      </c>
      <c r="BW74" s="30">
        <v>12</v>
      </c>
      <c r="BX74" s="4" t="s">
        <v>240</v>
      </c>
    </row>
    <row r="75" spans="1:76" x14ac:dyDescent="0.25">
      <c r="A75" s="32" t="s">
        <v>241</v>
      </c>
      <c r="B75" s="33" t="s">
        <v>242</v>
      </c>
      <c r="C75" s="139" t="s">
        <v>243</v>
      </c>
      <c r="D75" s="140"/>
      <c r="E75" s="33" t="s">
        <v>56</v>
      </c>
      <c r="F75" s="34">
        <v>2</v>
      </c>
      <c r="G75" s="35">
        <v>0</v>
      </c>
      <c r="H75" s="34">
        <f t="shared" si="66"/>
        <v>0</v>
      </c>
      <c r="I75" s="34">
        <f t="shared" si="67"/>
        <v>0</v>
      </c>
      <c r="J75" s="34">
        <f t="shared" si="68"/>
        <v>0</v>
      </c>
      <c r="K75" s="36" t="s">
        <v>57</v>
      </c>
      <c r="Z75" s="30">
        <f t="shared" si="69"/>
        <v>0</v>
      </c>
      <c r="AB75" s="30">
        <f t="shared" si="70"/>
        <v>0</v>
      </c>
      <c r="AC75" s="30">
        <f t="shared" si="71"/>
        <v>0</v>
      </c>
      <c r="AD75" s="30">
        <f t="shared" si="72"/>
        <v>0</v>
      </c>
      <c r="AE75" s="30">
        <f t="shared" si="73"/>
        <v>0</v>
      </c>
      <c r="AF75" s="30">
        <f t="shared" si="74"/>
        <v>0</v>
      </c>
      <c r="AG75" s="30">
        <f t="shared" si="75"/>
        <v>0</v>
      </c>
      <c r="AH75" s="30">
        <f t="shared" si="76"/>
        <v>0</v>
      </c>
      <c r="AI75" s="10" t="s">
        <v>50</v>
      </c>
      <c r="AJ75" s="30">
        <f t="shared" si="77"/>
        <v>0</v>
      </c>
      <c r="AK75" s="30">
        <f t="shared" si="78"/>
        <v>0</v>
      </c>
      <c r="AL75" s="30">
        <f t="shared" si="79"/>
        <v>0</v>
      </c>
      <c r="AN75" s="30">
        <v>12</v>
      </c>
      <c r="AO75" s="30">
        <f>G75*1</f>
        <v>0</v>
      </c>
      <c r="AP75" s="30">
        <f>G75*(1-1)</f>
        <v>0</v>
      </c>
      <c r="AQ75" s="31" t="s">
        <v>80</v>
      </c>
      <c r="AV75" s="30">
        <f t="shared" si="80"/>
        <v>0</v>
      </c>
      <c r="AW75" s="30">
        <f t="shared" si="81"/>
        <v>0</v>
      </c>
      <c r="AX75" s="30">
        <f t="shared" si="82"/>
        <v>0</v>
      </c>
      <c r="AY75" s="31" t="s">
        <v>214</v>
      </c>
      <c r="AZ75" s="31" t="s">
        <v>165</v>
      </c>
      <c r="BA75" s="10" t="s">
        <v>60</v>
      </c>
      <c r="BC75" s="30">
        <f t="shared" si="83"/>
        <v>0</v>
      </c>
      <c r="BD75" s="30">
        <f t="shared" si="84"/>
        <v>0</v>
      </c>
      <c r="BE75" s="30">
        <v>0</v>
      </c>
      <c r="BF75" s="30">
        <f>75</f>
        <v>75</v>
      </c>
      <c r="BH75" s="30">
        <f t="shared" si="85"/>
        <v>0</v>
      </c>
      <c r="BI75" s="30">
        <f t="shared" si="86"/>
        <v>0</v>
      </c>
      <c r="BJ75" s="30">
        <f t="shared" si="87"/>
        <v>0</v>
      </c>
      <c r="BK75" s="30"/>
      <c r="BL75" s="30">
        <v>725</v>
      </c>
      <c r="BW75" s="30">
        <v>12</v>
      </c>
      <c r="BX75" s="4" t="s">
        <v>243</v>
      </c>
    </row>
    <row r="76" spans="1:76" x14ac:dyDescent="0.25">
      <c r="A76" s="32" t="s">
        <v>244</v>
      </c>
      <c r="B76" s="33" t="s">
        <v>245</v>
      </c>
      <c r="C76" s="139" t="s">
        <v>246</v>
      </c>
      <c r="D76" s="140"/>
      <c r="E76" s="33" t="s">
        <v>218</v>
      </c>
      <c r="F76" s="34">
        <v>1</v>
      </c>
      <c r="G76" s="35">
        <v>0</v>
      </c>
      <c r="H76" s="34">
        <f t="shared" si="66"/>
        <v>0</v>
      </c>
      <c r="I76" s="34">
        <f t="shared" si="67"/>
        <v>0</v>
      </c>
      <c r="J76" s="34">
        <f t="shared" si="68"/>
        <v>0</v>
      </c>
      <c r="K76" s="36" t="s">
        <v>57</v>
      </c>
      <c r="Z76" s="30">
        <f t="shared" si="69"/>
        <v>0</v>
      </c>
      <c r="AB76" s="30">
        <f t="shared" si="70"/>
        <v>0</v>
      </c>
      <c r="AC76" s="30">
        <f t="shared" si="71"/>
        <v>0</v>
      </c>
      <c r="AD76" s="30">
        <f t="shared" si="72"/>
        <v>0</v>
      </c>
      <c r="AE76" s="30">
        <f t="shared" si="73"/>
        <v>0</v>
      </c>
      <c r="AF76" s="30">
        <f t="shared" si="74"/>
        <v>0</v>
      </c>
      <c r="AG76" s="30">
        <f t="shared" si="75"/>
        <v>0</v>
      </c>
      <c r="AH76" s="30">
        <f t="shared" si="76"/>
        <v>0</v>
      </c>
      <c r="AI76" s="10" t="s">
        <v>50</v>
      </c>
      <c r="AJ76" s="30">
        <f t="shared" si="77"/>
        <v>0</v>
      </c>
      <c r="AK76" s="30">
        <f t="shared" si="78"/>
        <v>0</v>
      </c>
      <c r="AL76" s="30">
        <f t="shared" si="79"/>
        <v>0</v>
      </c>
      <c r="AN76" s="30">
        <v>12</v>
      </c>
      <c r="AO76" s="30">
        <f>G76*0.057066818</f>
        <v>0</v>
      </c>
      <c r="AP76" s="30">
        <f>G76*(1-0.057066818)</f>
        <v>0</v>
      </c>
      <c r="AQ76" s="31" t="s">
        <v>80</v>
      </c>
      <c r="AV76" s="30">
        <f t="shared" si="80"/>
        <v>0</v>
      </c>
      <c r="AW76" s="30">
        <f t="shared" si="81"/>
        <v>0</v>
      </c>
      <c r="AX76" s="30">
        <f t="shared" si="82"/>
        <v>0</v>
      </c>
      <c r="AY76" s="31" t="s">
        <v>214</v>
      </c>
      <c r="AZ76" s="31" t="s">
        <v>165</v>
      </c>
      <c r="BA76" s="10" t="s">
        <v>60</v>
      </c>
      <c r="BC76" s="30">
        <f t="shared" si="83"/>
        <v>0</v>
      </c>
      <c r="BD76" s="30">
        <f t="shared" si="84"/>
        <v>0</v>
      </c>
      <c r="BE76" s="30">
        <v>0</v>
      </c>
      <c r="BF76" s="30">
        <f>76</f>
        <v>76</v>
      </c>
      <c r="BH76" s="30">
        <f t="shared" si="85"/>
        <v>0</v>
      </c>
      <c r="BI76" s="30">
        <f t="shared" si="86"/>
        <v>0</v>
      </c>
      <c r="BJ76" s="30">
        <f t="shared" si="87"/>
        <v>0</v>
      </c>
      <c r="BK76" s="30"/>
      <c r="BL76" s="30">
        <v>725</v>
      </c>
      <c r="BW76" s="30">
        <v>12</v>
      </c>
      <c r="BX76" s="4" t="s">
        <v>246</v>
      </c>
    </row>
    <row r="77" spans="1:76" ht="13.5" customHeight="1" x14ac:dyDescent="0.25">
      <c r="A77" s="37"/>
      <c r="B77" s="38" t="s">
        <v>68</v>
      </c>
      <c r="C77" s="141" t="s">
        <v>247</v>
      </c>
      <c r="D77" s="142"/>
      <c r="E77" s="142"/>
      <c r="F77" s="142"/>
      <c r="G77" s="143"/>
      <c r="H77" s="142"/>
      <c r="I77" s="142"/>
      <c r="J77" s="142"/>
      <c r="K77" s="144"/>
    </row>
    <row r="78" spans="1:76" x14ac:dyDescent="0.25">
      <c r="A78" s="25" t="s">
        <v>248</v>
      </c>
      <c r="B78" s="26" t="s">
        <v>249</v>
      </c>
      <c r="C78" s="137" t="s">
        <v>250</v>
      </c>
      <c r="D78" s="138"/>
      <c r="E78" s="26" t="s">
        <v>56</v>
      </c>
      <c r="F78" s="27">
        <v>1</v>
      </c>
      <c r="G78" s="28">
        <v>0</v>
      </c>
      <c r="H78" s="27">
        <f>F78*AO78</f>
        <v>0</v>
      </c>
      <c r="I78" s="27">
        <f>F78*AP78</f>
        <v>0</v>
      </c>
      <c r="J78" s="27">
        <f>F78*G78</f>
        <v>0</v>
      </c>
      <c r="K78" s="29" t="s">
        <v>57</v>
      </c>
      <c r="Z78" s="30">
        <f>IF(AQ78="5",BJ78,0)</f>
        <v>0</v>
      </c>
      <c r="AB78" s="30">
        <f>IF(AQ78="1",BH78,0)</f>
        <v>0</v>
      </c>
      <c r="AC78" s="30">
        <f>IF(AQ78="1",BI78,0)</f>
        <v>0</v>
      </c>
      <c r="AD78" s="30">
        <f>IF(AQ78="7",BH78,0)</f>
        <v>0</v>
      </c>
      <c r="AE78" s="30">
        <f>IF(AQ78="7",BI78,0)</f>
        <v>0</v>
      </c>
      <c r="AF78" s="30">
        <f>IF(AQ78="2",BH78,0)</f>
        <v>0</v>
      </c>
      <c r="AG78" s="30">
        <f>IF(AQ78="2",BI78,0)</f>
        <v>0</v>
      </c>
      <c r="AH78" s="30">
        <f>IF(AQ78="0",BJ78,0)</f>
        <v>0</v>
      </c>
      <c r="AI78" s="10" t="s">
        <v>50</v>
      </c>
      <c r="AJ78" s="30">
        <f>IF(AN78=0,J78,0)</f>
        <v>0</v>
      </c>
      <c r="AK78" s="30">
        <f>IF(AN78=12,J78,0)</f>
        <v>0</v>
      </c>
      <c r="AL78" s="30">
        <f>IF(AN78=21,J78,0)</f>
        <v>0</v>
      </c>
      <c r="AN78" s="30">
        <v>12</v>
      </c>
      <c r="AO78" s="30">
        <f>G78*1</f>
        <v>0</v>
      </c>
      <c r="AP78" s="30">
        <f>G78*(1-1)</f>
        <v>0</v>
      </c>
      <c r="AQ78" s="31" t="s">
        <v>80</v>
      </c>
      <c r="AV78" s="30">
        <f>AW78+AX78</f>
        <v>0</v>
      </c>
      <c r="AW78" s="30">
        <f>F78*AO78</f>
        <v>0</v>
      </c>
      <c r="AX78" s="30">
        <f>F78*AP78</f>
        <v>0</v>
      </c>
      <c r="AY78" s="31" t="s">
        <v>214</v>
      </c>
      <c r="AZ78" s="31" t="s">
        <v>165</v>
      </c>
      <c r="BA78" s="10" t="s">
        <v>60</v>
      </c>
      <c r="BC78" s="30">
        <f>AW78+AX78</f>
        <v>0</v>
      </c>
      <c r="BD78" s="30">
        <f>G78/(100-BE78)*100</f>
        <v>0</v>
      </c>
      <c r="BE78" s="30">
        <v>0</v>
      </c>
      <c r="BF78" s="30">
        <f>78</f>
        <v>78</v>
      </c>
      <c r="BH78" s="30">
        <f>F78*AO78</f>
        <v>0</v>
      </c>
      <c r="BI78" s="30">
        <f>F78*AP78</f>
        <v>0</v>
      </c>
      <c r="BJ78" s="30">
        <f>F78*G78</f>
        <v>0</v>
      </c>
      <c r="BK78" s="30"/>
      <c r="BL78" s="30">
        <v>725</v>
      </c>
      <c r="BW78" s="30">
        <v>12</v>
      </c>
      <c r="BX78" s="4" t="s">
        <v>250</v>
      </c>
    </row>
    <row r="79" spans="1:76" x14ac:dyDescent="0.25">
      <c r="A79" s="32" t="s">
        <v>251</v>
      </c>
      <c r="B79" s="33" t="s">
        <v>252</v>
      </c>
      <c r="C79" s="139" t="s">
        <v>253</v>
      </c>
      <c r="D79" s="140"/>
      <c r="E79" s="33" t="s">
        <v>56</v>
      </c>
      <c r="F79" s="34">
        <v>1</v>
      </c>
      <c r="G79" s="35">
        <v>0</v>
      </c>
      <c r="H79" s="34">
        <f>F79*AO79</f>
        <v>0</v>
      </c>
      <c r="I79" s="34">
        <f>F79*AP79</f>
        <v>0</v>
      </c>
      <c r="J79" s="34">
        <f>F79*G79</f>
        <v>0</v>
      </c>
      <c r="K79" s="36" t="s">
        <v>57</v>
      </c>
      <c r="Z79" s="30">
        <f>IF(AQ79="5",BJ79,0)</f>
        <v>0</v>
      </c>
      <c r="AB79" s="30">
        <f>IF(AQ79="1",BH79,0)</f>
        <v>0</v>
      </c>
      <c r="AC79" s="30">
        <f>IF(AQ79="1",BI79,0)</f>
        <v>0</v>
      </c>
      <c r="AD79" s="30">
        <f>IF(AQ79="7",BH79,0)</f>
        <v>0</v>
      </c>
      <c r="AE79" s="30">
        <f>IF(AQ79="7",BI79,0)</f>
        <v>0</v>
      </c>
      <c r="AF79" s="30">
        <f>IF(AQ79="2",BH79,0)</f>
        <v>0</v>
      </c>
      <c r="AG79" s="30">
        <f>IF(AQ79="2",BI79,0)</f>
        <v>0</v>
      </c>
      <c r="AH79" s="30">
        <f>IF(AQ79="0",BJ79,0)</f>
        <v>0</v>
      </c>
      <c r="AI79" s="10" t="s">
        <v>50</v>
      </c>
      <c r="AJ79" s="30">
        <f>IF(AN79=0,J79,0)</f>
        <v>0</v>
      </c>
      <c r="AK79" s="30">
        <f>IF(AN79=12,J79,0)</f>
        <v>0</v>
      </c>
      <c r="AL79" s="30">
        <f>IF(AN79=21,J79,0)</f>
        <v>0</v>
      </c>
      <c r="AN79" s="30">
        <v>12</v>
      </c>
      <c r="AO79" s="30">
        <f>G79*1</f>
        <v>0</v>
      </c>
      <c r="AP79" s="30">
        <f>G79*(1-1)</f>
        <v>0</v>
      </c>
      <c r="AQ79" s="31" t="s">
        <v>80</v>
      </c>
      <c r="AV79" s="30">
        <f>AW79+AX79</f>
        <v>0</v>
      </c>
      <c r="AW79" s="30">
        <f>F79*AO79</f>
        <v>0</v>
      </c>
      <c r="AX79" s="30">
        <f>F79*AP79</f>
        <v>0</v>
      </c>
      <c r="AY79" s="31" t="s">
        <v>214</v>
      </c>
      <c r="AZ79" s="31" t="s">
        <v>165</v>
      </c>
      <c r="BA79" s="10" t="s">
        <v>60</v>
      </c>
      <c r="BC79" s="30">
        <f>AW79+AX79</f>
        <v>0</v>
      </c>
      <c r="BD79" s="30">
        <f>G79/(100-BE79)*100</f>
        <v>0</v>
      </c>
      <c r="BE79" s="30">
        <v>0</v>
      </c>
      <c r="BF79" s="30">
        <f>79</f>
        <v>79</v>
      </c>
      <c r="BH79" s="30">
        <f>F79*AO79</f>
        <v>0</v>
      </c>
      <c r="BI79" s="30">
        <f>F79*AP79</f>
        <v>0</v>
      </c>
      <c r="BJ79" s="30">
        <f>F79*G79</f>
        <v>0</v>
      </c>
      <c r="BK79" s="30"/>
      <c r="BL79" s="30">
        <v>725</v>
      </c>
      <c r="BW79" s="30">
        <v>12</v>
      </c>
      <c r="BX79" s="4" t="s">
        <v>253</v>
      </c>
    </row>
    <row r="80" spans="1:76" x14ac:dyDescent="0.25">
      <c r="A80" s="32" t="s">
        <v>254</v>
      </c>
      <c r="B80" s="33" t="s">
        <v>255</v>
      </c>
      <c r="C80" s="139" t="s">
        <v>256</v>
      </c>
      <c r="D80" s="140"/>
      <c r="E80" s="33" t="s">
        <v>56</v>
      </c>
      <c r="F80" s="34">
        <v>1</v>
      </c>
      <c r="G80" s="35">
        <v>0</v>
      </c>
      <c r="H80" s="34">
        <f>F80*AO80</f>
        <v>0</v>
      </c>
      <c r="I80" s="34">
        <f>F80*AP80</f>
        <v>0</v>
      </c>
      <c r="J80" s="34">
        <f>F80*G80</f>
        <v>0</v>
      </c>
      <c r="K80" s="36" t="s">
        <v>57</v>
      </c>
      <c r="Z80" s="30">
        <f>IF(AQ80="5",BJ80,0)</f>
        <v>0</v>
      </c>
      <c r="AB80" s="30">
        <f>IF(AQ80="1",BH80,0)</f>
        <v>0</v>
      </c>
      <c r="AC80" s="30">
        <f>IF(AQ80="1",BI80,0)</f>
        <v>0</v>
      </c>
      <c r="AD80" s="30">
        <f>IF(AQ80="7",BH80,0)</f>
        <v>0</v>
      </c>
      <c r="AE80" s="30">
        <f>IF(AQ80="7",BI80,0)</f>
        <v>0</v>
      </c>
      <c r="AF80" s="30">
        <f>IF(AQ80="2",BH80,0)</f>
        <v>0</v>
      </c>
      <c r="AG80" s="30">
        <f>IF(AQ80="2",BI80,0)</f>
        <v>0</v>
      </c>
      <c r="AH80" s="30">
        <f>IF(AQ80="0",BJ80,0)</f>
        <v>0</v>
      </c>
      <c r="AI80" s="10" t="s">
        <v>50</v>
      </c>
      <c r="AJ80" s="30">
        <f>IF(AN80=0,J80,0)</f>
        <v>0</v>
      </c>
      <c r="AK80" s="30">
        <f>IF(AN80=12,J80,0)</f>
        <v>0</v>
      </c>
      <c r="AL80" s="30">
        <f>IF(AN80=21,J80,0)</f>
        <v>0</v>
      </c>
      <c r="AN80" s="30">
        <v>12</v>
      </c>
      <c r="AO80" s="30">
        <f>G80*0.93900216</f>
        <v>0</v>
      </c>
      <c r="AP80" s="30">
        <f>G80*(1-0.93900216)</f>
        <v>0</v>
      </c>
      <c r="AQ80" s="31" t="s">
        <v>80</v>
      </c>
      <c r="AV80" s="30">
        <f>AW80+AX80</f>
        <v>0</v>
      </c>
      <c r="AW80" s="30">
        <f>F80*AO80</f>
        <v>0</v>
      </c>
      <c r="AX80" s="30">
        <f>F80*AP80</f>
        <v>0</v>
      </c>
      <c r="AY80" s="31" t="s">
        <v>214</v>
      </c>
      <c r="AZ80" s="31" t="s">
        <v>165</v>
      </c>
      <c r="BA80" s="10" t="s">
        <v>60</v>
      </c>
      <c r="BC80" s="30">
        <f>AW80+AX80</f>
        <v>0</v>
      </c>
      <c r="BD80" s="30">
        <f>G80/(100-BE80)*100</f>
        <v>0</v>
      </c>
      <c r="BE80" s="30">
        <v>0</v>
      </c>
      <c r="BF80" s="30">
        <f>80</f>
        <v>80</v>
      </c>
      <c r="BH80" s="30">
        <f>F80*AO80</f>
        <v>0</v>
      </c>
      <c r="BI80" s="30">
        <f>F80*AP80</f>
        <v>0</v>
      </c>
      <c r="BJ80" s="30">
        <f>F80*G80</f>
        <v>0</v>
      </c>
      <c r="BK80" s="30"/>
      <c r="BL80" s="30">
        <v>725</v>
      </c>
      <c r="BW80" s="30">
        <v>12</v>
      </c>
      <c r="BX80" s="4" t="s">
        <v>256</v>
      </c>
    </row>
    <row r="81" spans="1:76" ht="13.5" customHeight="1" x14ac:dyDescent="0.25">
      <c r="A81" s="37"/>
      <c r="B81" s="38" t="s">
        <v>68</v>
      </c>
      <c r="C81" s="141" t="s">
        <v>257</v>
      </c>
      <c r="D81" s="142"/>
      <c r="E81" s="142"/>
      <c r="F81" s="142"/>
      <c r="G81" s="143"/>
      <c r="H81" s="142"/>
      <c r="I81" s="142"/>
      <c r="J81" s="142"/>
      <c r="K81" s="144"/>
    </row>
    <row r="82" spans="1:76" x14ac:dyDescent="0.25">
      <c r="A82" s="25" t="s">
        <v>258</v>
      </c>
      <c r="B82" s="26" t="s">
        <v>259</v>
      </c>
      <c r="C82" s="137" t="s">
        <v>260</v>
      </c>
      <c r="D82" s="138"/>
      <c r="E82" s="26" t="s">
        <v>56</v>
      </c>
      <c r="F82" s="27">
        <v>2</v>
      </c>
      <c r="G82" s="28">
        <v>0</v>
      </c>
      <c r="H82" s="27">
        <f t="shared" ref="H82:H90" si="88">F82*AO82</f>
        <v>0</v>
      </c>
      <c r="I82" s="27">
        <f t="shared" ref="I82:I90" si="89">F82*AP82</f>
        <v>0</v>
      </c>
      <c r="J82" s="27">
        <f t="shared" ref="J82:J90" si="90">F82*G82</f>
        <v>0</v>
      </c>
      <c r="K82" s="29" t="s">
        <v>57</v>
      </c>
      <c r="Z82" s="30">
        <f t="shared" ref="Z82:Z90" si="91">IF(AQ82="5",BJ82,0)</f>
        <v>0</v>
      </c>
      <c r="AB82" s="30">
        <f t="shared" ref="AB82:AB90" si="92">IF(AQ82="1",BH82,0)</f>
        <v>0</v>
      </c>
      <c r="AC82" s="30">
        <f t="shared" ref="AC82:AC90" si="93">IF(AQ82="1",BI82,0)</f>
        <v>0</v>
      </c>
      <c r="AD82" s="30">
        <f t="shared" ref="AD82:AD90" si="94">IF(AQ82="7",BH82,0)</f>
        <v>0</v>
      </c>
      <c r="AE82" s="30">
        <f t="shared" ref="AE82:AE90" si="95">IF(AQ82="7",BI82,0)</f>
        <v>0</v>
      </c>
      <c r="AF82" s="30">
        <f t="shared" ref="AF82:AF90" si="96">IF(AQ82="2",BH82,0)</f>
        <v>0</v>
      </c>
      <c r="AG82" s="30">
        <f t="shared" ref="AG82:AG90" si="97">IF(AQ82="2",BI82,0)</f>
        <v>0</v>
      </c>
      <c r="AH82" s="30">
        <f t="shared" ref="AH82:AH90" si="98">IF(AQ82="0",BJ82,0)</f>
        <v>0</v>
      </c>
      <c r="AI82" s="10" t="s">
        <v>50</v>
      </c>
      <c r="AJ82" s="30">
        <f t="shared" ref="AJ82:AJ90" si="99">IF(AN82=0,J82,0)</f>
        <v>0</v>
      </c>
      <c r="AK82" s="30">
        <f t="shared" ref="AK82:AK90" si="100">IF(AN82=12,J82,0)</f>
        <v>0</v>
      </c>
      <c r="AL82" s="30">
        <f t="shared" ref="AL82:AL90" si="101">IF(AN82=21,J82,0)</f>
        <v>0</v>
      </c>
      <c r="AN82" s="30">
        <v>12</v>
      </c>
      <c r="AO82" s="30">
        <f>G82*1</f>
        <v>0</v>
      </c>
      <c r="AP82" s="30">
        <f>G82*(1-1)</f>
        <v>0</v>
      </c>
      <c r="AQ82" s="31" t="s">
        <v>80</v>
      </c>
      <c r="AV82" s="30">
        <f t="shared" ref="AV82:AV90" si="102">AW82+AX82</f>
        <v>0</v>
      </c>
      <c r="AW82" s="30">
        <f t="shared" ref="AW82:AW90" si="103">F82*AO82</f>
        <v>0</v>
      </c>
      <c r="AX82" s="30">
        <f t="shared" ref="AX82:AX90" si="104">F82*AP82</f>
        <v>0</v>
      </c>
      <c r="AY82" s="31" t="s">
        <v>214</v>
      </c>
      <c r="AZ82" s="31" t="s">
        <v>165</v>
      </c>
      <c r="BA82" s="10" t="s">
        <v>60</v>
      </c>
      <c r="BC82" s="30">
        <f t="shared" ref="BC82:BC90" si="105">AW82+AX82</f>
        <v>0</v>
      </c>
      <c r="BD82" s="30">
        <f t="shared" ref="BD82:BD90" si="106">G82/(100-BE82)*100</f>
        <v>0</v>
      </c>
      <c r="BE82" s="30">
        <v>0</v>
      </c>
      <c r="BF82" s="30">
        <f>82</f>
        <v>82</v>
      </c>
      <c r="BH82" s="30">
        <f t="shared" ref="BH82:BH90" si="107">F82*AO82</f>
        <v>0</v>
      </c>
      <c r="BI82" s="30">
        <f t="shared" ref="BI82:BI90" si="108">F82*AP82</f>
        <v>0</v>
      </c>
      <c r="BJ82" s="30">
        <f t="shared" ref="BJ82:BJ90" si="109">F82*G82</f>
        <v>0</v>
      </c>
      <c r="BK82" s="30"/>
      <c r="BL82" s="30">
        <v>725</v>
      </c>
      <c r="BW82" s="30">
        <v>12</v>
      </c>
      <c r="BX82" s="4" t="s">
        <v>260</v>
      </c>
    </row>
    <row r="83" spans="1:76" x14ac:dyDescent="0.25">
      <c r="A83" s="32" t="s">
        <v>261</v>
      </c>
      <c r="B83" s="33" t="s">
        <v>262</v>
      </c>
      <c r="C83" s="139" t="s">
        <v>263</v>
      </c>
      <c r="D83" s="140"/>
      <c r="E83" s="33" t="s">
        <v>56</v>
      </c>
      <c r="F83" s="34">
        <v>2</v>
      </c>
      <c r="G83" s="35">
        <v>0</v>
      </c>
      <c r="H83" s="34">
        <f t="shared" si="88"/>
        <v>0</v>
      </c>
      <c r="I83" s="34">
        <f t="shared" si="89"/>
        <v>0</v>
      </c>
      <c r="J83" s="34">
        <f t="shared" si="90"/>
        <v>0</v>
      </c>
      <c r="K83" s="36" t="s">
        <v>57</v>
      </c>
      <c r="Z83" s="30">
        <f t="shared" si="91"/>
        <v>0</v>
      </c>
      <c r="AB83" s="30">
        <f t="shared" si="92"/>
        <v>0</v>
      </c>
      <c r="AC83" s="30">
        <f t="shared" si="93"/>
        <v>0</v>
      </c>
      <c r="AD83" s="30">
        <f t="shared" si="94"/>
        <v>0</v>
      </c>
      <c r="AE83" s="30">
        <f t="shared" si="95"/>
        <v>0</v>
      </c>
      <c r="AF83" s="30">
        <f t="shared" si="96"/>
        <v>0</v>
      </c>
      <c r="AG83" s="30">
        <f t="shared" si="97"/>
        <v>0</v>
      </c>
      <c r="AH83" s="30">
        <f t="shared" si="98"/>
        <v>0</v>
      </c>
      <c r="AI83" s="10" t="s">
        <v>50</v>
      </c>
      <c r="AJ83" s="30">
        <f t="shared" si="99"/>
        <v>0</v>
      </c>
      <c r="AK83" s="30">
        <f t="shared" si="100"/>
        <v>0</v>
      </c>
      <c r="AL83" s="30">
        <f t="shared" si="101"/>
        <v>0</v>
      </c>
      <c r="AN83" s="30">
        <v>12</v>
      </c>
      <c r="AO83" s="30">
        <f>G83*0.249367089</f>
        <v>0</v>
      </c>
      <c r="AP83" s="30">
        <f>G83*(1-0.249367089)</f>
        <v>0</v>
      </c>
      <c r="AQ83" s="31" t="s">
        <v>80</v>
      </c>
      <c r="AV83" s="30">
        <f t="shared" si="102"/>
        <v>0</v>
      </c>
      <c r="AW83" s="30">
        <f t="shared" si="103"/>
        <v>0</v>
      </c>
      <c r="AX83" s="30">
        <f t="shared" si="104"/>
        <v>0</v>
      </c>
      <c r="AY83" s="31" t="s">
        <v>214</v>
      </c>
      <c r="AZ83" s="31" t="s">
        <v>165</v>
      </c>
      <c r="BA83" s="10" t="s">
        <v>60</v>
      </c>
      <c r="BC83" s="30">
        <f t="shared" si="105"/>
        <v>0</v>
      </c>
      <c r="BD83" s="30">
        <f t="shared" si="106"/>
        <v>0</v>
      </c>
      <c r="BE83" s="30">
        <v>0</v>
      </c>
      <c r="BF83" s="30">
        <f>83</f>
        <v>83</v>
      </c>
      <c r="BH83" s="30">
        <f t="shared" si="107"/>
        <v>0</v>
      </c>
      <c r="BI83" s="30">
        <f t="shared" si="108"/>
        <v>0</v>
      </c>
      <c r="BJ83" s="30">
        <f t="shared" si="109"/>
        <v>0</v>
      </c>
      <c r="BK83" s="30"/>
      <c r="BL83" s="30">
        <v>725</v>
      </c>
      <c r="BW83" s="30">
        <v>12</v>
      </c>
      <c r="BX83" s="4" t="s">
        <v>263</v>
      </c>
    </row>
    <row r="84" spans="1:76" x14ac:dyDescent="0.25">
      <c r="A84" s="32" t="s">
        <v>264</v>
      </c>
      <c r="B84" s="33" t="s">
        <v>265</v>
      </c>
      <c r="C84" s="139" t="s">
        <v>266</v>
      </c>
      <c r="D84" s="140"/>
      <c r="E84" s="33" t="s">
        <v>56</v>
      </c>
      <c r="F84" s="34">
        <v>1</v>
      </c>
      <c r="G84" s="35">
        <v>0</v>
      </c>
      <c r="H84" s="34">
        <f t="shared" si="88"/>
        <v>0</v>
      </c>
      <c r="I84" s="34">
        <f t="shared" si="89"/>
        <v>0</v>
      </c>
      <c r="J84" s="34">
        <f t="shared" si="90"/>
        <v>0</v>
      </c>
      <c r="K84" s="36" t="s">
        <v>57</v>
      </c>
      <c r="Z84" s="30">
        <f t="shared" si="91"/>
        <v>0</v>
      </c>
      <c r="AB84" s="30">
        <f t="shared" si="92"/>
        <v>0</v>
      </c>
      <c r="AC84" s="30">
        <f t="shared" si="93"/>
        <v>0</v>
      </c>
      <c r="AD84" s="30">
        <f t="shared" si="94"/>
        <v>0</v>
      </c>
      <c r="AE84" s="30">
        <f t="shared" si="95"/>
        <v>0</v>
      </c>
      <c r="AF84" s="30">
        <f t="shared" si="96"/>
        <v>0</v>
      </c>
      <c r="AG84" s="30">
        <f t="shared" si="97"/>
        <v>0</v>
      </c>
      <c r="AH84" s="30">
        <f t="shared" si="98"/>
        <v>0</v>
      </c>
      <c r="AI84" s="10" t="s">
        <v>50</v>
      </c>
      <c r="AJ84" s="30">
        <f t="shared" si="99"/>
        <v>0</v>
      </c>
      <c r="AK84" s="30">
        <f t="shared" si="100"/>
        <v>0</v>
      </c>
      <c r="AL84" s="30">
        <f t="shared" si="101"/>
        <v>0</v>
      </c>
      <c r="AN84" s="30">
        <v>12</v>
      </c>
      <c r="AO84" s="30">
        <f>G84*0.266676577</f>
        <v>0</v>
      </c>
      <c r="AP84" s="30">
        <f>G84*(1-0.266676577)</f>
        <v>0</v>
      </c>
      <c r="AQ84" s="31" t="s">
        <v>80</v>
      </c>
      <c r="AV84" s="30">
        <f t="shared" si="102"/>
        <v>0</v>
      </c>
      <c r="AW84" s="30">
        <f t="shared" si="103"/>
        <v>0</v>
      </c>
      <c r="AX84" s="30">
        <f t="shared" si="104"/>
        <v>0</v>
      </c>
      <c r="AY84" s="31" t="s">
        <v>214</v>
      </c>
      <c r="AZ84" s="31" t="s">
        <v>165</v>
      </c>
      <c r="BA84" s="10" t="s">
        <v>60</v>
      </c>
      <c r="BC84" s="30">
        <f t="shared" si="105"/>
        <v>0</v>
      </c>
      <c r="BD84" s="30">
        <f t="shared" si="106"/>
        <v>0</v>
      </c>
      <c r="BE84" s="30">
        <v>0</v>
      </c>
      <c r="BF84" s="30">
        <f>84</f>
        <v>84</v>
      </c>
      <c r="BH84" s="30">
        <f t="shared" si="107"/>
        <v>0</v>
      </c>
      <c r="BI84" s="30">
        <f t="shared" si="108"/>
        <v>0</v>
      </c>
      <c r="BJ84" s="30">
        <f t="shared" si="109"/>
        <v>0</v>
      </c>
      <c r="BK84" s="30"/>
      <c r="BL84" s="30">
        <v>725</v>
      </c>
      <c r="BW84" s="30">
        <v>12</v>
      </c>
      <c r="BX84" s="4" t="s">
        <v>266</v>
      </c>
    </row>
    <row r="85" spans="1:76" x14ac:dyDescent="0.25">
      <c r="A85" s="32" t="s">
        <v>98</v>
      </c>
      <c r="B85" s="33" t="s">
        <v>267</v>
      </c>
      <c r="C85" s="139" t="s">
        <v>268</v>
      </c>
      <c r="D85" s="140"/>
      <c r="E85" s="33" t="s">
        <v>56</v>
      </c>
      <c r="F85" s="34">
        <v>1</v>
      </c>
      <c r="G85" s="35">
        <v>0</v>
      </c>
      <c r="H85" s="34">
        <f t="shared" si="88"/>
        <v>0</v>
      </c>
      <c r="I85" s="34">
        <f t="shared" si="89"/>
        <v>0</v>
      </c>
      <c r="J85" s="34">
        <f t="shared" si="90"/>
        <v>0</v>
      </c>
      <c r="K85" s="36" t="s">
        <v>57</v>
      </c>
      <c r="Z85" s="30">
        <f t="shared" si="91"/>
        <v>0</v>
      </c>
      <c r="AB85" s="30">
        <f t="shared" si="92"/>
        <v>0</v>
      </c>
      <c r="AC85" s="30">
        <f t="shared" si="93"/>
        <v>0</v>
      </c>
      <c r="AD85" s="30">
        <f t="shared" si="94"/>
        <v>0</v>
      </c>
      <c r="AE85" s="30">
        <f t="shared" si="95"/>
        <v>0</v>
      </c>
      <c r="AF85" s="30">
        <f t="shared" si="96"/>
        <v>0</v>
      </c>
      <c r="AG85" s="30">
        <f t="shared" si="97"/>
        <v>0</v>
      </c>
      <c r="AH85" s="30">
        <f t="shared" si="98"/>
        <v>0</v>
      </c>
      <c r="AI85" s="10" t="s">
        <v>50</v>
      </c>
      <c r="AJ85" s="30">
        <f t="shared" si="99"/>
        <v>0</v>
      </c>
      <c r="AK85" s="30">
        <f t="shared" si="100"/>
        <v>0</v>
      </c>
      <c r="AL85" s="30">
        <f t="shared" si="101"/>
        <v>0</v>
      </c>
      <c r="AN85" s="30">
        <v>12</v>
      </c>
      <c r="AO85" s="30">
        <f>G85*0.643144348</f>
        <v>0</v>
      </c>
      <c r="AP85" s="30">
        <f>G85*(1-0.643144348)</f>
        <v>0</v>
      </c>
      <c r="AQ85" s="31" t="s">
        <v>80</v>
      </c>
      <c r="AV85" s="30">
        <f t="shared" si="102"/>
        <v>0</v>
      </c>
      <c r="AW85" s="30">
        <f t="shared" si="103"/>
        <v>0</v>
      </c>
      <c r="AX85" s="30">
        <f t="shared" si="104"/>
        <v>0</v>
      </c>
      <c r="AY85" s="31" t="s">
        <v>214</v>
      </c>
      <c r="AZ85" s="31" t="s">
        <v>165</v>
      </c>
      <c r="BA85" s="10" t="s">
        <v>60</v>
      </c>
      <c r="BC85" s="30">
        <f t="shared" si="105"/>
        <v>0</v>
      </c>
      <c r="BD85" s="30">
        <f t="shared" si="106"/>
        <v>0</v>
      </c>
      <c r="BE85" s="30">
        <v>0</v>
      </c>
      <c r="BF85" s="30">
        <f>85</f>
        <v>85</v>
      </c>
      <c r="BH85" s="30">
        <f t="shared" si="107"/>
        <v>0</v>
      </c>
      <c r="BI85" s="30">
        <f t="shared" si="108"/>
        <v>0</v>
      </c>
      <c r="BJ85" s="30">
        <f t="shared" si="109"/>
        <v>0</v>
      </c>
      <c r="BK85" s="30"/>
      <c r="BL85" s="30">
        <v>725</v>
      </c>
      <c r="BW85" s="30">
        <v>12</v>
      </c>
      <c r="BX85" s="4" t="s">
        <v>268</v>
      </c>
    </row>
    <row r="86" spans="1:76" x14ac:dyDescent="0.25">
      <c r="A86" s="32" t="s">
        <v>269</v>
      </c>
      <c r="B86" s="33" t="s">
        <v>270</v>
      </c>
      <c r="C86" s="139" t="s">
        <v>271</v>
      </c>
      <c r="D86" s="140"/>
      <c r="E86" s="33" t="s">
        <v>64</v>
      </c>
      <c r="F86" s="34">
        <v>1</v>
      </c>
      <c r="G86" s="35">
        <v>0</v>
      </c>
      <c r="H86" s="34">
        <f t="shared" si="88"/>
        <v>0</v>
      </c>
      <c r="I86" s="34">
        <f t="shared" si="89"/>
        <v>0</v>
      </c>
      <c r="J86" s="34">
        <f t="shared" si="90"/>
        <v>0</v>
      </c>
      <c r="K86" s="36" t="s">
        <v>57</v>
      </c>
      <c r="Z86" s="30">
        <f t="shared" si="91"/>
        <v>0</v>
      </c>
      <c r="AB86" s="30">
        <f t="shared" si="92"/>
        <v>0</v>
      </c>
      <c r="AC86" s="30">
        <f t="shared" si="93"/>
        <v>0</v>
      </c>
      <c r="AD86" s="30">
        <f t="shared" si="94"/>
        <v>0</v>
      </c>
      <c r="AE86" s="30">
        <f t="shared" si="95"/>
        <v>0</v>
      </c>
      <c r="AF86" s="30">
        <f t="shared" si="96"/>
        <v>0</v>
      </c>
      <c r="AG86" s="30">
        <f t="shared" si="97"/>
        <v>0</v>
      </c>
      <c r="AH86" s="30">
        <f t="shared" si="98"/>
        <v>0</v>
      </c>
      <c r="AI86" s="10" t="s">
        <v>50</v>
      </c>
      <c r="AJ86" s="30">
        <f t="shared" si="99"/>
        <v>0</v>
      </c>
      <c r="AK86" s="30">
        <f t="shared" si="100"/>
        <v>0</v>
      </c>
      <c r="AL86" s="30">
        <f t="shared" si="101"/>
        <v>0</v>
      </c>
      <c r="AN86" s="30">
        <v>12</v>
      </c>
      <c r="AO86" s="30">
        <f>G86*0.006680912</f>
        <v>0</v>
      </c>
      <c r="AP86" s="30">
        <f>G86*(1-0.006680912)</f>
        <v>0</v>
      </c>
      <c r="AQ86" s="31" t="s">
        <v>80</v>
      </c>
      <c r="AV86" s="30">
        <f t="shared" si="102"/>
        <v>0</v>
      </c>
      <c r="AW86" s="30">
        <f t="shared" si="103"/>
        <v>0</v>
      </c>
      <c r="AX86" s="30">
        <f t="shared" si="104"/>
        <v>0</v>
      </c>
      <c r="AY86" s="31" t="s">
        <v>214</v>
      </c>
      <c r="AZ86" s="31" t="s">
        <v>165</v>
      </c>
      <c r="BA86" s="10" t="s">
        <v>60</v>
      </c>
      <c r="BC86" s="30">
        <f t="shared" si="105"/>
        <v>0</v>
      </c>
      <c r="BD86" s="30">
        <f t="shared" si="106"/>
        <v>0</v>
      </c>
      <c r="BE86" s="30">
        <v>0</v>
      </c>
      <c r="BF86" s="30">
        <f>86</f>
        <v>86</v>
      </c>
      <c r="BH86" s="30">
        <f t="shared" si="107"/>
        <v>0</v>
      </c>
      <c r="BI86" s="30">
        <f t="shared" si="108"/>
        <v>0</v>
      </c>
      <c r="BJ86" s="30">
        <f t="shared" si="109"/>
        <v>0</v>
      </c>
      <c r="BK86" s="30"/>
      <c r="BL86" s="30">
        <v>725</v>
      </c>
      <c r="BW86" s="30">
        <v>12</v>
      </c>
      <c r="BX86" s="4" t="s">
        <v>271</v>
      </c>
    </row>
    <row r="87" spans="1:76" x14ac:dyDescent="0.25">
      <c r="A87" s="32" t="s">
        <v>272</v>
      </c>
      <c r="B87" s="33" t="s">
        <v>273</v>
      </c>
      <c r="C87" s="139" t="s">
        <v>274</v>
      </c>
      <c r="D87" s="140"/>
      <c r="E87" s="33" t="s">
        <v>56</v>
      </c>
      <c r="F87" s="34">
        <v>1</v>
      </c>
      <c r="G87" s="35">
        <v>0</v>
      </c>
      <c r="H87" s="34">
        <f t="shared" si="88"/>
        <v>0</v>
      </c>
      <c r="I87" s="34">
        <f t="shared" si="89"/>
        <v>0</v>
      </c>
      <c r="J87" s="34">
        <f t="shared" si="90"/>
        <v>0</v>
      </c>
      <c r="K87" s="36" t="s">
        <v>57</v>
      </c>
      <c r="Z87" s="30">
        <f t="shared" si="91"/>
        <v>0</v>
      </c>
      <c r="AB87" s="30">
        <f t="shared" si="92"/>
        <v>0</v>
      </c>
      <c r="AC87" s="30">
        <f t="shared" si="93"/>
        <v>0</v>
      </c>
      <c r="AD87" s="30">
        <f t="shared" si="94"/>
        <v>0</v>
      </c>
      <c r="AE87" s="30">
        <f t="shared" si="95"/>
        <v>0</v>
      </c>
      <c r="AF87" s="30">
        <f t="shared" si="96"/>
        <v>0</v>
      </c>
      <c r="AG87" s="30">
        <f t="shared" si="97"/>
        <v>0</v>
      </c>
      <c r="AH87" s="30">
        <f t="shared" si="98"/>
        <v>0</v>
      </c>
      <c r="AI87" s="10" t="s">
        <v>50</v>
      </c>
      <c r="AJ87" s="30">
        <f t="shared" si="99"/>
        <v>0</v>
      </c>
      <c r="AK87" s="30">
        <f t="shared" si="100"/>
        <v>0</v>
      </c>
      <c r="AL87" s="30">
        <f t="shared" si="101"/>
        <v>0</v>
      </c>
      <c r="AN87" s="30">
        <v>12</v>
      </c>
      <c r="AO87" s="30">
        <f>G87*0.018457576</f>
        <v>0</v>
      </c>
      <c r="AP87" s="30">
        <f>G87*(1-0.018457576)</f>
        <v>0</v>
      </c>
      <c r="AQ87" s="31" t="s">
        <v>80</v>
      </c>
      <c r="AV87" s="30">
        <f t="shared" si="102"/>
        <v>0</v>
      </c>
      <c r="AW87" s="30">
        <f t="shared" si="103"/>
        <v>0</v>
      </c>
      <c r="AX87" s="30">
        <f t="shared" si="104"/>
        <v>0</v>
      </c>
      <c r="AY87" s="31" t="s">
        <v>214</v>
      </c>
      <c r="AZ87" s="31" t="s">
        <v>165</v>
      </c>
      <c r="BA87" s="10" t="s">
        <v>60</v>
      </c>
      <c r="BC87" s="30">
        <f t="shared" si="105"/>
        <v>0</v>
      </c>
      <c r="BD87" s="30">
        <f t="shared" si="106"/>
        <v>0</v>
      </c>
      <c r="BE87" s="30">
        <v>0</v>
      </c>
      <c r="BF87" s="30">
        <f>87</f>
        <v>87</v>
      </c>
      <c r="BH87" s="30">
        <f t="shared" si="107"/>
        <v>0</v>
      </c>
      <c r="BI87" s="30">
        <f t="shared" si="108"/>
        <v>0</v>
      </c>
      <c r="BJ87" s="30">
        <f t="shared" si="109"/>
        <v>0</v>
      </c>
      <c r="BK87" s="30"/>
      <c r="BL87" s="30">
        <v>725</v>
      </c>
      <c r="BW87" s="30">
        <v>12</v>
      </c>
      <c r="BX87" s="4" t="s">
        <v>274</v>
      </c>
    </row>
    <row r="88" spans="1:76" x14ac:dyDescent="0.25">
      <c r="A88" s="32" t="s">
        <v>153</v>
      </c>
      <c r="B88" s="33" t="s">
        <v>275</v>
      </c>
      <c r="C88" s="139" t="s">
        <v>276</v>
      </c>
      <c r="D88" s="140"/>
      <c r="E88" s="33" t="s">
        <v>56</v>
      </c>
      <c r="F88" s="34">
        <v>1</v>
      </c>
      <c r="G88" s="35">
        <v>0</v>
      </c>
      <c r="H88" s="34">
        <f t="shared" si="88"/>
        <v>0</v>
      </c>
      <c r="I88" s="34">
        <f t="shared" si="89"/>
        <v>0</v>
      </c>
      <c r="J88" s="34">
        <f t="shared" si="90"/>
        <v>0</v>
      </c>
      <c r="K88" s="36" t="s">
        <v>57</v>
      </c>
      <c r="Z88" s="30">
        <f t="shared" si="91"/>
        <v>0</v>
      </c>
      <c r="AB88" s="30">
        <f t="shared" si="92"/>
        <v>0</v>
      </c>
      <c r="AC88" s="30">
        <f t="shared" si="93"/>
        <v>0</v>
      </c>
      <c r="AD88" s="30">
        <f t="shared" si="94"/>
        <v>0</v>
      </c>
      <c r="AE88" s="30">
        <f t="shared" si="95"/>
        <v>0</v>
      </c>
      <c r="AF88" s="30">
        <f t="shared" si="96"/>
        <v>0</v>
      </c>
      <c r="AG88" s="30">
        <f t="shared" si="97"/>
        <v>0</v>
      </c>
      <c r="AH88" s="30">
        <f t="shared" si="98"/>
        <v>0</v>
      </c>
      <c r="AI88" s="10" t="s">
        <v>50</v>
      </c>
      <c r="AJ88" s="30">
        <f t="shared" si="99"/>
        <v>0</v>
      </c>
      <c r="AK88" s="30">
        <f t="shared" si="100"/>
        <v>0</v>
      </c>
      <c r="AL88" s="30">
        <f t="shared" si="101"/>
        <v>0</v>
      </c>
      <c r="AN88" s="30">
        <v>12</v>
      </c>
      <c r="AO88" s="30">
        <f>G88*0.340434783</f>
        <v>0</v>
      </c>
      <c r="AP88" s="30">
        <f>G88*(1-0.340434783)</f>
        <v>0</v>
      </c>
      <c r="AQ88" s="31" t="s">
        <v>80</v>
      </c>
      <c r="AV88" s="30">
        <f t="shared" si="102"/>
        <v>0</v>
      </c>
      <c r="AW88" s="30">
        <f t="shared" si="103"/>
        <v>0</v>
      </c>
      <c r="AX88" s="30">
        <f t="shared" si="104"/>
        <v>0</v>
      </c>
      <c r="AY88" s="31" t="s">
        <v>214</v>
      </c>
      <c r="AZ88" s="31" t="s">
        <v>165</v>
      </c>
      <c r="BA88" s="10" t="s">
        <v>60</v>
      </c>
      <c r="BC88" s="30">
        <f t="shared" si="105"/>
        <v>0</v>
      </c>
      <c r="BD88" s="30">
        <f t="shared" si="106"/>
        <v>0</v>
      </c>
      <c r="BE88" s="30">
        <v>0</v>
      </c>
      <c r="BF88" s="30">
        <f>88</f>
        <v>88</v>
      </c>
      <c r="BH88" s="30">
        <f t="shared" si="107"/>
        <v>0</v>
      </c>
      <c r="BI88" s="30">
        <f t="shared" si="108"/>
        <v>0</v>
      </c>
      <c r="BJ88" s="30">
        <f t="shared" si="109"/>
        <v>0</v>
      </c>
      <c r="BK88" s="30"/>
      <c r="BL88" s="30">
        <v>725</v>
      </c>
      <c r="BW88" s="30">
        <v>12</v>
      </c>
      <c r="BX88" s="4" t="s">
        <v>276</v>
      </c>
    </row>
    <row r="89" spans="1:76" x14ac:dyDescent="0.25">
      <c r="A89" s="32" t="s">
        <v>277</v>
      </c>
      <c r="B89" s="33" t="s">
        <v>278</v>
      </c>
      <c r="C89" s="139" t="s">
        <v>279</v>
      </c>
      <c r="D89" s="140"/>
      <c r="E89" s="33" t="s">
        <v>218</v>
      </c>
      <c r="F89" s="34">
        <v>1</v>
      </c>
      <c r="G89" s="35">
        <v>0</v>
      </c>
      <c r="H89" s="34">
        <f t="shared" si="88"/>
        <v>0</v>
      </c>
      <c r="I89" s="34">
        <f t="shared" si="89"/>
        <v>0</v>
      </c>
      <c r="J89" s="34">
        <f t="shared" si="90"/>
        <v>0</v>
      </c>
      <c r="K89" s="36" t="s">
        <v>57</v>
      </c>
      <c r="Z89" s="30">
        <f t="shared" si="91"/>
        <v>0</v>
      </c>
      <c r="AB89" s="30">
        <f t="shared" si="92"/>
        <v>0</v>
      </c>
      <c r="AC89" s="30">
        <f t="shared" si="93"/>
        <v>0</v>
      </c>
      <c r="AD89" s="30">
        <f t="shared" si="94"/>
        <v>0</v>
      </c>
      <c r="AE89" s="30">
        <f t="shared" si="95"/>
        <v>0</v>
      </c>
      <c r="AF89" s="30">
        <f t="shared" si="96"/>
        <v>0</v>
      </c>
      <c r="AG89" s="30">
        <f t="shared" si="97"/>
        <v>0</v>
      </c>
      <c r="AH89" s="30">
        <f t="shared" si="98"/>
        <v>0</v>
      </c>
      <c r="AI89" s="10" t="s">
        <v>50</v>
      </c>
      <c r="AJ89" s="30">
        <f t="shared" si="99"/>
        <v>0</v>
      </c>
      <c r="AK89" s="30">
        <f t="shared" si="100"/>
        <v>0</v>
      </c>
      <c r="AL89" s="30">
        <f t="shared" si="101"/>
        <v>0</v>
      </c>
      <c r="AN89" s="30">
        <v>12</v>
      </c>
      <c r="AO89" s="30">
        <f>G89*0.670928889</f>
        <v>0</v>
      </c>
      <c r="AP89" s="30">
        <f>G89*(1-0.670928889)</f>
        <v>0</v>
      </c>
      <c r="AQ89" s="31" t="s">
        <v>80</v>
      </c>
      <c r="AV89" s="30">
        <f t="shared" si="102"/>
        <v>0</v>
      </c>
      <c r="AW89" s="30">
        <f t="shared" si="103"/>
        <v>0</v>
      </c>
      <c r="AX89" s="30">
        <f t="shared" si="104"/>
        <v>0</v>
      </c>
      <c r="AY89" s="31" t="s">
        <v>214</v>
      </c>
      <c r="AZ89" s="31" t="s">
        <v>165</v>
      </c>
      <c r="BA89" s="10" t="s">
        <v>60</v>
      </c>
      <c r="BC89" s="30">
        <f t="shared" si="105"/>
        <v>0</v>
      </c>
      <c r="BD89" s="30">
        <f t="shared" si="106"/>
        <v>0</v>
      </c>
      <c r="BE89" s="30">
        <v>0</v>
      </c>
      <c r="BF89" s="30">
        <f>89</f>
        <v>89</v>
      </c>
      <c r="BH89" s="30">
        <f t="shared" si="107"/>
        <v>0</v>
      </c>
      <c r="BI89" s="30">
        <f t="shared" si="108"/>
        <v>0</v>
      </c>
      <c r="BJ89" s="30">
        <f t="shared" si="109"/>
        <v>0</v>
      </c>
      <c r="BK89" s="30"/>
      <c r="BL89" s="30">
        <v>725</v>
      </c>
      <c r="BW89" s="30">
        <v>12</v>
      </c>
      <c r="BX89" s="4" t="s">
        <v>279</v>
      </c>
    </row>
    <row r="90" spans="1:76" x14ac:dyDescent="0.25">
      <c r="A90" s="32" t="s">
        <v>280</v>
      </c>
      <c r="B90" s="33" t="s">
        <v>281</v>
      </c>
      <c r="C90" s="139" t="s">
        <v>282</v>
      </c>
      <c r="D90" s="140"/>
      <c r="E90" s="33" t="s">
        <v>56</v>
      </c>
      <c r="F90" s="34">
        <v>1</v>
      </c>
      <c r="G90" s="35">
        <v>0</v>
      </c>
      <c r="H90" s="34">
        <f t="shared" si="88"/>
        <v>0</v>
      </c>
      <c r="I90" s="34">
        <f t="shared" si="89"/>
        <v>0</v>
      </c>
      <c r="J90" s="34">
        <f t="shared" si="90"/>
        <v>0</v>
      </c>
      <c r="K90" s="36" t="s">
        <v>57</v>
      </c>
      <c r="Z90" s="30">
        <f t="shared" si="91"/>
        <v>0</v>
      </c>
      <c r="AB90" s="30">
        <f t="shared" si="92"/>
        <v>0</v>
      </c>
      <c r="AC90" s="30">
        <f t="shared" si="93"/>
        <v>0</v>
      </c>
      <c r="AD90" s="30">
        <f t="shared" si="94"/>
        <v>0</v>
      </c>
      <c r="AE90" s="30">
        <f t="shared" si="95"/>
        <v>0</v>
      </c>
      <c r="AF90" s="30">
        <f t="shared" si="96"/>
        <v>0</v>
      </c>
      <c r="AG90" s="30">
        <f t="shared" si="97"/>
        <v>0</v>
      </c>
      <c r="AH90" s="30">
        <f t="shared" si="98"/>
        <v>0</v>
      </c>
      <c r="AI90" s="10" t="s">
        <v>50</v>
      </c>
      <c r="AJ90" s="30">
        <f t="shared" si="99"/>
        <v>0</v>
      </c>
      <c r="AK90" s="30">
        <f t="shared" si="100"/>
        <v>0</v>
      </c>
      <c r="AL90" s="30">
        <f t="shared" si="101"/>
        <v>0</v>
      </c>
      <c r="AN90" s="30">
        <v>12</v>
      </c>
      <c r="AO90" s="30">
        <f>G90*0.873548879</f>
        <v>0</v>
      </c>
      <c r="AP90" s="30">
        <f>G90*(1-0.873548879)</f>
        <v>0</v>
      </c>
      <c r="AQ90" s="31" t="s">
        <v>80</v>
      </c>
      <c r="AV90" s="30">
        <f t="shared" si="102"/>
        <v>0</v>
      </c>
      <c r="AW90" s="30">
        <f t="shared" si="103"/>
        <v>0</v>
      </c>
      <c r="AX90" s="30">
        <f t="shared" si="104"/>
        <v>0</v>
      </c>
      <c r="AY90" s="31" t="s">
        <v>214</v>
      </c>
      <c r="AZ90" s="31" t="s">
        <v>165</v>
      </c>
      <c r="BA90" s="10" t="s">
        <v>60</v>
      </c>
      <c r="BC90" s="30">
        <f t="shared" si="105"/>
        <v>0</v>
      </c>
      <c r="BD90" s="30">
        <f t="shared" si="106"/>
        <v>0</v>
      </c>
      <c r="BE90" s="30">
        <v>0</v>
      </c>
      <c r="BF90" s="30">
        <f>90</f>
        <v>90</v>
      </c>
      <c r="BH90" s="30">
        <f t="shared" si="107"/>
        <v>0</v>
      </c>
      <c r="BI90" s="30">
        <f t="shared" si="108"/>
        <v>0</v>
      </c>
      <c r="BJ90" s="30">
        <f t="shared" si="109"/>
        <v>0</v>
      </c>
      <c r="BK90" s="30"/>
      <c r="BL90" s="30">
        <v>725</v>
      </c>
      <c r="BW90" s="30">
        <v>12</v>
      </c>
      <c r="BX90" s="4" t="s">
        <v>282</v>
      </c>
    </row>
    <row r="91" spans="1:76" ht="13.5" customHeight="1" x14ac:dyDescent="0.25">
      <c r="A91" s="37"/>
      <c r="B91" s="38" t="s">
        <v>68</v>
      </c>
      <c r="C91" s="141" t="s">
        <v>283</v>
      </c>
      <c r="D91" s="142"/>
      <c r="E91" s="142"/>
      <c r="F91" s="142"/>
      <c r="G91" s="143"/>
      <c r="H91" s="142"/>
      <c r="I91" s="142"/>
      <c r="J91" s="142"/>
      <c r="K91" s="144"/>
    </row>
    <row r="92" spans="1:76" x14ac:dyDescent="0.25">
      <c r="A92" s="25" t="s">
        <v>284</v>
      </c>
      <c r="B92" s="26" t="s">
        <v>285</v>
      </c>
      <c r="C92" s="137" t="s">
        <v>286</v>
      </c>
      <c r="D92" s="138"/>
      <c r="E92" s="26" t="s">
        <v>56</v>
      </c>
      <c r="F92" s="27">
        <v>2</v>
      </c>
      <c r="G92" s="28">
        <v>0</v>
      </c>
      <c r="H92" s="27">
        <f>F92*AO92</f>
        <v>0</v>
      </c>
      <c r="I92" s="27">
        <f>F92*AP92</f>
        <v>0</v>
      </c>
      <c r="J92" s="27">
        <f>F92*G92</f>
        <v>0</v>
      </c>
      <c r="K92" s="29" t="s">
        <v>57</v>
      </c>
      <c r="Z92" s="30">
        <f>IF(AQ92="5",BJ92,0)</f>
        <v>0</v>
      </c>
      <c r="AB92" s="30">
        <f>IF(AQ92="1",BH92,0)</f>
        <v>0</v>
      </c>
      <c r="AC92" s="30">
        <f>IF(AQ92="1",BI92,0)</f>
        <v>0</v>
      </c>
      <c r="AD92" s="30">
        <f>IF(AQ92="7",BH92,0)</f>
        <v>0</v>
      </c>
      <c r="AE92" s="30">
        <f>IF(AQ92="7",BI92,0)</f>
        <v>0</v>
      </c>
      <c r="AF92" s="30">
        <f>IF(AQ92="2",BH92,0)</f>
        <v>0</v>
      </c>
      <c r="AG92" s="30">
        <f>IF(AQ92="2",BI92,0)</f>
        <v>0</v>
      </c>
      <c r="AH92" s="30">
        <f>IF(AQ92="0",BJ92,0)</f>
        <v>0</v>
      </c>
      <c r="AI92" s="10" t="s">
        <v>50</v>
      </c>
      <c r="AJ92" s="30">
        <f>IF(AN92=0,J92,0)</f>
        <v>0</v>
      </c>
      <c r="AK92" s="30">
        <f>IF(AN92=12,J92,0)</f>
        <v>0</v>
      </c>
      <c r="AL92" s="30">
        <f>IF(AN92=21,J92,0)</f>
        <v>0</v>
      </c>
      <c r="AN92" s="30">
        <v>12</v>
      </c>
      <c r="AO92" s="30">
        <f>G92*0.968896476</f>
        <v>0</v>
      </c>
      <c r="AP92" s="30">
        <f>G92*(1-0.968896476)</f>
        <v>0</v>
      </c>
      <c r="AQ92" s="31" t="s">
        <v>80</v>
      </c>
      <c r="AV92" s="30">
        <f>AW92+AX92</f>
        <v>0</v>
      </c>
      <c r="AW92" s="30">
        <f>F92*AO92</f>
        <v>0</v>
      </c>
      <c r="AX92" s="30">
        <f>F92*AP92</f>
        <v>0</v>
      </c>
      <c r="AY92" s="31" t="s">
        <v>214</v>
      </c>
      <c r="AZ92" s="31" t="s">
        <v>165</v>
      </c>
      <c r="BA92" s="10" t="s">
        <v>60</v>
      </c>
      <c r="BC92" s="30">
        <f>AW92+AX92</f>
        <v>0</v>
      </c>
      <c r="BD92" s="30">
        <f>G92/(100-BE92)*100</f>
        <v>0</v>
      </c>
      <c r="BE92" s="30">
        <v>0</v>
      </c>
      <c r="BF92" s="30">
        <f>92</f>
        <v>92</v>
      </c>
      <c r="BH92" s="30">
        <f>F92*AO92</f>
        <v>0</v>
      </c>
      <c r="BI92" s="30">
        <f>F92*AP92</f>
        <v>0</v>
      </c>
      <c r="BJ92" s="30">
        <f>F92*G92</f>
        <v>0</v>
      </c>
      <c r="BK92" s="30"/>
      <c r="BL92" s="30">
        <v>725</v>
      </c>
      <c r="BW92" s="30">
        <v>12</v>
      </c>
      <c r="BX92" s="4" t="s">
        <v>286</v>
      </c>
    </row>
    <row r="93" spans="1:76" ht="13.5" customHeight="1" x14ac:dyDescent="0.25">
      <c r="A93" s="37"/>
      <c r="B93" s="38" t="s">
        <v>68</v>
      </c>
      <c r="C93" s="141" t="s">
        <v>287</v>
      </c>
      <c r="D93" s="142"/>
      <c r="E93" s="142"/>
      <c r="F93" s="142"/>
      <c r="G93" s="143"/>
      <c r="H93" s="142"/>
      <c r="I93" s="142"/>
      <c r="J93" s="142"/>
      <c r="K93" s="144"/>
    </row>
    <row r="94" spans="1:76" x14ac:dyDescent="0.25">
      <c r="A94" s="25" t="s">
        <v>288</v>
      </c>
      <c r="B94" s="26" t="s">
        <v>289</v>
      </c>
      <c r="C94" s="137" t="s">
        <v>290</v>
      </c>
      <c r="D94" s="138"/>
      <c r="E94" s="26" t="s">
        <v>86</v>
      </c>
      <c r="F94" s="27">
        <v>0.60829999999999995</v>
      </c>
      <c r="G94" s="28">
        <v>0</v>
      </c>
      <c r="H94" s="27">
        <f>F94*AO94</f>
        <v>0</v>
      </c>
      <c r="I94" s="27">
        <f>F94*AP94</f>
        <v>0</v>
      </c>
      <c r="J94" s="27">
        <f>F94*G94</f>
        <v>0</v>
      </c>
      <c r="K94" s="29" t="s">
        <v>57</v>
      </c>
      <c r="Z94" s="30">
        <f>IF(AQ94="5",BJ94,0)</f>
        <v>0</v>
      </c>
      <c r="AB94" s="30">
        <f>IF(AQ94="1",BH94,0)</f>
        <v>0</v>
      </c>
      <c r="AC94" s="30">
        <f>IF(AQ94="1",BI94,0)</f>
        <v>0</v>
      </c>
      <c r="AD94" s="30">
        <f>IF(AQ94="7",BH94,0)</f>
        <v>0</v>
      </c>
      <c r="AE94" s="30">
        <f>IF(AQ94="7",BI94,0)</f>
        <v>0</v>
      </c>
      <c r="AF94" s="30">
        <f>IF(AQ94="2",BH94,0)</f>
        <v>0</v>
      </c>
      <c r="AG94" s="30">
        <f>IF(AQ94="2",BI94,0)</f>
        <v>0</v>
      </c>
      <c r="AH94" s="30">
        <f>IF(AQ94="0",BJ94,0)</f>
        <v>0</v>
      </c>
      <c r="AI94" s="10" t="s">
        <v>50</v>
      </c>
      <c r="AJ94" s="30">
        <f>IF(AN94=0,J94,0)</f>
        <v>0</v>
      </c>
      <c r="AK94" s="30">
        <f>IF(AN94=12,J94,0)</f>
        <v>0</v>
      </c>
      <c r="AL94" s="30">
        <f>IF(AN94=21,J94,0)</f>
        <v>0</v>
      </c>
      <c r="AN94" s="30">
        <v>12</v>
      </c>
      <c r="AO94" s="30">
        <f>G94*0</f>
        <v>0</v>
      </c>
      <c r="AP94" s="30">
        <f>G94*(1-0)</f>
        <v>0</v>
      </c>
      <c r="AQ94" s="31" t="s">
        <v>73</v>
      </c>
      <c r="AV94" s="30">
        <f>AW94+AX94</f>
        <v>0</v>
      </c>
      <c r="AW94" s="30">
        <f>F94*AO94</f>
        <v>0</v>
      </c>
      <c r="AX94" s="30">
        <f>F94*AP94</f>
        <v>0</v>
      </c>
      <c r="AY94" s="31" t="s">
        <v>214</v>
      </c>
      <c r="AZ94" s="31" t="s">
        <v>165</v>
      </c>
      <c r="BA94" s="10" t="s">
        <v>60</v>
      </c>
      <c r="BC94" s="30">
        <f>AW94+AX94</f>
        <v>0</v>
      </c>
      <c r="BD94" s="30">
        <f>G94/(100-BE94)*100</f>
        <v>0</v>
      </c>
      <c r="BE94" s="30">
        <v>0</v>
      </c>
      <c r="BF94" s="30">
        <f>94</f>
        <v>94</v>
      </c>
      <c r="BH94" s="30">
        <f>F94*AO94</f>
        <v>0</v>
      </c>
      <c r="BI94" s="30">
        <f>F94*AP94</f>
        <v>0</v>
      </c>
      <c r="BJ94" s="30">
        <f>F94*G94</f>
        <v>0</v>
      </c>
      <c r="BK94" s="30"/>
      <c r="BL94" s="30">
        <v>725</v>
      </c>
      <c r="BW94" s="30">
        <v>12</v>
      </c>
      <c r="BX94" s="4" t="s">
        <v>290</v>
      </c>
    </row>
    <row r="95" spans="1:76" x14ac:dyDescent="0.25">
      <c r="A95" s="39" t="s">
        <v>50</v>
      </c>
      <c r="B95" s="40" t="s">
        <v>291</v>
      </c>
      <c r="C95" s="145" t="s">
        <v>292</v>
      </c>
      <c r="D95" s="146"/>
      <c r="E95" s="41" t="s">
        <v>4</v>
      </c>
      <c r="F95" s="41" t="s">
        <v>4</v>
      </c>
      <c r="G95" s="42" t="s">
        <v>4</v>
      </c>
      <c r="H95" s="43">
        <f>SUM(H96:H101)</f>
        <v>0</v>
      </c>
      <c r="I95" s="43">
        <f>SUM(I96:I101)</f>
        <v>0</v>
      </c>
      <c r="J95" s="43">
        <f>SUM(J96:J101)</f>
        <v>0</v>
      </c>
      <c r="K95" s="44" t="s">
        <v>50</v>
      </c>
      <c r="AI95" s="10" t="s">
        <v>50</v>
      </c>
      <c r="AS95" s="1">
        <f>SUM(AJ96:AJ101)</f>
        <v>0</v>
      </c>
      <c r="AT95" s="1">
        <f>SUM(AK96:AK101)</f>
        <v>0</v>
      </c>
      <c r="AU95" s="1">
        <f>SUM(AL96:AL101)</f>
        <v>0</v>
      </c>
    </row>
    <row r="96" spans="1:76" x14ac:dyDescent="0.25">
      <c r="A96" s="25" t="s">
        <v>293</v>
      </c>
      <c r="B96" s="26" t="s">
        <v>71</v>
      </c>
      <c r="C96" s="137" t="s">
        <v>72</v>
      </c>
      <c r="D96" s="138"/>
      <c r="E96" s="26" t="s">
        <v>56</v>
      </c>
      <c r="F96" s="27">
        <v>2</v>
      </c>
      <c r="G96" s="28">
        <v>0</v>
      </c>
      <c r="H96" s="27">
        <f t="shared" ref="H96:H101" si="110">F96*AO96</f>
        <v>0</v>
      </c>
      <c r="I96" s="27">
        <f t="shared" ref="I96:I101" si="111">F96*AP96</f>
        <v>0</v>
      </c>
      <c r="J96" s="27">
        <f t="shared" ref="J96:J101" si="112">F96*G96</f>
        <v>0</v>
      </c>
      <c r="K96" s="29" t="s">
        <v>57</v>
      </c>
      <c r="Z96" s="30">
        <f t="shared" ref="Z96:Z101" si="113">IF(AQ96="5",BJ96,0)</f>
        <v>0</v>
      </c>
      <c r="AB96" s="30">
        <f t="shared" ref="AB96:AB101" si="114">IF(AQ96="1",BH96,0)</f>
        <v>0</v>
      </c>
      <c r="AC96" s="30">
        <f t="shared" ref="AC96:AC101" si="115">IF(AQ96="1",BI96,0)</f>
        <v>0</v>
      </c>
      <c r="AD96" s="30">
        <f t="shared" ref="AD96:AD101" si="116">IF(AQ96="7",BH96,0)</f>
        <v>0</v>
      </c>
      <c r="AE96" s="30">
        <f t="shared" ref="AE96:AE101" si="117">IF(AQ96="7",BI96,0)</f>
        <v>0</v>
      </c>
      <c r="AF96" s="30">
        <f t="shared" ref="AF96:AF101" si="118">IF(AQ96="2",BH96,0)</f>
        <v>0</v>
      </c>
      <c r="AG96" s="30">
        <f t="shared" ref="AG96:AG101" si="119">IF(AQ96="2",BI96,0)</f>
        <v>0</v>
      </c>
      <c r="AH96" s="30">
        <f t="shared" ref="AH96:AH101" si="120">IF(AQ96="0",BJ96,0)</f>
        <v>0</v>
      </c>
      <c r="AI96" s="10" t="s">
        <v>50</v>
      </c>
      <c r="AJ96" s="30">
        <f t="shared" ref="AJ96:AJ101" si="121">IF(AN96=0,J96,0)</f>
        <v>0</v>
      </c>
      <c r="AK96" s="30">
        <f t="shared" ref="AK96:AK101" si="122">IF(AN96=12,J96,0)</f>
        <v>0</v>
      </c>
      <c r="AL96" s="30">
        <f t="shared" ref="AL96:AL101" si="123">IF(AN96=21,J96,0)</f>
        <v>0</v>
      </c>
      <c r="AN96" s="30">
        <v>12</v>
      </c>
      <c r="AO96" s="30">
        <f>G96*0.185462069</f>
        <v>0</v>
      </c>
      <c r="AP96" s="30">
        <f>G96*(1-0.185462069)</f>
        <v>0</v>
      </c>
      <c r="AQ96" s="31" t="s">
        <v>80</v>
      </c>
      <c r="AV96" s="30">
        <f t="shared" ref="AV96:AV101" si="124">AW96+AX96</f>
        <v>0</v>
      </c>
      <c r="AW96" s="30">
        <f t="shared" ref="AW96:AW101" si="125">F96*AO96</f>
        <v>0</v>
      </c>
      <c r="AX96" s="30">
        <f t="shared" ref="AX96:AX101" si="126">F96*AP96</f>
        <v>0</v>
      </c>
      <c r="AY96" s="31" t="s">
        <v>294</v>
      </c>
      <c r="AZ96" s="31" t="s">
        <v>165</v>
      </c>
      <c r="BA96" s="10" t="s">
        <v>60</v>
      </c>
      <c r="BC96" s="30">
        <f t="shared" ref="BC96:BC101" si="127">AW96+AX96</f>
        <v>0</v>
      </c>
      <c r="BD96" s="30">
        <f t="shared" ref="BD96:BD101" si="128">G96/(100-BE96)*100</f>
        <v>0</v>
      </c>
      <c r="BE96" s="30">
        <v>0</v>
      </c>
      <c r="BF96" s="30">
        <f>96</f>
        <v>96</v>
      </c>
      <c r="BH96" s="30">
        <f t="shared" ref="BH96:BH101" si="129">F96*AO96</f>
        <v>0</v>
      </c>
      <c r="BI96" s="30">
        <f t="shared" ref="BI96:BI101" si="130">F96*AP96</f>
        <v>0</v>
      </c>
      <c r="BJ96" s="30">
        <f t="shared" ref="BJ96:BJ101" si="131">F96*G96</f>
        <v>0</v>
      </c>
      <c r="BK96" s="30"/>
      <c r="BL96" s="30">
        <v>728</v>
      </c>
      <c r="BW96" s="30">
        <v>12</v>
      </c>
      <c r="BX96" s="4" t="s">
        <v>72</v>
      </c>
    </row>
    <row r="97" spans="1:76" x14ac:dyDescent="0.25">
      <c r="A97" s="32" t="s">
        <v>295</v>
      </c>
      <c r="B97" s="33" t="s">
        <v>296</v>
      </c>
      <c r="C97" s="139" t="s">
        <v>297</v>
      </c>
      <c r="D97" s="140"/>
      <c r="E97" s="33" t="s">
        <v>56</v>
      </c>
      <c r="F97" s="34">
        <v>2</v>
      </c>
      <c r="G97" s="35">
        <v>0</v>
      </c>
      <c r="H97" s="34">
        <f t="shared" si="110"/>
        <v>0</v>
      </c>
      <c r="I97" s="34">
        <f t="shared" si="111"/>
        <v>0</v>
      </c>
      <c r="J97" s="34">
        <f t="shared" si="112"/>
        <v>0</v>
      </c>
      <c r="K97" s="36" t="s">
        <v>57</v>
      </c>
      <c r="Z97" s="30">
        <f t="shared" si="113"/>
        <v>0</v>
      </c>
      <c r="AB97" s="30">
        <f t="shared" si="114"/>
        <v>0</v>
      </c>
      <c r="AC97" s="30">
        <f t="shared" si="115"/>
        <v>0</v>
      </c>
      <c r="AD97" s="30">
        <f t="shared" si="116"/>
        <v>0</v>
      </c>
      <c r="AE97" s="30">
        <f t="shared" si="117"/>
        <v>0</v>
      </c>
      <c r="AF97" s="30">
        <f t="shared" si="118"/>
        <v>0</v>
      </c>
      <c r="AG97" s="30">
        <f t="shared" si="119"/>
        <v>0</v>
      </c>
      <c r="AH97" s="30">
        <f t="shared" si="120"/>
        <v>0</v>
      </c>
      <c r="AI97" s="10" t="s">
        <v>50</v>
      </c>
      <c r="AJ97" s="30">
        <f t="shared" si="121"/>
        <v>0</v>
      </c>
      <c r="AK97" s="30">
        <f t="shared" si="122"/>
        <v>0</v>
      </c>
      <c r="AL97" s="30">
        <f t="shared" si="123"/>
        <v>0</v>
      </c>
      <c r="AN97" s="30">
        <v>12</v>
      </c>
      <c r="AO97" s="30">
        <f>G97*0</f>
        <v>0</v>
      </c>
      <c r="AP97" s="30">
        <f>G97*(1-0)</f>
        <v>0</v>
      </c>
      <c r="AQ97" s="31" t="s">
        <v>80</v>
      </c>
      <c r="AV97" s="30">
        <f t="shared" si="124"/>
        <v>0</v>
      </c>
      <c r="AW97" s="30">
        <f t="shared" si="125"/>
        <v>0</v>
      </c>
      <c r="AX97" s="30">
        <f t="shared" si="126"/>
        <v>0</v>
      </c>
      <c r="AY97" s="31" t="s">
        <v>294</v>
      </c>
      <c r="AZ97" s="31" t="s">
        <v>165</v>
      </c>
      <c r="BA97" s="10" t="s">
        <v>60</v>
      </c>
      <c r="BC97" s="30">
        <f t="shared" si="127"/>
        <v>0</v>
      </c>
      <c r="BD97" s="30">
        <f t="shared" si="128"/>
        <v>0</v>
      </c>
      <c r="BE97" s="30">
        <v>0</v>
      </c>
      <c r="BF97" s="30">
        <f>97</f>
        <v>97</v>
      </c>
      <c r="BH97" s="30">
        <f t="shared" si="129"/>
        <v>0</v>
      </c>
      <c r="BI97" s="30">
        <f t="shared" si="130"/>
        <v>0</v>
      </c>
      <c r="BJ97" s="30">
        <f t="shared" si="131"/>
        <v>0</v>
      </c>
      <c r="BK97" s="30"/>
      <c r="BL97" s="30">
        <v>728</v>
      </c>
      <c r="BW97" s="30">
        <v>12</v>
      </c>
      <c r="BX97" s="4" t="s">
        <v>297</v>
      </c>
    </row>
    <row r="98" spans="1:76" x14ac:dyDescent="0.25">
      <c r="A98" s="32" t="s">
        <v>298</v>
      </c>
      <c r="B98" s="33" t="s">
        <v>299</v>
      </c>
      <c r="C98" s="139" t="s">
        <v>300</v>
      </c>
      <c r="D98" s="140"/>
      <c r="E98" s="33" t="s">
        <v>56</v>
      </c>
      <c r="F98" s="34">
        <v>2</v>
      </c>
      <c r="G98" s="35">
        <v>0</v>
      </c>
      <c r="H98" s="34">
        <f t="shared" si="110"/>
        <v>0</v>
      </c>
      <c r="I98" s="34">
        <f t="shared" si="111"/>
        <v>0</v>
      </c>
      <c r="J98" s="34">
        <f t="shared" si="112"/>
        <v>0</v>
      </c>
      <c r="K98" s="36" t="s">
        <v>57</v>
      </c>
      <c r="Z98" s="30">
        <f t="shared" si="113"/>
        <v>0</v>
      </c>
      <c r="AB98" s="30">
        <f t="shared" si="114"/>
        <v>0</v>
      </c>
      <c r="AC98" s="30">
        <f t="shared" si="115"/>
        <v>0</v>
      </c>
      <c r="AD98" s="30">
        <f t="shared" si="116"/>
        <v>0</v>
      </c>
      <c r="AE98" s="30">
        <f t="shared" si="117"/>
        <v>0</v>
      </c>
      <c r="AF98" s="30">
        <f t="shared" si="118"/>
        <v>0</v>
      </c>
      <c r="AG98" s="30">
        <f t="shared" si="119"/>
        <v>0</v>
      </c>
      <c r="AH98" s="30">
        <f t="shared" si="120"/>
        <v>0</v>
      </c>
      <c r="AI98" s="10" t="s">
        <v>50</v>
      </c>
      <c r="AJ98" s="30">
        <f t="shared" si="121"/>
        <v>0</v>
      </c>
      <c r="AK98" s="30">
        <f t="shared" si="122"/>
        <v>0</v>
      </c>
      <c r="AL98" s="30">
        <f t="shared" si="123"/>
        <v>0</v>
      </c>
      <c r="AN98" s="30">
        <v>12</v>
      </c>
      <c r="AO98" s="30">
        <f>G98*1</f>
        <v>0</v>
      </c>
      <c r="AP98" s="30">
        <f>G98*(1-1)</f>
        <v>0</v>
      </c>
      <c r="AQ98" s="31" t="s">
        <v>80</v>
      </c>
      <c r="AV98" s="30">
        <f t="shared" si="124"/>
        <v>0</v>
      </c>
      <c r="AW98" s="30">
        <f t="shared" si="125"/>
        <v>0</v>
      </c>
      <c r="AX98" s="30">
        <f t="shared" si="126"/>
        <v>0</v>
      </c>
      <c r="AY98" s="31" t="s">
        <v>294</v>
      </c>
      <c r="AZ98" s="31" t="s">
        <v>165</v>
      </c>
      <c r="BA98" s="10" t="s">
        <v>60</v>
      </c>
      <c r="BC98" s="30">
        <f t="shared" si="127"/>
        <v>0</v>
      </c>
      <c r="BD98" s="30">
        <f t="shared" si="128"/>
        <v>0</v>
      </c>
      <c r="BE98" s="30">
        <v>0</v>
      </c>
      <c r="BF98" s="30">
        <f>98</f>
        <v>98</v>
      </c>
      <c r="BH98" s="30">
        <f t="shared" si="129"/>
        <v>0</v>
      </c>
      <c r="BI98" s="30">
        <f t="shared" si="130"/>
        <v>0</v>
      </c>
      <c r="BJ98" s="30">
        <f t="shared" si="131"/>
        <v>0</v>
      </c>
      <c r="BK98" s="30"/>
      <c r="BL98" s="30">
        <v>728</v>
      </c>
      <c r="BW98" s="30">
        <v>12</v>
      </c>
      <c r="BX98" s="4" t="s">
        <v>300</v>
      </c>
    </row>
    <row r="99" spans="1:76" x14ac:dyDescent="0.25">
      <c r="A99" s="32" t="s">
        <v>301</v>
      </c>
      <c r="B99" s="33" t="s">
        <v>302</v>
      </c>
      <c r="C99" s="139" t="s">
        <v>303</v>
      </c>
      <c r="D99" s="140"/>
      <c r="E99" s="33" t="s">
        <v>56</v>
      </c>
      <c r="F99" s="34">
        <v>2</v>
      </c>
      <c r="G99" s="35">
        <v>0</v>
      </c>
      <c r="H99" s="34">
        <f t="shared" si="110"/>
        <v>0</v>
      </c>
      <c r="I99" s="34">
        <f t="shared" si="111"/>
        <v>0</v>
      </c>
      <c r="J99" s="34">
        <f t="shared" si="112"/>
        <v>0</v>
      </c>
      <c r="K99" s="36" t="s">
        <v>57</v>
      </c>
      <c r="Z99" s="30">
        <f t="shared" si="113"/>
        <v>0</v>
      </c>
      <c r="AB99" s="30">
        <f t="shared" si="114"/>
        <v>0</v>
      </c>
      <c r="AC99" s="30">
        <f t="shared" si="115"/>
        <v>0</v>
      </c>
      <c r="AD99" s="30">
        <f t="shared" si="116"/>
        <v>0</v>
      </c>
      <c r="AE99" s="30">
        <f t="shared" si="117"/>
        <v>0</v>
      </c>
      <c r="AF99" s="30">
        <f t="shared" si="118"/>
        <v>0</v>
      </c>
      <c r="AG99" s="30">
        <f t="shared" si="119"/>
        <v>0</v>
      </c>
      <c r="AH99" s="30">
        <f t="shared" si="120"/>
        <v>0</v>
      </c>
      <c r="AI99" s="10" t="s">
        <v>50</v>
      </c>
      <c r="AJ99" s="30">
        <f t="shared" si="121"/>
        <v>0</v>
      </c>
      <c r="AK99" s="30">
        <f t="shared" si="122"/>
        <v>0</v>
      </c>
      <c r="AL99" s="30">
        <f t="shared" si="123"/>
        <v>0</v>
      </c>
      <c r="AN99" s="30">
        <v>12</v>
      </c>
      <c r="AO99" s="30">
        <f>G99*0</f>
        <v>0</v>
      </c>
      <c r="AP99" s="30">
        <f>G99*(1-0)</f>
        <v>0</v>
      </c>
      <c r="AQ99" s="31" t="s">
        <v>80</v>
      </c>
      <c r="AV99" s="30">
        <f t="shared" si="124"/>
        <v>0</v>
      </c>
      <c r="AW99" s="30">
        <f t="shared" si="125"/>
        <v>0</v>
      </c>
      <c r="AX99" s="30">
        <f t="shared" si="126"/>
        <v>0</v>
      </c>
      <c r="AY99" s="31" t="s">
        <v>294</v>
      </c>
      <c r="AZ99" s="31" t="s">
        <v>165</v>
      </c>
      <c r="BA99" s="10" t="s">
        <v>60</v>
      </c>
      <c r="BC99" s="30">
        <f t="shared" si="127"/>
        <v>0</v>
      </c>
      <c r="BD99" s="30">
        <f t="shared" si="128"/>
        <v>0</v>
      </c>
      <c r="BE99" s="30">
        <v>0</v>
      </c>
      <c r="BF99" s="30">
        <f>99</f>
        <v>99</v>
      </c>
      <c r="BH99" s="30">
        <f t="shared" si="129"/>
        <v>0</v>
      </c>
      <c r="BI99" s="30">
        <f t="shared" si="130"/>
        <v>0</v>
      </c>
      <c r="BJ99" s="30">
        <f t="shared" si="131"/>
        <v>0</v>
      </c>
      <c r="BK99" s="30"/>
      <c r="BL99" s="30">
        <v>728</v>
      </c>
      <c r="BW99" s="30">
        <v>12</v>
      </c>
      <c r="BX99" s="4" t="s">
        <v>303</v>
      </c>
    </row>
    <row r="100" spans="1:76" x14ac:dyDescent="0.25">
      <c r="A100" s="32" t="s">
        <v>304</v>
      </c>
      <c r="B100" s="33" t="s">
        <v>305</v>
      </c>
      <c r="C100" s="139" t="s">
        <v>306</v>
      </c>
      <c r="D100" s="140"/>
      <c r="E100" s="33" t="s">
        <v>56</v>
      </c>
      <c r="F100" s="34">
        <v>2</v>
      </c>
      <c r="G100" s="35">
        <v>0</v>
      </c>
      <c r="H100" s="34">
        <f t="shared" si="110"/>
        <v>0</v>
      </c>
      <c r="I100" s="34">
        <f t="shared" si="111"/>
        <v>0</v>
      </c>
      <c r="J100" s="34">
        <f t="shared" si="112"/>
        <v>0</v>
      </c>
      <c r="K100" s="36" t="s">
        <v>57</v>
      </c>
      <c r="Z100" s="30">
        <f t="shared" si="113"/>
        <v>0</v>
      </c>
      <c r="AB100" s="30">
        <f t="shared" si="114"/>
        <v>0</v>
      </c>
      <c r="AC100" s="30">
        <f t="shared" si="115"/>
        <v>0</v>
      </c>
      <c r="AD100" s="30">
        <f t="shared" si="116"/>
        <v>0</v>
      </c>
      <c r="AE100" s="30">
        <f t="shared" si="117"/>
        <v>0</v>
      </c>
      <c r="AF100" s="30">
        <f t="shared" si="118"/>
        <v>0</v>
      </c>
      <c r="AG100" s="30">
        <f t="shared" si="119"/>
        <v>0</v>
      </c>
      <c r="AH100" s="30">
        <f t="shared" si="120"/>
        <v>0</v>
      </c>
      <c r="AI100" s="10" t="s">
        <v>50</v>
      </c>
      <c r="AJ100" s="30">
        <f t="shared" si="121"/>
        <v>0</v>
      </c>
      <c r="AK100" s="30">
        <f t="shared" si="122"/>
        <v>0</v>
      </c>
      <c r="AL100" s="30">
        <f t="shared" si="123"/>
        <v>0</v>
      </c>
      <c r="AN100" s="30">
        <v>12</v>
      </c>
      <c r="AO100" s="30">
        <f>G100*1</f>
        <v>0</v>
      </c>
      <c r="AP100" s="30">
        <f>G100*(1-1)</f>
        <v>0</v>
      </c>
      <c r="AQ100" s="31" t="s">
        <v>80</v>
      </c>
      <c r="AV100" s="30">
        <f t="shared" si="124"/>
        <v>0</v>
      </c>
      <c r="AW100" s="30">
        <f t="shared" si="125"/>
        <v>0</v>
      </c>
      <c r="AX100" s="30">
        <f t="shared" si="126"/>
        <v>0</v>
      </c>
      <c r="AY100" s="31" t="s">
        <v>294</v>
      </c>
      <c r="AZ100" s="31" t="s">
        <v>165</v>
      </c>
      <c r="BA100" s="10" t="s">
        <v>60</v>
      </c>
      <c r="BC100" s="30">
        <f t="shared" si="127"/>
        <v>0</v>
      </c>
      <c r="BD100" s="30">
        <f t="shared" si="128"/>
        <v>0</v>
      </c>
      <c r="BE100" s="30">
        <v>0</v>
      </c>
      <c r="BF100" s="30">
        <f>100</f>
        <v>100</v>
      </c>
      <c r="BH100" s="30">
        <f t="shared" si="129"/>
        <v>0</v>
      </c>
      <c r="BI100" s="30">
        <f t="shared" si="130"/>
        <v>0</v>
      </c>
      <c r="BJ100" s="30">
        <f t="shared" si="131"/>
        <v>0</v>
      </c>
      <c r="BK100" s="30"/>
      <c r="BL100" s="30">
        <v>728</v>
      </c>
      <c r="BW100" s="30">
        <v>12</v>
      </c>
      <c r="BX100" s="4" t="s">
        <v>306</v>
      </c>
    </row>
    <row r="101" spans="1:76" x14ac:dyDescent="0.25">
      <c r="A101" s="32" t="s">
        <v>307</v>
      </c>
      <c r="B101" s="33" t="s">
        <v>308</v>
      </c>
      <c r="C101" s="139" t="s">
        <v>309</v>
      </c>
      <c r="D101" s="140"/>
      <c r="E101" s="33" t="s">
        <v>86</v>
      </c>
      <c r="F101" s="34">
        <v>2.3999999999999998E-3</v>
      </c>
      <c r="G101" s="35">
        <v>0</v>
      </c>
      <c r="H101" s="34">
        <f t="shared" si="110"/>
        <v>0</v>
      </c>
      <c r="I101" s="34">
        <f t="shared" si="111"/>
        <v>0</v>
      </c>
      <c r="J101" s="34">
        <f t="shared" si="112"/>
        <v>0</v>
      </c>
      <c r="K101" s="36" t="s">
        <v>57</v>
      </c>
      <c r="Z101" s="30">
        <f t="shared" si="113"/>
        <v>0</v>
      </c>
      <c r="AB101" s="30">
        <f t="shared" si="114"/>
        <v>0</v>
      </c>
      <c r="AC101" s="30">
        <f t="shared" si="115"/>
        <v>0</v>
      </c>
      <c r="AD101" s="30">
        <f t="shared" si="116"/>
        <v>0</v>
      </c>
      <c r="AE101" s="30">
        <f t="shared" si="117"/>
        <v>0</v>
      </c>
      <c r="AF101" s="30">
        <f t="shared" si="118"/>
        <v>0</v>
      </c>
      <c r="AG101" s="30">
        <f t="shared" si="119"/>
        <v>0</v>
      </c>
      <c r="AH101" s="30">
        <f t="shared" si="120"/>
        <v>0</v>
      </c>
      <c r="AI101" s="10" t="s">
        <v>50</v>
      </c>
      <c r="AJ101" s="30">
        <f t="shared" si="121"/>
        <v>0</v>
      </c>
      <c r="AK101" s="30">
        <f t="shared" si="122"/>
        <v>0</v>
      </c>
      <c r="AL101" s="30">
        <f t="shared" si="123"/>
        <v>0</v>
      </c>
      <c r="AN101" s="30">
        <v>12</v>
      </c>
      <c r="AO101" s="30">
        <f>G101*0</f>
        <v>0</v>
      </c>
      <c r="AP101" s="30">
        <f>G101*(1-0)</f>
        <v>0</v>
      </c>
      <c r="AQ101" s="31" t="s">
        <v>73</v>
      </c>
      <c r="AV101" s="30">
        <f t="shared" si="124"/>
        <v>0</v>
      </c>
      <c r="AW101" s="30">
        <f t="shared" si="125"/>
        <v>0</v>
      </c>
      <c r="AX101" s="30">
        <f t="shared" si="126"/>
        <v>0</v>
      </c>
      <c r="AY101" s="31" t="s">
        <v>294</v>
      </c>
      <c r="AZ101" s="31" t="s">
        <v>165</v>
      </c>
      <c r="BA101" s="10" t="s">
        <v>60</v>
      </c>
      <c r="BC101" s="30">
        <f t="shared" si="127"/>
        <v>0</v>
      </c>
      <c r="BD101" s="30">
        <f t="shared" si="128"/>
        <v>0</v>
      </c>
      <c r="BE101" s="30">
        <v>0</v>
      </c>
      <c r="BF101" s="30">
        <f>101</f>
        <v>101</v>
      </c>
      <c r="BH101" s="30">
        <f t="shared" si="129"/>
        <v>0</v>
      </c>
      <c r="BI101" s="30">
        <f t="shared" si="130"/>
        <v>0</v>
      </c>
      <c r="BJ101" s="30">
        <f t="shared" si="131"/>
        <v>0</v>
      </c>
      <c r="BK101" s="30"/>
      <c r="BL101" s="30">
        <v>728</v>
      </c>
      <c r="BW101" s="30">
        <v>12</v>
      </c>
      <c r="BX101" s="4" t="s">
        <v>309</v>
      </c>
    </row>
    <row r="102" spans="1:76" x14ac:dyDescent="0.25">
      <c r="A102" s="39" t="s">
        <v>50</v>
      </c>
      <c r="B102" s="40" t="s">
        <v>310</v>
      </c>
      <c r="C102" s="145" t="s">
        <v>311</v>
      </c>
      <c r="D102" s="146"/>
      <c r="E102" s="41" t="s">
        <v>4</v>
      </c>
      <c r="F102" s="41" t="s">
        <v>4</v>
      </c>
      <c r="G102" s="42" t="s">
        <v>4</v>
      </c>
      <c r="H102" s="43">
        <f>SUM(H103:H112)</f>
        <v>0</v>
      </c>
      <c r="I102" s="43">
        <f>SUM(I103:I112)</f>
        <v>0</v>
      </c>
      <c r="J102" s="43">
        <f>SUM(J103:J112)</f>
        <v>0</v>
      </c>
      <c r="K102" s="44" t="s">
        <v>50</v>
      </c>
      <c r="AI102" s="10" t="s">
        <v>50</v>
      </c>
      <c r="AS102" s="1">
        <f>SUM(AJ103:AJ112)</f>
        <v>0</v>
      </c>
      <c r="AT102" s="1">
        <f>SUM(AK103:AK112)</f>
        <v>0</v>
      </c>
      <c r="AU102" s="1">
        <f>SUM(AL103:AL112)</f>
        <v>0</v>
      </c>
    </row>
    <row r="103" spans="1:76" x14ac:dyDescent="0.25">
      <c r="A103" s="25" t="s">
        <v>312</v>
      </c>
      <c r="B103" s="26" t="s">
        <v>313</v>
      </c>
      <c r="C103" s="137" t="s">
        <v>314</v>
      </c>
      <c r="D103" s="138"/>
      <c r="E103" s="26" t="s">
        <v>56</v>
      </c>
      <c r="F103" s="27">
        <v>1</v>
      </c>
      <c r="G103" s="28">
        <v>0</v>
      </c>
      <c r="H103" s="27">
        <f t="shared" ref="H103:H112" si="132">F103*AO103</f>
        <v>0</v>
      </c>
      <c r="I103" s="27">
        <f t="shared" ref="I103:I112" si="133">F103*AP103</f>
        <v>0</v>
      </c>
      <c r="J103" s="27">
        <f t="shared" ref="J103:J112" si="134">F103*G103</f>
        <v>0</v>
      </c>
      <c r="K103" s="29" t="s">
        <v>57</v>
      </c>
      <c r="Z103" s="30">
        <f t="shared" ref="Z103:Z112" si="135">IF(AQ103="5",BJ103,0)</f>
        <v>0</v>
      </c>
      <c r="AB103" s="30">
        <f t="shared" ref="AB103:AB112" si="136">IF(AQ103="1",BH103,0)</f>
        <v>0</v>
      </c>
      <c r="AC103" s="30">
        <f t="shared" ref="AC103:AC112" si="137">IF(AQ103="1",BI103,0)</f>
        <v>0</v>
      </c>
      <c r="AD103" s="30">
        <f t="shared" ref="AD103:AD112" si="138">IF(AQ103="7",BH103,0)</f>
        <v>0</v>
      </c>
      <c r="AE103" s="30">
        <f t="shared" ref="AE103:AE112" si="139">IF(AQ103="7",BI103,0)</f>
        <v>0</v>
      </c>
      <c r="AF103" s="30">
        <f t="shared" ref="AF103:AF112" si="140">IF(AQ103="2",BH103,0)</f>
        <v>0</v>
      </c>
      <c r="AG103" s="30">
        <f t="shared" ref="AG103:AG112" si="141">IF(AQ103="2",BI103,0)</f>
        <v>0</v>
      </c>
      <c r="AH103" s="30">
        <f t="shared" ref="AH103:AH112" si="142">IF(AQ103="0",BJ103,0)</f>
        <v>0</v>
      </c>
      <c r="AI103" s="10" t="s">
        <v>50</v>
      </c>
      <c r="AJ103" s="30">
        <f t="shared" ref="AJ103:AJ112" si="143">IF(AN103=0,J103,0)</f>
        <v>0</v>
      </c>
      <c r="AK103" s="30">
        <f t="shared" ref="AK103:AK112" si="144">IF(AN103=12,J103,0)</f>
        <v>0</v>
      </c>
      <c r="AL103" s="30">
        <f t="shared" ref="AL103:AL112" si="145">IF(AN103=21,J103,0)</f>
        <v>0</v>
      </c>
      <c r="AN103" s="30">
        <v>12</v>
      </c>
      <c r="AO103" s="30">
        <f>G103*0</f>
        <v>0</v>
      </c>
      <c r="AP103" s="30">
        <f>G103*(1-0)</f>
        <v>0</v>
      </c>
      <c r="AQ103" s="31" t="s">
        <v>80</v>
      </c>
      <c r="AV103" s="30">
        <f t="shared" ref="AV103:AV112" si="146">AW103+AX103</f>
        <v>0</v>
      </c>
      <c r="AW103" s="30">
        <f t="shared" ref="AW103:AW112" si="147">F103*AO103</f>
        <v>0</v>
      </c>
      <c r="AX103" s="30">
        <f t="shared" ref="AX103:AX112" si="148">F103*AP103</f>
        <v>0</v>
      </c>
      <c r="AY103" s="31" t="s">
        <v>315</v>
      </c>
      <c r="AZ103" s="31" t="s">
        <v>316</v>
      </c>
      <c r="BA103" s="10" t="s">
        <v>60</v>
      </c>
      <c r="BC103" s="30">
        <f t="shared" ref="BC103:BC112" si="149">AW103+AX103</f>
        <v>0</v>
      </c>
      <c r="BD103" s="30">
        <f t="shared" ref="BD103:BD112" si="150">G103/(100-BE103)*100</f>
        <v>0</v>
      </c>
      <c r="BE103" s="30">
        <v>0</v>
      </c>
      <c r="BF103" s="30">
        <f>103</f>
        <v>103</v>
      </c>
      <c r="BH103" s="30">
        <f t="shared" ref="BH103:BH112" si="151">F103*AO103</f>
        <v>0</v>
      </c>
      <c r="BI103" s="30">
        <f t="shared" ref="BI103:BI112" si="152">F103*AP103</f>
        <v>0</v>
      </c>
      <c r="BJ103" s="30">
        <f t="shared" ref="BJ103:BJ112" si="153">F103*G103</f>
        <v>0</v>
      </c>
      <c r="BK103" s="30"/>
      <c r="BL103" s="30">
        <v>731</v>
      </c>
      <c r="BW103" s="30">
        <v>12</v>
      </c>
      <c r="BX103" s="4" t="s">
        <v>314</v>
      </c>
    </row>
    <row r="104" spans="1:76" x14ac:dyDescent="0.25">
      <c r="A104" s="32" t="s">
        <v>317</v>
      </c>
      <c r="B104" s="33" t="s">
        <v>318</v>
      </c>
      <c r="C104" s="139" t="s">
        <v>319</v>
      </c>
      <c r="D104" s="140"/>
      <c r="E104" s="33" t="s">
        <v>56</v>
      </c>
      <c r="F104" s="34">
        <v>1</v>
      </c>
      <c r="G104" s="35">
        <v>0</v>
      </c>
      <c r="H104" s="34">
        <f t="shared" si="132"/>
        <v>0</v>
      </c>
      <c r="I104" s="34">
        <f t="shared" si="133"/>
        <v>0</v>
      </c>
      <c r="J104" s="34">
        <f t="shared" si="134"/>
        <v>0</v>
      </c>
      <c r="K104" s="36" t="s">
        <v>57</v>
      </c>
      <c r="Z104" s="30">
        <f t="shared" si="135"/>
        <v>0</v>
      </c>
      <c r="AB104" s="30">
        <f t="shared" si="136"/>
        <v>0</v>
      </c>
      <c r="AC104" s="30">
        <f t="shared" si="137"/>
        <v>0</v>
      </c>
      <c r="AD104" s="30">
        <f t="shared" si="138"/>
        <v>0</v>
      </c>
      <c r="AE104" s="30">
        <f t="shared" si="139"/>
        <v>0</v>
      </c>
      <c r="AF104" s="30">
        <f t="shared" si="140"/>
        <v>0</v>
      </c>
      <c r="AG104" s="30">
        <f t="shared" si="141"/>
        <v>0</v>
      </c>
      <c r="AH104" s="30">
        <f t="shared" si="142"/>
        <v>0</v>
      </c>
      <c r="AI104" s="10" t="s">
        <v>50</v>
      </c>
      <c r="AJ104" s="30">
        <f t="shared" si="143"/>
        <v>0</v>
      </c>
      <c r="AK104" s="30">
        <f t="shared" si="144"/>
        <v>0</v>
      </c>
      <c r="AL104" s="30">
        <f t="shared" si="145"/>
        <v>0</v>
      </c>
      <c r="AN104" s="30">
        <v>12</v>
      </c>
      <c r="AO104" s="30">
        <f>G104*0.024516484</f>
        <v>0</v>
      </c>
      <c r="AP104" s="30">
        <f>G104*(1-0.024516484)</f>
        <v>0</v>
      </c>
      <c r="AQ104" s="31" t="s">
        <v>80</v>
      </c>
      <c r="AV104" s="30">
        <f t="shared" si="146"/>
        <v>0</v>
      </c>
      <c r="AW104" s="30">
        <f t="shared" si="147"/>
        <v>0</v>
      </c>
      <c r="AX104" s="30">
        <f t="shared" si="148"/>
        <v>0</v>
      </c>
      <c r="AY104" s="31" t="s">
        <v>315</v>
      </c>
      <c r="AZ104" s="31" t="s">
        <v>316</v>
      </c>
      <c r="BA104" s="10" t="s">
        <v>60</v>
      </c>
      <c r="BC104" s="30">
        <f t="shared" si="149"/>
        <v>0</v>
      </c>
      <c r="BD104" s="30">
        <f t="shared" si="150"/>
        <v>0</v>
      </c>
      <c r="BE104" s="30">
        <v>0</v>
      </c>
      <c r="BF104" s="30">
        <f>104</f>
        <v>104</v>
      </c>
      <c r="BH104" s="30">
        <f t="shared" si="151"/>
        <v>0</v>
      </c>
      <c r="BI104" s="30">
        <f t="shared" si="152"/>
        <v>0</v>
      </c>
      <c r="BJ104" s="30">
        <f t="shared" si="153"/>
        <v>0</v>
      </c>
      <c r="BK104" s="30"/>
      <c r="BL104" s="30">
        <v>731</v>
      </c>
      <c r="BW104" s="30">
        <v>12</v>
      </c>
      <c r="BX104" s="4" t="s">
        <v>319</v>
      </c>
    </row>
    <row r="105" spans="1:76" x14ac:dyDescent="0.25">
      <c r="A105" s="32" t="s">
        <v>320</v>
      </c>
      <c r="B105" s="33" t="s">
        <v>321</v>
      </c>
      <c r="C105" s="139" t="s">
        <v>322</v>
      </c>
      <c r="D105" s="140"/>
      <c r="E105" s="33" t="s">
        <v>218</v>
      </c>
      <c r="F105" s="34">
        <v>1</v>
      </c>
      <c r="G105" s="35">
        <v>0</v>
      </c>
      <c r="H105" s="34">
        <f t="shared" si="132"/>
        <v>0</v>
      </c>
      <c r="I105" s="34">
        <f t="shared" si="133"/>
        <v>0</v>
      </c>
      <c r="J105" s="34">
        <f t="shared" si="134"/>
        <v>0</v>
      </c>
      <c r="K105" s="36" t="s">
        <v>57</v>
      </c>
      <c r="Z105" s="30">
        <f t="shared" si="135"/>
        <v>0</v>
      </c>
      <c r="AB105" s="30">
        <f t="shared" si="136"/>
        <v>0</v>
      </c>
      <c r="AC105" s="30">
        <f t="shared" si="137"/>
        <v>0</v>
      </c>
      <c r="AD105" s="30">
        <f t="shared" si="138"/>
        <v>0</v>
      </c>
      <c r="AE105" s="30">
        <f t="shared" si="139"/>
        <v>0</v>
      </c>
      <c r="AF105" s="30">
        <f t="shared" si="140"/>
        <v>0</v>
      </c>
      <c r="AG105" s="30">
        <f t="shared" si="141"/>
        <v>0</v>
      </c>
      <c r="AH105" s="30">
        <f t="shared" si="142"/>
        <v>0</v>
      </c>
      <c r="AI105" s="10" t="s">
        <v>50</v>
      </c>
      <c r="AJ105" s="30">
        <f t="shared" si="143"/>
        <v>0</v>
      </c>
      <c r="AK105" s="30">
        <f t="shared" si="144"/>
        <v>0</v>
      </c>
      <c r="AL105" s="30">
        <f t="shared" si="145"/>
        <v>0</v>
      </c>
      <c r="AN105" s="30">
        <v>12</v>
      </c>
      <c r="AO105" s="30">
        <f>G105*0.052733837</f>
        <v>0</v>
      </c>
      <c r="AP105" s="30">
        <f>G105*(1-0.052733837)</f>
        <v>0</v>
      </c>
      <c r="AQ105" s="31" t="s">
        <v>80</v>
      </c>
      <c r="AV105" s="30">
        <f t="shared" si="146"/>
        <v>0</v>
      </c>
      <c r="AW105" s="30">
        <f t="shared" si="147"/>
        <v>0</v>
      </c>
      <c r="AX105" s="30">
        <f t="shared" si="148"/>
        <v>0</v>
      </c>
      <c r="AY105" s="31" t="s">
        <v>315</v>
      </c>
      <c r="AZ105" s="31" t="s">
        <v>316</v>
      </c>
      <c r="BA105" s="10" t="s">
        <v>60</v>
      </c>
      <c r="BC105" s="30">
        <f t="shared" si="149"/>
        <v>0</v>
      </c>
      <c r="BD105" s="30">
        <f t="shared" si="150"/>
        <v>0</v>
      </c>
      <c r="BE105" s="30">
        <v>0</v>
      </c>
      <c r="BF105" s="30">
        <f>105</f>
        <v>105</v>
      </c>
      <c r="BH105" s="30">
        <f t="shared" si="151"/>
        <v>0</v>
      </c>
      <c r="BI105" s="30">
        <f t="shared" si="152"/>
        <v>0</v>
      </c>
      <c r="BJ105" s="30">
        <f t="shared" si="153"/>
        <v>0</v>
      </c>
      <c r="BK105" s="30"/>
      <c r="BL105" s="30">
        <v>731</v>
      </c>
      <c r="BW105" s="30">
        <v>12</v>
      </c>
      <c r="BX105" s="4" t="s">
        <v>322</v>
      </c>
    </row>
    <row r="106" spans="1:76" x14ac:dyDescent="0.25">
      <c r="A106" s="32" t="s">
        <v>323</v>
      </c>
      <c r="B106" s="33" t="s">
        <v>324</v>
      </c>
      <c r="C106" s="139" t="s">
        <v>325</v>
      </c>
      <c r="D106" s="140"/>
      <c r="E106" s="33" t="s">
        <v>56</v>
      </c>
      <c r="F106" s="34">
        <v>1</v>
      </c>
      <c r="G106" s="35">
        <v>0</v>
      </c>
      <c r="H106" s="34">
        <f t="shared" si="132"/>
        <v>0</v>
      </c>
      <c r="I106" s="34">
        <f t="shared" si="133"/>
        <v>0</v>
      </c>
      <c r="J106" s="34">
        <f t="shared" si="134"/>
        <v>0</v>
      </c>
      <c r="K106" s="36" t="s">
        <v>57</v>
      </c>
      <c r="Z106" s="30">
        <f t="shared" si="135"/>
        <v>0</v>
      </c>
      <c r="AB106" s="30">
        <f t="shared" si="136"/>
        <v>0</v>
      </c>
      <c r="AC106" s="30">
        <f t="shared" si="137"/>
        <v>0</v>
      </c>
      <c r="AD106" s="30">
        <f t="shared" si="138"/>
        <v>0</v>
      </c>
      <c r="AE106" s="30">
        <f t="shared" si="139"/>
        <v>0</v>
      </c>
      <c r="AF106" s="30">
        <f t="shared" si="140"/>
        <v>0</v>
      </c>
      <c r="AG106" s="30">
        <f t="shared" si="141"/>
        <v>0</v>
      </c>
      <c r="AH106" s="30">
        <f t="shared" si="142"/>
        <v>0</v>
      </c>
      <c r="AI106" s="10" t="s">
        <v>50</v>
      </c>
      <c r="AJ106" s="30">
        <f t="shared" si="143"/>
        <v>0</v>
      </c>
      <c r="AK106" s="30">
        <f t="shared" si="144"/>
        <v>0</v>
      </c>
      <c r="AL106" s="30">
        <f t="shared" si="145"/>
        <v>0</v>
      </c>
      <c r="AN106" s="30">
        <v>12</v>
      </c>
      <c r="AO106" s="30">
        <f>G106*1</f>
        <v>0</v>
      </c>
      <c r="AP106" s="30">
        <f>G106*(1-1)</f>
        <v>0</v>
      </c>
      <c r="AQ106" s="31" t="s">
        <v>80</v>
      </c>
      <c r="AV106" s="30">
        <f t="shared" si="146"/>
        <v>0</v>
      </c>
      <c r="AW106" s="30">
        <f t="shared" si="147"/>
        <v>0</v>
      </c>
      <c r="AX106" s="30">
        <f t="shared" si="148"/>
        <v>0</v>
      </c>
      <c r="AY106" s="31" t="s">
        <v>315</v>
      </c>
      <c r="AZ106" s="31" t="s">
        <v>316</v>
      </c>
      <c r="BA106" s="10" t="s">
        <v>60</v>
      </c>
      <c r="BC106" s="30">
        <f t="shared" si="149"/>
        <v>0</v>
      </c>
      <c r="BD106" s="30">
        <f t="shared" si="150"/>
        <v>0</v>
      </c>
      <c r="BE106" s="30">
        <v>0</v>
      </c>
      <c r="BF106" s="30">
        <f>106</f>
        <v>106</v>
      </c>
      <c r="BH106" s="30">
        <f t="shared" si="151"/>
        <v>0</v>
      </c>
      <c r="BI106" s="30">
        <f t="shared" si="152"/>
        <v>0</v>
      </c>
      <c r="BJ106" s="30">
        <f t="shared" si="153"/>
        <v>0</v>
      </c>
      <c r="BK106" s="30"/>
      <c r="BL106" s="30">
        <v>731</v>
      </c>
      <c r="BW106" s="30">
        <v>12</v>
      </c>
      <c r="BX106" s="4" t="s">
        <v>325</v>
      </c>
    </row>
    <row r="107" spans="1:76" x14ac:dyDescent="0.25">
      <c r="A107" s="32" t="s">
        <v>326</v>
      </c>
      <c r="B107" s="33" t="s">
        <v>327</v>
      </c>
      <c r="C107" s="139" t="s">
        <v>328</v>
      </c>
      <c r="D107" s="140"/>
      <c r="E107" s="33" t="s">
        <v>56</v>
      </c>
      <c r="F107" s="34">
        <v>1</v>
      </c>
      <c r="G107" s="35">
        <v>0</v>
      </c>
      <c r="H107" s="34">
        <f t="shared" si="132"/>
        <v>0</v>
      </c>
      <c r="I107" s="34">
        <f t="shared" si="133"/>
        <v>0</v>
      </c>
      <c r="J107" s="34">
        <f t="shared" si="134"/>
        <v>0</v>
      </c>
      <c r="K107" s="36" t="s">
        <v>57</v>
      </c>
      <c r="Z107" s="30">
        <f t="shared" si="135"/>
        <v>0</v>
      </c>
      <c r="AB107" s="30">
        <f t="shared" si="136"/>
        <v>0</v>
      </c>
      <c r="AC107" s="30">
        <f t="shared" si="137"/>
        <v>0</v>
      </c>
      <c r="AD107" s="30">
        <f t="shared" si="138"/>
        <v>0</v>
      </c>
      <c r="AE107" s="30">
        <f t="shared" si="139"/>
        <v>0</v>
      </c>
      <c r="AF107" s="30">
        <f t="shared" si="140"/>
        <v>0</v>
      </c>
      <c r="AG107" s="30">
        <f t="shared" si="141"/>
        <v>0</v>
      </c>
      <c r="AH107" s="30">
        <f t="shared" si="142"/>
        <v>0</v>
      </c>
      <c r="AI107" s="10" t="s">
        <v>50</v>
      </c>
      <c r="AJ107" s="30">
        <f t="shared" si="143"/>
        <v>0</v>
      </c>
      <c r="AK107" s="30">
        <f t="shared" si="144"/>
        <v>0</v>
      </c>
      <c r="AL107" s="30">
        <f t="shared" si="145"/>
        <v>0</v>
      </c>
      <c r="AN107" s="30">
        <v>12</v>
      </c>
      <c r="AO107" s="30">
        <f>G107*0.867370498</f>
        <v>0</v>
      </c>
      <c r="AP107" s="30">
        <f>G107*(1-0.867370498)</f>
        <v>0</v>
      </c>
      <c r="AQ107" s="31" t="s">
        <v>80</v>
      </c>
      <c r="AV107" s="30">
        <f t="shared" si="146"/>
        <v>0</v>
      </c>
      <c r="AW107" s="30">
        <f t="shared" si="147"/>
        <v>0</v>
      </c>
      <c r="AX107" s="30">
        <f t="shared" si="148"/>
        <v>0</v>
      </c>
      <c r="AY107" s="31" t="s">
        <v>315</v>
      </c>
      <c r="AZ107" s="31" t="s">
        <v>316</v>
      </c>
      <c r="BA107" s="10" t="s">
        <v>60</v>
      </c>
      <c r="BC107" s="30">
        <f t="shared" si="149"/>
        <v>0</v>
      </c>
      <c r="BD107" s="30">
        <f t="shared" si="150"/>
        <v>0</v>
      </c>
      <c r="BE107" s="30">
        <v>0</v>
      </c>
      <c r="BF107" s="30">
        <f>107</f>
        <v>107</v>
      </c>
      <c r="BH107" s="30">
        <f t="shared" si="151"/>
        <v>0</v>
      </c>
      <c r="BI107" s="30">
        <f t="shared" si="152"/>
        <v>0</v>
      </c>
      <c r="BJ107" s="30">
        <f t="shared" si="153"/>
        <v>0</v>
      </c>
      <c r="BK107" s="30"/>
      <c r="BL107" s="30">
        <v>731</v>
      </c>
      <c r="BW107" s="30">
        <v>12</v>
      </c>
      <c r="BX107" s="4" t="s">
        <v>328</v>
      </c>
    </row>
    <row r="108" spans="1:76" x14ac:dyDescent="0.25">
      <c r="A108" s="32" t="s">
        <v>329</v>
      </c>
      <c r="B108" s="33" t="s">
        <v>330</v>
      </c>
      <c r="C108" s="139" t="s">
        <v>331</v>
      </c>
      <c r="D108" s="140"/>
      <c r="E108" s="33" t="s">
        <v>56</v>
      </c>
      <c r="F108" s="34">
        <v>1</v>
      </c>
      <c r="G108" s="35">
        <v>0</v>
      </c>
      <c r="H108" s="34">
        <f t="shared" si="132"/>
        <v>0</v>
      </c>
      <c r="I108" s="34">
        <f t="shared" si="133"/>
        <v>0</v>
      </c>
      <c r="J108" s="34">
        <f t="shared" si="134"/>
        <v>0</v>
      </c>
      <c r="K108" s="36" t="s">
        <v>57</v>
      </c>
      <c r="Z108" s="30">
        <f t="shared" si="135"/>
        <v>0</v>
      </c>
      <c r="AB108" s="30">
        <f t="shared" si="136"/>
        <v>0</v>
      </c>
      <c r="AC108" s="30">
        <f t="shared" si="137"/>
        <v>0</v>
      </c>
      <c r="AD108" s="30">
        <f t="shared" si="138"/>
        <v>0</v>
      </c>
      <c r="AE108" s="30">
        <f t="shared" si="139"/>
        <v>0</v>
      </c>
      <c r="AF108" s="30">
        <f t="shared" si="140"/>
        <v>0</v>
      </c>
      <c r="AG108" s="30">
        <f t="shared" si="141"/>
        <v>0</v>
      </c>
      <c r="AH108" s="30">
        <f t="shared" si="142"/>
        <v>0</v>
      </c>
      <c r="AI108" s="10" t="s">
        <v>50</v>
      </c>
      <c r="AJ108" s="30">
        <f t="shared" si="143"/>
        <v>0</v>
      </c>
      <c r="AK108" s="30">
        <f t="shared" si="144"/>
        <v>0</v>
      </c>
      <c r="AL108" s="30">
        <f t="shared" si="145"/>
        <v>0</v>
      </c>
      <c r="AN108" s="30">
        <v>12</v>
      </c>
      <c r="AO108" s="30">
        <f>G108*0.923240863</f>
        <v>0</v>
      </c>
      <c r="AP108" s="30">
        <f>G108*(1-0.923240863)</f>
        <v>0</v>
      </c>
      <c r="AQ108" s="31" t="s">
        <v>80</v>
      </c>
      <c r="AV108" s="30">
        <f t="shared" si="146"/>
        <v>0</v>
      </c>
      <c r="AW108" s="30">
        <f t="shared" si="147"/>
        <v>0</v>
      </c>
      <c r="AX108" s="30">
        <f t="shared" si="148"/>
        <v>0</v>
      </c>
      <c r="AY108" s="31" t="s">
        <v>315</v>
      </c>
      <c r="AZ108" s="31" t="s">
        <v>316</v>
      </c>
      <c r="BA108" s="10" t="s">
        <v>60</v>
      </c>
      <c r="BC108" s="30">
        <f t="shared" si="149"/>
        <v>0</v>
      </c>
      <c r="BD108" s="30">
        <f t="shared" si="150"/>
        <v>0</v>
      </c>
      <c r="BE108" s="30">
        <v>0</v>
      </c>
      <c r="BF108" s="30">
        <f>108</f>
        <v>108</v>
      </c>
      <c r="BH108" s="30">
        <f t="shared" si="151"/>
        <v>0</v>
      </c>
      <c r="BI108" s="30">
        <f t="shared" si="152"/>
        <v>0</v>
      </c>
      <c r="BJ108" s="30">
        <f t="shared" si="153"/>
        <v>0</v>
      </c>
      <c r="BK108" s="30"/>
      <c r="BL108" s="30">
        <v>731</v>
      </c>
      <c r="BW108" s="30">
        <v>12</v>
      </c>
      <c r="BX108" s="4" t="s">
        <v>331</v>
      </c>
    </row>
    <row r="109" spans="1:76" x14ac:dyDescent="0.25">
      <c r="A109" s="32" t="s">
        <v>332</v>
      </c>
      <c r="B109" s="33" t="s">
        <v>333</v>
      </c>
      <c r="C109" s="139" t="s">
        <v>334</v>
      </c>
      <c r="D109" s="140"/>
      <c r="E109" s="33" t="s">
        <v>335</v>
      </c>
      <c r="F109" s="34">
        <v>1</v>
      </c>
      <c r="G109" s="35">
        <v>0</v>
      </c>
      <c r="H109" s="34">
        <f t="shared" si="132"/>
        <v>0</v>
      </c>
      <c r="I109" s="34">
        <f t="shared" si="133"/>
        <v>0</v>
      </c>
      <c r="J109" s="34">
        <f t="shared" si="134"/>
        <v>0</v>
      </c>
      <c r="K109" s="36" t="s">
        <v>57</v>
      </c>
      <c r="Z109" s="30">
        <f t="shared" si="135"/>
        <v>0</v>
      </c>
      <c r="AB109" s="30">
        <f t="shared" si="136"/>
        <v>0</v>
      </c>
      <c r="AC109" s="30">
        <f t="shared" si="137"/>
        <v>0</v>
      </c>
      <c r="AD109" s="30">
        <f t="shared" si="138"/>
        <v>0</v>
      </c>
      <c r="AE109" s="30">
        <f t="shared" si="139"/>
        <v>0</v>
      </c>
      <c r="AF109" s="30">
        <f t="shared" si="140"/>
        <v>0</v>
      </c>
      <c r="AG109" s="30">
        <f t="shared" si="141"/>
        <v>0</v>
      </c>
      <c r="AH109" s="30">
        <f t="shared" si="142"/>
        <v>0</v>
      </c>
      <c r="AI109" s="10" t="s">
        <v>50</v>
      </c>
      <c r="AJ109" s="30">
        <f t="shared" si="143"/>
        <v>0</v>
      </c>
      <c r="AK109" s="30">
        <f t="shared" si="144"/>
        <v>0</v>
      </c>
      <c r="AL109" s="30">
        <f t="shared" si="145"/>
        <v>0</v>
      </c>
      <c r="AN109" s="30">
        <v>12</v>
      </c>
      <c r="AO109" s="30">
        <f>G109*0.941523915</f>
        <v>0</v>
      </c>
      <c r="AP109" s="30">
        <f>G109*(1-0.941523915)</f>
        <v>0</v>
      </c>
      <c r="AQ109" s="31" t="s">
        <v>80</v>
      </c>
      <c r="AV109" s="30">
        <f t="shared" si="146"/>
        <v>0</v>
      </c>
      <c r="AW109" s="30">
        <f t="shared" si="147"/>
        <v>0</v>
      </c>
      <c r="AX109" s="30">
        <f t="shared" si="148"/>
        <v>0</v>
      </c>
      <c r="AY109" s="31" t="s">
        <v>315</v>
      </c>
      <c r="AZ109" s="31" t="s">
        <v>316</v>
      </c>
      <c r="BA109" s="10" t="s">
        <v>60</v>
      </c>
      <c r="BC109" s="30">
        <f t="shared" si="149"/>
        <v>0</v>
      </c>
      <c r="BD109" s="30">
        <f t="shared" si="150"/>
        <v>0</v>
      </c>
      <c r="BE109" s="30">
        <v>0</v>
      </c>
      <c r="BF109" s="30">
        <f>109</f>
        <v>109</v>
      </c>
      <c r="BH109" s="30">
        <f t="shared" si="151"/>
        <v>0</v>
      </c>
      <c r="BI109" s="30">
        <f t="shared" si="152"/>
        <v>0</v>
      </c>
      <c r="BJ109" s="30">
        <f t="shared" si="153"/>
        <v>0</v>
      </c>
      <c r="BK109" s="30"/>
      <c r="BL109" s="30">
        <v>731</v>
      </c>
      <c r="BW109" s="30">
        <v>12</v>
      </c>
      <c r="BX109" s="4" t="s">
        <v>334</v>
      </c>
    </row>
    <row r="110" spans="1:76" x14ac:dyDescent="0.25">
      <c r="A110" s="32" t="s">
        <v>336</v>
      </c>
      <c r="B110" s="33" t="s">
        <v>337</v>
      </c>
      <c r="C110" s="139" t="s">
        <v>338</v>
      </c>
      <c r="D110" s="140"/>
      <c r="E110" s="33" t="s">
        <v>335</v>
      </c>
      <c r="F110" s="34">
        <v>1</v>
      </c>
      <c r="G110" s="35">
        <v>0</v>
      </c>
      <c r="H110" s="34">
        <f t="shared" si="132"/>
        <v>0</v>
      </c>
      <c r="I110" s="34">
        <f t="shared" si="133"/>
        <v>0</v>
      </c>
      <c r="J110" s="34">
        <f t="shared" si="134"/>
        <v>0</v>
      </c>
      <c r="K110" s="36" t="s">
        <v>57</v>
      </c>
      <c r="Z110" s="30">
        <f t="shared" si="135"/>
        <v>0</v>
      </c>
      <c r="AB110" s="30">
        <f t="shared" si="136"/>
        <v>0</v>
      </c>
      <c r="AC110" s="30">
        <f t="shared" si="137"/>
        <v>0</v>
      </c>
      <c r="AD110" s="30">
        <f t="shared" si="138"/>
        <v>0</v>
      </c>
      <c r="AE110" s="30">
        <f t="shared" si="139"/>
        <v>0</v>
      </c>
      <c r="AF110" s="30">
        <f t="shared" si="140"/>
        <v>0</v>
      </c>
      <c r="AG110" s="30">
        <f t="shared" si="141"/>
        <v>0</v>
      </c>
      <c r="AH110" s="30">
        <f t="shared" si="142"/>
        <v>0</v>
      </c>
      <c r="AI110" s="10" t="s">
        <v>50</v>
      </c>
      <c r="AJ110" s="30">
        <f t="shared" si="143"/>
        <v>0</v>
      </c>
      <c r="AK110" s="30">
        <f t="shared" si="144"/>
        <v>0</v>
      </c>
      <c r="AL110" s="30">
        <f t="shared" si="145"/>
        <v>0</v>
      </c>
      <c r="AN110" s="30">
        <v>12</v>
      </c>
      <c r="AO110" s="30">
        <f>G110*0.896311637</f>
        <v>0</v>
      </c>
      <c r="AP110" s="30">
        <f>G110*(1-0.896311637)</f>
        <v>0</v>
      </c>
      <c r="AQ110" s="31" t="s">
        <v>80</v>
      </c>
      <c r="AV110" s="30">
        <f t="shared" si="146"/>
        <v>0</v>
      </c>
      <c r="AW110" s="30">
        <f t="shared" si="147"/>
        <v>0</v>
      </c>
      <c r="AX110" s="30">
        <f t="shared" si="148"/>
        <v>0</v>
      </c>
      <c r="AY110" s="31" t="s">
        <v>315</v>
      </c>
      <c r="AZ110" s="31" t="s">
        <v>316</v>
      </c>
      <c r="BA110" s="10" t="s">
        <v>60</v>
      </c>
      <c r="BC110" s="30">
        <f t="shared" si="149"/>
        <v>0</v>
      </c>
      <c r="BD110" s="30">
        <f t="shared" si="150"/>
        <v>0</v>
      </c>
      <c r="BE110" s="30">
        <v>0</v>
      </c>
      <c r="BF110" s="30">
        <f>110</f>
        <v>110</v>
      </c>
      <c r="BH110" s="30">
        <f t="shared" si="151"/>
        <v>0</v>
      </c>
      <c r="BI110" s="30">
        <f t="shared" si="152"/>
        <v>0</v>
      </c>
      <c r="BJ110" s="30">
        <f t="shared" si="153"/>
        <v>0</v>
      </c>
      <c r="BK110" s="30"/>
      <c r="BL110" s="30">
        <v>731</v>
      </c>
      <c r="BW110" s="30">
        <v>12</v>
      </c>
      <c r="BX110" s="4" t="s">
        <v>338</v>
      </c>
    </row>
    <row r="111" spans="1:76" x14ac:dyDescent="0.25">
      <c r="A111" s="32" t="s">
        <v>339</v>
      </c>
      <c r="B111" s="33" t="s">
        <v>340</v>
      </c>
      <c r="C111" s="139" t="s">
        <v>341</v>
      </c>
      <c r="D111" s="140"/>
      <c r="E111" s="33" t="s">
        <v>56</v>
      </c>
      <c r="F111" s="34">
        <v>5</v>
      </c>
      <c r="G111" s="35">
        <v>0</v>
      </c>
      <c r="H111" s="34">
        <f t="shared" si="132"/>
        <v>0</v>
      </c>
      <c r="I111" s="34">
        <f t="shared" si="133"/>
        <v>0</v>
      </c>
      <c r="J111" s="34">
        <f t="shared" si="134"/>
        <v>0</v>
      </c>
      <c r="K111" s="36" t="s">
        <v>57</v>
      </c>
      <c r="Z111" s="30">
        <f t="shared" si="135"/>
        <v>0</v>
      </c>
      <c r="AB111" s="30">
        <f t="shared" si="136"/>
        <v>0</v>
      </c>
      <c r="AC111" s="30">
        <f t="shared" si="137"/>
        <v>0</v>
      </c>
      <c r="AD111" s="30">
        <f t="shared" si="138"/>
        <v>0</v>
      </c>
      <c r="AE111" s="30">
        <f t="shared" si="139"/>
        <v>0</v>
      </c>
      <c r="AF111" s="30">
        <f t="shared" si="140"/>
        <v>0</v>
      </c>
      <c r="AG111" s="30">
        <f t="shared" si="141"/>
        <v>0</v>
      </c>
      <c r="AH111" s="30">
        <f t="shared" si="142"/>
        <v>0</v>
      </c>
      <c r="AI111" s="10" t="s">
        <v>50</v>
      </c>
      <c r="AJ111" s="30">
        <f t="shared" si="143"/>
        <v>0</v>
      </c>
      <c r="AK111" s="30">
        <f t="shared" si="144"/>
        <v>0</v>
      </c>
      <c r="AL111" s="30">
        <f t="shared" si="145"/>
        <v>0</v>
      </c>
      <c r="AN111" s="30">
        <v>12</v>
      </c>
      <c r="AO111" s="30">
        <f>G111*0.944840391</f>
        <v>0</v>
      </c>
      <c r="AP111" s="30">
        <f>G111*(1-0.944840391)</f>
        <v>0</v>
      </c>
      <c r="AQ111" s="31" t="s">
        <v>80</v>
      </c>
      <c r="AV111" s="30">
        <f t="shared" si="146"/>
        <v>0</v>
      </c>
      <c r="AW111" s="30">
        <f t="shared" si="147"/>
        <v>0</v>
      </c>
      <c r="AX111" s="30">
        <f t="shared" si="148"/>
        <v>0</v>
      </c>
      <c r="AY111" s="31" t="s">
        <v>315</v>
      </c>
      <c r="AZ111" s="31" t="s">
        <v>316</v>
      </c>
      <c r="BA111" s="10" t="s">
        <v>60</v>
      </c>
      <c r="BC111" s="30">
        <f t="shared" si="149"/>
        <v>0</v>
      </c>
      <c r="BD111" s="30">
        <f t="shared" si="150"/>
        <v>0</v>
      </c>
      <c r="BE111" s="30">
        <v>0</v>
      </c>
      <c r="BF111" s="30">
        <f>111</f>
        <v>111</v>
      </c>
      <c r="BH111" s="30">
        <f t="shared" si="151"/>
        <v>0</v>
      </c>
      <c r="BI111" s="30">
        <f t="shared" si="152"/>
        <v>0</v>
      </c>
      <c r="BJ111" s="30">
        <f t="shared" si="153"/>
        <v>0</v>
      </c>
      <c r="BK111" s="30"/>
      <c r="BL111" s="30">
        <v>731</v>
      </c>
      <c r="BW111" s="30">
        <v>12</v>
      </c>
      <c r="BX111" s="4" t="s">
        <v>341</v>
      </c>
    </row>
    <row r="112" spans="1:76" x14ac:dyDescent="0.25">
      <c r="A112" s="32" t="s">
        <v>342</v>
      </c>
      <c r="B112" s="33" t="s">
        <v>343</v>
      </c>
      <c r="C112" s="139" t="s">
        <v>344</v>
      </c>
      <c r="D112" s="140"/>
      <c r="E112" s="33" t="s">
        <v>86</v>
      </c>
      <c r="F112" s="34">
        <v>0.29219000000000001</v>
      </c>
      <c r="G112" s="35">
        <v>0</v>
      </c>
      <c r="H112" s="34">
        <f t="shared" si="132"/>
        <v>0</v>
      </c>
      <c r="I112" s="34">
        <f t="shared" si="133"/>
        <v>0</v>
      </c>
      <c r="J112" s="34">
        <f t="shared" si="134"/>
        <v>0</v>
      </c>
      <c r="K112" s="36" t="s">
        <v>57</v>
      </c>
      <c r="Z112" s="30">
        <f t="shared" si="135"/>
        <v>0</v>
      </c>
      <c r="AB112" s="30">
        <f t="shared" si="136"/>
        <v>0</v>
      </c>
      <c r="AC112" s="30">
        <f t="shared" si="137"/>
        <v>0</v>
      </c>
      <c r="AD112" s="30">
        <f t="shared" si="138"/>
        <v>0</v>
      </c>
      <c r="AE112" s="30">
        <f t="shared" si="139"/>
        <v>0</v>
      </c>
      <c r="AF112" s="30">
        <f t="shared" si="140"/>
        <v>0</v>
      </c>
      <c r="AG112" s="30">
        <f t="shared" si="141"/>
        <v>0</v>
      </c>
      <c r="AH112" s="30">
        <f t="shared" si="142"/>
        <v>0</v>
      </c>
      <c r="AI112" s="10" t="s">
        <v>50</v>
      </c>
      <c r="AJ112" s="30">
        <f t="shared" si="143"/>
        <v>0</v>
      </c>
      <c r="AK112" s="30">
        <f t="shared" si="144"/>
        <v>0</v>
      </c>
      <c r="AL112" s="30">
        <f t="shared" si="145"/>
        <v>0</v>
      </c>
      <c r="AN112" s="30">
        <v>12</v>
      </c>
      <c r="AO112" s="30">
        <f>G112*0</f>
        <v>0</v>
      </c>
      <c r="AP112" s="30">
        <f>G112*(1-0)</f>
        <v>0</v>
      </c>
      <c r="AQ112" s="31" t="s">
        <v>73</v>
      </c>
      <c r="AV112" s="30">
        <f t="shared" si="146"/>
        <v>0</v>
      </c>
      <c r="AW112" s="30">
        <f t="shared" si="147"/>
        <v>0</v>
      </c>
      <c r="AX112" s="30">
        <f t="shared" si="148"/>
        <v>0</v>
      </c>
      <c r="AY112" s="31" t="s">
        <v>315</v>
      </c>
      <c r="AZ112" s="31" t="s">
        <v>316</v>
      </c>
      <c r="BA112" s="10" t="s">
        <v>60</v>
      </c>
      <c r="BC112" s="30">
        <f t="shared" si="149"/>
        <v>0</v>
      </c>
      <c r="BD112" s="30">
        <f t="shared" si="150"/>
        <v>0</v>
      </c>
      <c r="BE112" s="30">
        <v>0</v>
      </c>
      <c r="BF112" s="30">
        <f>112</f>
        <v>112</v>
      </c>
      <c r="BH112" s="30">
        <f t="shared" si="151"/>
        <v>0</v>
      </c>
      <c r="BI112" s="30">
        <f t="shared" si="152"/>
        <v>0</v>
      </c>
      <c r="BJ112" s="30">
        <f t="shared" si="153"/>
        <v>0</v>
      </c>
      <c r="BK112" s="30"/>
      <c r="BL112" s="30">
        <v>731</v>
      </c>
      <c r="BW112" s="30">
        <v>12</v>
      </c>
      <c r="BX112" s="4" t="s">
        <v>344</v>
      </c>
    </row>
    <row r="113" spans="1:76" x14ac:dyDescent="0.25">
      <c r="A113" s="39" t="s">
        <v>50</v>
      </c>
      <c r="B113" s="40" t="s">
        <v>345</v>
      </c>
      <c r="C113" s="145" t="s">
        <v>346</v>
      </c>
      <c r="D113" s="146"/>
      <c r="E113" s="41" t="s">
        <v>4</v>
      </c>
      <c r="F113" s="41" t="s">
        <v>4</v>
      </c>
      <c r="G113" s="42" t="s">
        <v>4</v>
      </c>
      <c r="H113" s="43">
        <f>SUM(H114:H114)</f>
        <v>0</v>
      </c>
      <c r="I113" s="43">
        <f>SUM(I114:I114)</f>
        <v>0</v>
      </c>
      <c r="J113" s="43">
        <f>SUM(J114:J114)</f>
        <v>0</v>
      </c>
      <c r="K113" s="44" t="s">
        <v>50</v>
      </c>
      <c r="AI113" s="10" t="s">
        <v>50</v>
      </c>
      <c r="AS113" s="1">
        <f>SUM(AJ114:AJ114)</f>
        <v>0</v>
      </c>
      <c r="AT113" s="1">
        <f>SUM(AK114:AK114)</f>
        <v>0</v>
      </c>
      <c r="AU113" s="1">
        <f>SUM(AL114:AL114)</f>
        <v>0</v>
      </c>
    </row>
    <row r="114" spans="1:76" x14ac:dyDescent="0.25">
      <c r="A114" s="25" t="s">
        <v>347</v>
      </c>
      <c r="B114" s="26" t="s">
        <v>348</v>
      </c>
      <c r="C114" s="137" t="s">
        <v>349</v>
      </c>
      <c r="D114" s="138"/>
      <c r="E114" s="26" t="s">
        <v>218</v>
      </c>
      <c r="F114" s="27">
        <v>1</v>
      </c>
      <c r="G114" s="28">
        <v>0</v>
      </c>
      <c r="H114" s="27">
        <f>F114*AO114</f>
        <v>0</v>
      </c>
      <c r="I114" s="27">
        <f>F114*AP114</f>
        <v>0</v>
      </c>
      <c r="J114" s="27">
        <f>F114*G114</f>
        <v>0</v>
      </c>
      <c r="K114" s="29" t="s">
        <v>57</v>
      </c>
      <c r="Z114" s="30">
        <f>IF(AQ114="5",BJ114,0)</f>
        <v>0</v>
      </c>
      <c r="AB114" s="30">
        <f>IF(AQ114="1",BH114,0)</f>
        <v>0</v>
      </c>
      <c r="AC114" s="30">
        <f>IF(AQ114="1",BI114,0)</f>
        <v>0</v>
      </c>
      <c r="AD114" s="30">
        <f>IF(AQ114="7",BH114,0)</f>
        <v>0</v>
      </c>
      <c r="AE114" s="30">
        <f>IF(AQ114="7",BI114,0)</f>
        <v>0</v>
      </c>
      <c r="AF114" s="30">
        <f>IF(AQ114="2",BH114,0)</f>
        <v>0</v>
      </c>
      <c r="AG114" s="30">
        <f>IF(AQ114="2",BI114,0)</f>
        <v>0</v>
      </c>
      <c r="AH114" s="30">
        <f>IF(AQ114="0",BJ114,0)</f>
        <v>0</v>
      </c>
      <c r="AI114" s="10" t="s">
        <v>50</v>
      </c>
      <c r="AJ114" s="30">
        <f>IF(AN114=0,J114,0)</f>
        <v>0</v>
      </c>
      <c r="AK114" s="30">
        <f>IF(AN114=12,J114,0)</f>
        <v>0</v>
      </c>
      <c r="AL114" s="30">
        <f>IF(AN114=21,J114,0)</f>
        <v>0</v>
      </c>
      <c r="AN114" s="30">
        <v>12</v>
      </c>
      <c r="AO114" s="30">
        <f>G114*0.902083527</f>
        <v>0</v>
      </c>
      <c r="AP114" s="30">
        <f>G114*(1-0.902083527)</f>
        <v>0</v>
      </c>
      <c r="AQ114" s="31" t="s">
        <v>80</v>
      </c>
      <c r="AV114" s="30">
        <f>AW114+AX114</f>
        <v>0</v>
      </c>
      <c r="AW114" s="30">
        <f>F114*AO114</f>
        <v>0</v>
      </c>
      <c r="AX114" s="30">
        <f>F114*AP114</f>
        <v>0</v>
      </c>
      <c r="AY114" s="31" t="s">
        <v>350</v>
      </c>
      <c r="AZ114" s="31" t="s">
        <v>316</v>
      </c>
      <c r="BA114" s="10" t="s">
        <v>60</v>
      </c>
      <c r="BC114" s="30">
        <f>AW114+AX114</f>
        <v>0</v>
      </c>
      <c r="BD114" s="30">
        <f>G114/(100-BE114)*100</f>
        <v>0</v>
      </c>
      <c r="BE114" s="30">
        <v>0</v>
      </c>
      <c r="BF114" s="30">
        <f>114</f>
        <v>114</v>
      </c>
      <c r="BH114" s="30">
        <f>F114*AO114</f>
        <v>0</v>
      </c>
      <c r="BI114" s="30">
        <f>F114*AP114</f>
        <v>0</v>
      </c>
      <c r="BJ114" s="30">
        <f>F114*G114</f>
        <v>0</v>
      </c>
      <c r="BK114" s="30"/>
      <c r="BL114" s="30">
        <v>732</v>
      </c>
      <c r="BW114" s="30">
        <v>12</v>
      </c>
      <c r="BX114" s="4" t="s">
        <v>349</v>
      </c>
    </row>
    <row r="115" spans="1:76" x14ac:dyDescent="0.25">
      <c r="A115" s="39" t="s">
        <v>50</v>
      </c>
      <c r="B115" s="40" t="s">
        <v>351</v>
      </c>
      <c r="C115" s="145" t="s">
        <v>352</v>
      </c>
      <c r="D115" s="146"/>
      <c r="E115" s="41" t="s">
        <v>4</v>
      </c>
      <c r="F115" s="41" t="s">
        <v>4</v>
      </c>
      <c r="G115" s="42" t="s">
        <v>4</v>
      </c>
      <c r="H115" s="43">
        <f>SUM(H116:H120)</f>
        <v>0</v>
      </c>
      <c r="I115" s="43">
        <f>SUM(I116:I120)</f>
        <v>0</v>
      </c>
      <c r="J115" s="43">
        <f>SUM(J116:J120)</f>
        <v>0</v>
      </c>
      <c r="K115" s="44" t="s">
        <v>50</v>
      </c>
      <c r="AI115" s="10" t="s">
        <v>50</v>
      </c>
      <c r="AS115" s="1">
        <f>SUM(AJ116:AJ120)</f>
        <v>0</v>
      </c>
      <c r="AT115" s="1">
        <f>SUM(AK116:AK120)</f>
        <v>0</v>
      </c>
      <c r="AU115" s="1">
        <f>SUM(AL116:AL120)</f>
        <v>0</v>
      </c>
    </row>
    <row r="116" spans="1:76" x14ac:dyDescent="0.25">
      <c r="A116" s="25" t="s">
        <v>353</v>
      </c>
      <c r="B116" s="26" t="s">
        <v>354</v>
      </c>
      <c r="C116" s="137" t="s">
        <v>355</v>
      </c>
      <c r="D116" s="138"/>
      <c r="E116" s="26" t="s">
        <v>76</v>
      </c>
      <c r="F116" s="27">
        <v>2.5</v>
      </c>
      <c r="G116" s="28">
        <v>0</v>
      </c>
      <c r="H116" s="27">
        <f>F116*AO116</f>
        <v>0</v>
      </c>
      <c r="I116" s="27">
        <f>F116*AP116</f>
        <v>0</v>
      </c>
      <c r="J116" s="27">
        <f>F116*G116</f>
        <v>0</v>
      </c>
      <c r="K116" s="29" t="s">
        <v>57</v>
      </c>
      <c r="Z116" s="30">
        <f>IF(AQ116="5",BJ116,0)</f>
        <v>0</v>
      </c>
      <c r="AB116" s="30">
        <f>IF(AQ116="1",BH116,0)</f>
        <v>0</v>
      </c>
      <c r="AC116" s="30">
        <f>IF(AQ116="1",BI116,0)</f>
        <v>0</v>
      </c>
      <c r="AD116" s="30">
        <f>IF(AQ116="7",BH116,0)</f>
        <v>0</v>
      </c>
      <c r="AE116" s="30">
        <f>IF(AQ116="7",BI116,0)</f>
        <v>0</v>
      </c>
      <c r="AF116" s="30">
        <f>IF(AQ116="2",BH116,0)</f>
        <v>0</v>
      </c>
      <c r="AG116" s="30">
        <f>IF(AQ116="2",BI116,0)</f>
        <v>0</v>
      </c>
      <c r="AH116" s="30">
        <f>IF(AQ116="0",BJ116,0)</f>
        <v>0</v>
      </c>
      <c r="AI116" s="10" t="s">
        <v>50</v>
      </c>
      <c r="AJ116" s="30">
        <f>IF(AN116=0,J116,0)</f>
        <v>0</v>
      </c>
      <c r="AK116" s="30">
        <f>IF(AN116=12,J116,0)</f>
        <v>0</v>
      </c>
      <c r="AL116" s="30">
        <f>IF(AN116=21,J116,0)</f>
        <v>0</v>
      </c>
      <c r="AN116" s="30">
        <v>12</v>
      </c>
      <c r="AO116" s="30">
        <f>G116*0.642334856</f>
        <v>0</v>
      </c>
      <c r="AP116" s="30">
        <f>G116*(1-0.642334856)</f>
        <v>0</v>
      </c>
      <c r="AQ116" s="31" t="s">
        <v>80</v>
      </c>
      <c r="AV116" s="30">
        <f>AW116+AX116</f>
        <v>0</v>
      </c>
      <c r="AW116" s="30">
        <f>F116*AO116</f>
        <v>0</v>
      </c>
      <c r="AX116" s="30">
        <f>F116*AP116</f>
        <v>0</v>
      </c>
      <c r="AY116" s="31" t="s">
        <v>356</v>
      </c>
      <c r="AZ116" s="31" t="s">
        <v>316</v>
      </c>
      <c r="BA116" s="10" t="s">
        <v>60</v>
      </c>
      <c r="BC116" s="30">
        <f>AW116+AX116</f>
        <v>0</v>
      </c>
      <c r="BD116" s="30">
        <f>G116/(100-BE116)*100</f>
        <v>0</v>
      </c>
      <c r="BE116" s="30">
        <v>0</v>
      </c>
      <c r="BF116" s="30">
        <f>116</f>
        <v>116</v>
      </c>
      <c r="BH116" s="30">
        <f>F116*AO116</f>
        <v>0</v>
      </c>
      <c r="BI116" s="30">
        <f>F116*AP116</f>
        <v>0</v>
      </c>
      <c r="BJ116" s="30">
        <f>F116*G116</f>
        <v>0</v>
      </c>
      <c r="BK116" s="30"/>
      <c r="BL116" s="30">
        <v>733</v>
      </c>
      <c r="BW116" s="30">
        <v>12</v>
      </c>
      <c r="BX116" s="4" t="s">
        <v>355</v>
      </c>
    </row>
    <row r="117" spans="1:76" x14ac:dyDescent="0.25">
      <c r="A117" s="32" t="s">
        <v>357</v>
      </c>
      <c r="B117" s="33" t="s">
        <v>358</v>
      </c>
      <c r="C117" s="139" t="s">
        <v>359</v>
      </c>
      <c r="D117" s="140"/>
      <c r="E117" s="33" t="s">
        <v>76</v>
      </c>
      <c r="F117" s="34">
        <v>2.5</v>
      </c>
      <c r="G117" s="35">
        <v>0</v>
      </c>
      <c r="H117" s="34">
        <f>F117*AO117</f>
        <v>0</v>
      </c>
      <c r="I117" s="34">
        <f>F117*AP117</f>
        <v>0</v>
      </c>
      <c r="J117" s="34">
        <f>F117*G117</f>
        <v>0</v>
      </c>
      <c r="K117" s="36" t="s">
        <v>57</v>
      </c>
      <c r="Z117" s="30">
        <f>IF(AQ117="5",BJ117,0)</f>
        <v>0</v>
      </c>
      <c r="AB117" s="30">
        <f>IF(AQ117="1",BH117,0)</f>
        <v>0</v>
      </c>
      <c r="AC117" s="30">
        <f>IF(AQ117="1",BI117,0)</f>
        <v>0</v>
      </c>
      <c r="AD117" s="30">
        <f>IF(AQ117="7",BH117,0)</f>
        <v>0</v>
      </c>
      <c r="AE117" s="30">
        <f>IF(AQ117="7",BI117,0)</f>
        <v>0</v>
      </c>
      <c r="AF117" s="30">
        <f>IF(AQ117="2",BH117,0)</f>
        <v>0</v>
      </c>
      <c r="AG117" s="30">
        <f>IF(AQ117="2",BI117,0)</f>
        <v>0</v>
      </c>
      <c r="AH117" s="30">
        <f>IF(AQ117="0",BJ117,0)</f>
        <v>0</v>
      </c>
      <c r="AI117" s="10" t="s">
        <v>50</v>
      </c>
      <c r="AJ117" s="30">
        <f>IF(AN117=0,J117,0)</f>
        <v>0</v>
      </c>
      <c r="AK117" s="30">
        <f>IF(AN117=12,J117,0)</f>
        <v>0</v>
      </c>
      <c r="AL117" s="30">
        <f>IF(AN117=21,J117,0)</f>
        <v>0</v>
      </c>
      <c r="AN117" s="30">
        <v>12</v>
      </c>
      <c r="AO117" s="30">
        <f>G117*0.221440126</f>
        <v>0</v>
      </c>
      <c r="AP117" s="30">
        <f>G117*(1-0.221440126)</f>
        <v>0</v>
      </c>
      <c r="AQ117" s="31" t="s">
        <v>80</v>
      </c>
      <c r="AV117" s="30">
        <f>AW117+AX117</f>
        <v>0</v>
      </c>
      <c r="AW117" s="30">
        <f>F117*AO117</f>
        <v>0</v>
      </c>
      <c r="AX117" s="30">
        <f>F117*AP117</f>
        <v>0</v>
      </c>
      <c r="AY117" s="31" t="s">
        <v>356</v>
      </c>
      <c r="AZ117" s="31" t="s">
        <v>316</v>
      </c>
      <c r="BA117" s="10" t="s">
        <v>60</v>
      </c>
      <c r="BC117" s="30">
        <f>AW117+AX117</f>
        <v>0</v>
      </c>
      <c r="BD117" s="30">
        <f>G117/(100-BE117)*100</f>
        <v>0</v>
      </c>
      <c r="BE117" s="30">
        <v>0</v>
      </c>
      <c r="BF117" s="30">
        <f>117</f>
        <v>117</v>
      </c>
      <c r="BH117" s="30">
        <f>F117*AO117</f>
        <v>0</v>
      </c>
      <c r="BI117" s="30">
        <f>F117*AP117</f>
        <v>0</v>
      </c>
      <c r="BJ117" s="30">
        <f>F117*G117</f>
        <v>0</v>
      </c>
      <c r="BK117" s="30"/>
      <c r="BL117" s="30">
        <v>733</v>
      </c>
      <c r="BW117" s="30">
        <v>12</v>
      </c>
      <c r="BX117" s="4" t="s">
        <v>359</v>
      </c>
    </row>
    <row r="118" spans="1:76" ht="13.5" customHeight="1" x14ac:dyDescent="0.25">
      <c r="A118" s="37"/>
      <c r="B118" s="38" t="s">
        <v>68</v>
      </c>
      <c r="C118" s="141" t="s">
        <v>360</v>
      </c>
      <c r="D118" s="142"/>
      <c r="E118" s="142"/>
      <c r="F118" s="142"/>
      <c r="G118" s="143"/>
      <c r="H118" s="142"/>
      <c r="I118" s="142"/>
      <c r="J118" s="142"/>
      <c r="K118" s="144"/>
    </row>
    <row r="119" spans="1:76" x14ac:dyDescent="0.25">
      <c r="A119" s="25" t="s">
        <v>361</v>
      </c>
      <c r="B119" s="26" t="s">
        <v>362</v>
      </c>
      <c r="C119" s="137" t="s">
        <v>363</v>
      </c>
      <c r="D119" s="138"/>
      <c r="E119" s="26" t="s">
        <v>76</v>
      </c>
      <c r="F119" s="27">
        <v>2.5</v>
      </c>
      <c r="G119" s="28">
        <v>0</v>
      </c>
      <c r="H119" s="27">
        <f>F119*AO119</f>
        <v>0</v>
      </c>
      <c r="I119" s="27">
        <f>F119*AP119</f>
        <v>0</v>
      </c>
      <c r="J119" s="27">
        <f>F119*G119</f>
        <v>0</v>
      </c>
      <c r="K119" s="29" t="s">
        <v>57</v>
      </c>
      <c r="Z119" s="30">
        <f>IF(AQ119="5",BJ119,0)</f>
        <v>0</v>
      </c>
      <c r="AB119" s="30">
        <f>IF(AQ119="1",BH119,0)</f>
        <v>0</v>
      </c>
      <c r="AC119" s="30">
        <f>IF(AQ119="1",BI119,0)</f>
        <v>0</v>
      </c>
      <c r="AD119" s="30">
        <f>IF(AQ119="7",BH119,0)</f>
        <v>0</v>
      </c>
      <c r="AE119" s="30">
        <f>IF(AQ119="7",BI119,0)</f>
        <v>0</v>
      </c>
      <c r="AF119" s="30">
        <f>IF(AQ119="2",BH119,0)</f>
        <v>0</v>
      </c>
      <c r="AG119" s="30">
        <f>IF(AQ119="2",BI119,0)</f>
        <v>0</v>
      </c>
      <c r="AH119" s="30">
        <f>IF(AQ119="0",BJ119,0)</f>
        <v>0</v>
      </c>
      <c r="AI119" s="10" t="s">
        <v>50</v>
      </c>
      <c r="AJ119" s="30">
        <f>IF(AN119=0,J119,0)</f>
        <v>0</v>
      </c>
      <c r="AK119" s="30">
        <f>IF(AN119=12,J119,0)</f>
        <v>0</v>
      </c>
      <c r="AL119" s="30">
        <f>IF(AN119=21,J119,0)</f>
        <v>0</v>
      </c>
      <c r="AN119" s="30">
        <v>12</v>
      </c>
      <c r="AO119" s="30">
        <f>G119*0.024528302</f>
        <v>0</v>
      </c>
      <c r="AP119" s="30">
        <f>G119*(1-0.024528302)</f>
        <v>0</v>
      </c>
      <c r="AQ119" s="31" t="s">
        <v>80</v>
      </c>
      <c r="AV119" s="30">
        <f>AW119+AX119</f>
        <v>0</v>
      </c>
      <c r="AW119" s="30">
        <f>F119*AO119</f>
        <v>0</v>
      </c>
      <c r="AX119" s="30">
        <f>F119*AP119</f>
        <v>0</v>
      </c>
      <c r="AY119" s="31" t="s">
        <v>356</v>
      </c>
      <c r="AZ119" s="31" t="s">
        <v>316</v>
      </c>
      <c r="BA119" s="10" t="s">
        <v>60</v>
      </c>
      <c r="BC119" s="30">
        <f>AW119+AX119</f>
        <v>0</v>
      </c>
      <c r="BD119" s="30">
        <f>G119/(100-BE119)*100</f>
        <v>0</v>
      </c>
      <c r="BE119" s="30">
        <v>0</v>
      </c>
      <c r="BF119" s="30">
        <f>119</f>
        <v>119</v>
      </c>
      <c r="BH119" s="30">
        <f>F119*AO119</f>
        <v>0</v>
      </c>
      <c r="BI119" s="30">
        <f>F119*AP119</f>
        <v>0</v>
      </c>
      <c r="BJ119" s="30">
        <f>F119*G119</f>
        <v>0</v>
      </c>
      <c r="BK119" s="30"/>
      <c r="BL119" s="30">
        <v>733</v>
      </c>
      <c r="BW119" s="30">
        <v>12</v>
      </c>
      <c r="BX119" s="4" t="s">
        <v>363</v>
      </c>
    </row>
    <row r="120" spans="1:76" x14ac:dyDescent="0.25">
      <c r="A120" s="32" t="s">
        <v>364</v>
      </c>
      <c r="B120" s="33" t="s">
        <v>365</v>
      </c>
      <c r="C120" s="139" t="s">
        <v>366</v>
      </c>
      <c r="D120" s="140"/>
      <c r="E120" s="33" t="s">
        <v>86</v>
      </c>
      <c r="F120" s="34">
        <v>2.2499999999999998E-3</v>
      </c>
      <c r="G120" s="35">
        <v>0</v>
      </c>
      <c r="H120" s="34">
        <f>F120*AO120</f>
        <v>0</v>
      </c>
      <c r="I120" s="34">
        <f>F120*AP120</f>
        <v>0</v>
      </c>
      <c r="J120" s="34">
        <f>F120*G120</f>
        <v>0</v>
      </c>
      <c r="K120" s="36" t="s">
        <v>57</v>
      </c>
      <c r="Z120" s="30">
        <f>IF(AQ120="5",BJ120,0)</f>
        <v>0</v>
      </c>
      <c r="AB120" s="30">
        <f>IF(AQ120="1",BH120,0)</f>
        <v>0</v>
      </c>
      <c r="AC120" s="30">
        <f>IF(AQ120="1",BI120,0)</f>
        <v>0</v>
      </c>
      <c r="AD120" s="30">
        <f>IF(AQ120="7",BH120,0)</f>
        <v>0</v>
      </c>
      <c r="AE120" s="30">
        <f>IF(AQ120="7",BI120,0)</f>
        <v>0</v>
      </c>
      <c r="AF120" s="30">
        <f>IF(AQ120="2",BH120,0)</f>
        <v>0</v>
      </c>
      <c r="AG120" s="30">
        <f>IF(AQ120="2",BI120,0)</f>
        <v>0</v>
      </c>
      <c r="AH120" s="30">
        <f>IF(AQ120="0",BJ120,0)</f>
        <v>0</v>
      </c>
      <c r="AI120" s="10" t="s">
        <v>50</v>
      </c>
      <c r="AJ120" s="30">
        <f>IF(AN120=0,J120,0)</f>
        <v>0</v>
      </c>
      <c r="AK120" s="30">
        <f>IF(AN120=12,J120,0)</f>
        <v>0</v>
      </c>
      <c r="AL120" s="30">
        <f>IF(AN120=21,J120,0)</f>
        <v>0</v>
      </c>
      <c r="AN120" s="30">
        <v>12</v>
      </c>
      <c r="AO120" s="30">
        <f>G120*0</f>
        <v>0</v>
      </c>
      <c r="AP120" s="30">
        <f>G120*(1-0)</f>
        <v>0</v>
      </c>
      <c r="AQ120" s="31" t="s">
        <v>73</v>
      </c>
      <c r="AV120" s="30">
        <f>AW120+AX120</f>
        <v>0</v>
      </c>
      <c r="AW120" s="30">
        <f>F120*AO120</f>
        <v>0</v>
      </c>
      <c r="AX120" s="30">
        <f>F120*AP120</f>
        <v>0</v>
      </c>
      <c r="AY120" s="31" t="s">
        <v>356</v>
      </c>
      <c r="AZ120" s="31" t="s">
        <v>316</v>
      </c>
      <c r="BA120" s="10" t="s">
        <v>60</v>
      </c>
      <c r="BC120" s="30">
        <f>AW120+AX120</f>
        <v>0</v>
      </c>
      <c r="BD120" s="30">
        <f>G120/(100-BE120)*100</f>
        <v>0</v>
      </c>
      <c r="BE120" s="30">
        <v>0</v>
      </c>
      <c r="BF120" s="30">
        <f>120</f>
        <v>120</v>
      </c>
      <c r="BH120" s="30">
        <f>F120*AO120</f>
        <v>0</v>
      </c>
      <c r="BI120" s="30">
        <f>F120*AP120</f>
        <v>0</v>
      </c>
      <c r="BJ120" s="30">
        <f>F120*G120</f>
        <v>0</v>
      </c>
      <c r="BK120" s="30"/>
      <c r="BL120" s="30">
        <v>733</v>
      </c>
      <c r="BW120" s="30">
        <v>12</v>
      </c>
      <c r="BX120" s="4" t="s">
        <v>366</v>
      </c>
    </row>
    <row r="121" spans="1:76" x14ac:dyDescent="0.25">
      <c r="A121" s="45" t="s">
        <v>50</v>
      </c>
      <c r="B121" s="46" t="s">
        <v>367</v>
      </c>
      <c r="C121" s="147" t="s">
        <v>368</v>
      </c>
      <c r="D121" s="148"/>
      <c r="E121" s="47" t="s">
        <v>4</v>
      </c>
      <c r="F121" s="47" t="s">
        <v>4</v>
      </c>
      <c r="G121" s="48" t="s">
        <v>4</v>
      </c>
      <c r="H121" s="49">
        <f>SUM(H122:H125)</f>
        <v>0</v>
      </c>
      <c r="I121" s="49">
        <f>SUM(I122:I125)</f>
        <v>0</v>
      </c>
      <c r="J121" s="49">
        <f>SUM(J122:J125)</f>
        <v>0</v>
      </c>
      <c r="K121" s="50" t="s">
        <v>50</v>
      </c>
      <c r="AI121" s="10" t="s">
        <v>50</v>
      </c>
      <c r="AS121" s="1">
        <f>SUM(AJ122:AJ125)</f>
        <v>0</v>
      </c>
      <c r="AT121" s="1">
        <f>SUM(AK122:AK125)</f>
        <v>0</v>
      </c>
      <c r="AU121" s="1">
        <f>SUM(AL122:AL125)</f>
        <v>0</v>
      </c>
    </row>
    <row r="122" spans="1:76" x14ac:dyDescent="0.25">
      <c r="A122" s="32" t="s">
        <v>369</v>
      </c>
      <c r="B122" s="33" t="s">
        <v>370</v>
      </c>
      <c r="C122" s="139" t="s">
        <v>371</v>
      </c>
      <c r="D122" s="140"/>
      <c r="E122" s="33" t="s">
        <v>56</v>
      </c>
      <c r="F122" s="34">
        <v>1</v>
      </c>
      <c r="G122" s="35">
        <v>0</v>
      </c>
      <c r="H122" s="34">
        <f>F122*AO122</f>
        <v>0</v>
      </c>
      <c r="I122" s="34">
        <f>F122*AP122</f>
        <v>0</v>
      </c>
      <c r="J122" s="34">
        <f>F122*G122</f>
        <v>0</v>
      </c>
      <c r="K122" s="36" t="s">
        <v>57</v>
      </c>
      <c r="Z122" s="30">
        <f>IF(AQ122="5",BJ122,0)</f>
        <v>0</v>
      </c>
      <c r="AB122" s="30">
        <f>IF(AQ122="1",BH122,0)</f>
        <v>0</v>
      </c>
      <c r="AC122" s="30">
        <f>IF(AQ122="1",BI122,0)</f>
        <v>0</v>
      </c>
      <c r="AD122" s="30">
        <f>IF(AQ122="7",BH122,0)</f>
        <v>0</v>
      </c>
      <c r="AE122" s="30">
        <f>IF(AQ122="7",BI122,0)</f>
        <v>0</v>
      </c>
      <c r="AF122" s="30">
        <f>IF(AQ122="2",BH122,0)</f>
        <v>0</v>
      </c>
      <c r="AG122" s="30">
        <f>IF(AQ122="2",BI122,0)</f>
        <v>0</v>
      </c>
      <c r="AH122" s="30">
        <f>IF(AQ122="0",BJ122,0)</f>
        <v>0</v>
      </c>
      <c r="AI122" s="10" t="s">
        <v>50</v>
      </c>
      <c r="AJ122" s="30">
        <f>IF(AN122=0,J122,0)</f>
        <v>0</v>
      </c>
      <c r="AK122" s="30">
        <f>IF(AN122=12,J122,0)</f>
        <v>0</v>
      </c>
      <c r="AL122" s="30">
        <f>IF(AN122=21,J122,0)</f>
        <v>0</v>
      </c>
      <c r="AN122" s="30">
        <v>12</v>
      </c>
      <c r="AO122" s="30">
        <f>G122*0.785112299</f>
        <v>0</v>
      </c>
      <c r="AP122" s="30">
        <f>G122*(1-0.785112299)</f>
        <v>0</v>
      </c>
      <c r="AQ122" s="31" t="s">
        <v>80</v>
      </c>
      <c r="AV122" s="30">
        <f>AW122+AX122</f>
        <v>0</v>
      </c>
      <c r="AW122" s="30">
        <f>F122*AO122</f>
        <v>0</v>
      </c>
      <c r="AX122" s="30">
        <f>F122*AP122</f>
        <v>0</v>
      </c>
      <c r="AY122" s="31" t="s">
        <v>372</v>
      </c>
      <c r="AZ122" s="31" t="s">
        <v>316</v>
      </c>
      <c r="BA122" s="10" t="s">
        <v>60</v>
      </c>
      <c r="BC122" s="30">
        <f>AW122+AX122</f>
        <v>0</v>
      </c>
      <c r="BD122" s="30">
        <f>G122/(100-BE122)*100</f>
        <v>0</v>
      </c>
      <c r="BE122" s="30">
        <v>0</v>
      </c>
      <c r="BF122" s="30">
        <f>122</f>
        <v>122</v>
      </c>
      <c r="BH122" s="30">
        <f>F122*AO122</f>
        <v>0</v>
      </c>
      <c r="BI122" s="30">
        <f>F122*AP122</f>
        <v>0</v>
      </c>
      <c r="BJ122" s="30">
        <f>F122*G122</f>
        <v>0</v>
      </c>
      <c r="BK122" s="30"/>
      <c r="BL122" s="30">
        <v>734</v>
      </c>
      <c r="BW122" s="30">
        <v>12</v>
      </c>
      <c r="BX122" s="4" t="s">
        <v>371</v>
      </c>
    </row>
    <row r="123" spans="1:76" ht="13.5" customHeight="1" x14ac:dyDescent="0.25">
      <c r="A123" s="37"/>
      <c r="B123" s="38" t="s">
        <v>68</v>
      </c>
      <c r="C123" s="141" t="s">
        <v>373</v>
      </c>
      <c r="D123" s="142"/>
      <c r="E123" s="142"/>
      <c r="F123" s="142"/>
      <c r="G123" s="143"/>
      <c r="H123" s="142"/>
      <c r="I123" s="142"/>
      <c r="J123" s="142"/>
      <c r="K123" s="144"/>
    </row>
    <row r="124" spans="1:76" x14ac:dyDescent="0.25">
      <c r="A124" s="25" t="s">
        <v>374</v>
      </c>
      <c r="B124" s="26" t="s">
        <v>375</v>
      </c>
      <c r="C124" s="137" t="s">
        <v>376</v>
      </c>
      <c r="D124" s="138"/>
      <c r="E124" s="26" t="s">
        <v>56</v>
      </c>
      <c r="F124" s="27">
        <v>1</v>
      </c>
      <c r="G124" s="28">
        <v>0</v>
      </c>
      <c r="H124" s="27">
        <f>F124*AO124</f>
        <v>0</v>
      </c>
      <c r="I124" s="27">
        <f>F124*AP124</f>
        <v>0</v>
      </c>
      <c r="J124" s="27">
        <f>F124*G124</f>
        <v>0</v>
      </c>
      <c r="K124" s="29" t="s">
        <v>57</v>
      </c>
      <c r="Z124" s="30">
        <f>IF(AQ124="5",BJ124,0)</f>
        <v>0</v>
      </c>
      <c r="AB124" s="30">
        <f>IF(AQ124="1",BH124,0)</f>
        <v>0</v>
      </c>
      <c r="AC124" s="30">
        <f>IF(AQ124="1",BI124,0)</f>
        <v>0</v>
      </c>
      <c r="AD124" s="30">
        <f>IF(AQ124="7",BH124,0)</f>
        <v>0</v>
      </c>
      <c r="AE124" s="30">
        <f>IF(AQ124="7",BI124,0)</f>
        <v>0</v>
      </c>
      <c r="AF124" s="30">
        <f>IF(AQ124="2",BH124,0)</f>
        <v>0</v>
      </c>
      <c r="AG124" s="30">
        <f>IF(AQ124="2",BI124,0)</f>
        <v>0</v>
      </c>
      <c r="AH124" s="30">
        <f>IF(AQ124="0",BJ124,0)</f>
        <v>0</v>
      </c>
      <c r="AI124" s="10" t="s">
        <v>50</v>
      </c>
      <c r="AJ124" s="30">
        <f>IF(AN124=0,J124,0)</f>
        <v>0</v>
      </c>
      <c r="AK124" s="30">
        <f>IF(AN124=12,J124,0)</f>
        <v>0</v>
      </c>
      <c r="AL124" s="30">
        <f>IF(AN124=21,J124,0)</f>
        <v>0</v>
      </c>
      <c r="AN124" s="30">
        <v>12</v>
      </c>
      <c r="AO124" s="30">
        <f>G124*0.913556485</f>
        <v>0</v>
      </c>
      <c r="AP124" s="30">
        <f>G124*(1-0.913556485)</f>
        <v>0</v>
      </c>
      <c r="AQ124" s="31" t="s">
        <v>80</v>
      </c>
      <c r="AV124" s="30">
        <f>AW124+AX124</f>
        <v>0</v>
      </c>
      <c r="AW124" s="30">
        <f>F124*AO124</f>
        <v>0</v>
      </c>
      <c r="AX124" s="30">
        <f>F124*AP124</f>
        <v>0</v>
      </c>
      <c r="AY124" s="31" t="s">
        <v>372</v>
      </c>
      <c r="AZ124" s="31" t="s">
        <v>316</v>
      </c>
      <c r="BA124" s="10" t="s">
        <v>60</v>
      </c>
      <c r="BC124" s="30">
        <f>AW124+AX124</f>
        <v>0</v>
      </c>
      <c r="BD124" s="30">
        <f>G124/(100-BE124)*100</f>
        <v>0</v>
      </c>
      <c r="BE124" s="30">
        <v>0</v>
      </c>
      <c r="BF124" s="30">
        <f>124</f>
        <v>124</v>
      </c>
      <c r="BH124" s="30">
        <f>F124*AO124</f>
        <v>0</v>
      </c>
      <c r="BI124" s="30">
        <f>F124*AP124</f>
        <v>0</v>
      </c>
      <c r="BJ124" s="30">
        <f>F124*G124</f>
        <v>0</v>
      </c>
      <c r="BK124" s="30"/>
      <c r="BL124" s="30">
        <v>734</v>
      </c>
      <c r="BW124" s="30">
        <v>12</v>
      </c>
      <c r="BX124" s="4" t="s">
        <v>376</v>
      </c>
    </row>
    <row r="125" spans="1:76" x14ac:dyDescent="0.25">
      <c r="A125" s="32" t="s">
        <v>377</v>
      </c>
      <c r="B125" s="33" t="s">
        <v>378</v>
      </c>
      <c r="C125" s="139" t="s">
        <v>379</v>
      </c>
      <c r="D125" s="140"/>
      <c r="E125" s="33" t="s">
        <v>86</v>
      </c>
      <c r="F125" s="34">
        <v>9.3999999999999997E-4</v>
      </c>
      <c r="G125" s="35">
        <v>0</v>
      </c>
      <c r="H125" s="34">
        <f>F125*AO125</f>
        <v>0</v>
      </c>
      <c r="I125" s="34">
        <f>F125*AP125</f>
        <v>0</v>
      </c>
      <c r="J125" s="34">
        <f>F125*G125</f>
        <v>0</v>
      </c>
      <c r="K125" s="36" t="s">
        <v>57</v>
      </c>
      <c r="Z125" s="30">
        <f>IF(AQ125="5",BJ125,0)</f>
        <v>0</v>
      </c>
      <c r="AB125" s="30">
        <f>IF(AQ125="1",BH125,0)</f>
        <v>0</v>
      </c>
      <c r="AC125" s="30">
        <f>IF(AQ125="1",BI125,0)</f>
        <v>0</v>
      </c>
      <c r="AD125" s="30">
        <f>IF(AQ125="7",BH125,0)</f>
        <v>0</v>
      </c>
      <c r="AE125" s="30">
        <f>IF(AQ125="7",BI125,0)</f>
        <v>0</v>
      </c>
      <c r="AF125" s="30">
        <f>IF(AQ125="2",BH125,0)</f>
        <v>0</v>
      </c>
      <c r="AG125" s="30">
        <f>IF(AQ125="2",BI125,0)</f>
        <v>0</v>
      </c>
      <c r="AH125" s="30">
        <f>IF(AQ125="0",BJ125,0)</f>
        <v>0</v>
      </c>
      <c r="AI125" s="10" t="s">
        <v>50</v>
      </c>
      <c r="AJ125" s="30">
        <f>IF(AN125=0,J125,0)</f>
        <v>0</v>
      </c>
      <c r="AK125" s="30">
        <f>IF(AN125=12,J125,0)</f>
        <v>0</v>
      </c>
      <c r="AL125" s="30">
        <f>IF(AN125=21,J125,0)</f>
        <v>0</v>
      </c>
      <c r="AN125" s="30">
        <v>12</v>
      </c>
      <c r="AO125" s="30">
        <f>G125*0</f>
        <v>0</v>
      </c>
      <c r="AP125" s="30">
        <f>G125*(1-0)</f>
        <v>0</v>
      </c>
      <c r="AQ125" s="31" t="s">
        <v>73</v>
      </c>
      <c r="AV125" s="30">
        <f>AW125+AX125</f>
        <v>0</v>
      </c>
      <c r="AW125" s="30">
        <f>F125*AO125</f>
        <v>0</v>
      </c>
      <c r="AX125" s="30">
        <f>F125*AP125</f>
        <v>0</v>
      </c>
      <c r="AY125" s="31" t="s">
        <v>372</v>
      </c>
      <c r="AZ125" s="31" t="s">
        <v>316</v>
      </c>
      <c r="BA125" s="10" t="s">
        <v>60</v>
      </c>
      <c r="BC125" s="30">
        <f>AW125+AX125</f>
        <v>0</v>
      </c>
      <c r="BD125" s="30">
        <f>G125/(100-BE125)*100</f>
        <v>0</v>
      </c>
      <c r="BE125" s="30">
        <v>0</v>
      </c>
      <c r="BF125" s="30">
        <f>125</f>
        <v>125</v>
      </c>
      <c r="BH125" s="30">
        <f>F125*AO125</f>
        <v>0</v>
      </c>
      <c r="BI125" s="30">
        <f>F125*AP125</f>
        <v>0</v>
      </c>
      <c r="BJ125" s="30">
        <f>F125*G125</f>
        <v>0</v>
      </c>
      <c r="BK125" s="30"/>
      <c r="BL125" s="30">
        <v>734</v>
      </c>
      <c r="BW125" s="30">
        <v>12</v>
      </c>
      <c r="BX125" s="4" t="s">
        <v>379</v>
      </c>
    </row>
    <row r="126" spans="1:76" x14ac:dyDescent="0.25">
      <c r="A126" s="39" t="s">
        <v>50</v>
      </c>
      <c r="B126" s="40" t="s">
        <v>380</v>
      </c>
      <c r="C126" s="145" t="s">
        <v>381</v>
      </c>
      <c r="D126" s="146"/>
      <c r="E126" s="41" t="s">
        <v>4</v>
      </c>
      <c r="F126" s="41" t="s">
        <v>4</v>
      </c>
      <c r="G126" s="42" t="s">
        <v>4</v>
      </c>
      <c r="H126" s="43">
        <f>SUM(H127:H130)</f>
        <v>0</v>
      </c>
      <c r="I126" s="43">
        <f>SUM(I127:I130)</f>
        <v>0</v>
      </c>
      <c r="J126" s="43">
        <f>SUM(J127:J130)</f>
        <v>0</v>
      </c>
      <c r="K126" s="44" t="s">
        <v>50</v>
      </c>
      <c r="AI126" s="10" t="s">
        <v>50</v>
      </c>
      <c r="AS126" s="1">
        <f>SUM(AJ127:AJ130)</f>
        <v>0</v>
      </c>
      <c r="AT126" s="1">
        <f>SUM(AK127:AK130)</f>
        <v>0</v>
      </c>
      <c r="AU126" s="1">
        <f>SUM(AL127:AL130)</f>
        <v>0</v>
      </c>
    </row>
    <row r="127" spans="1:76" x14ac:dyDescent="0.25">
      <c r="A127" s="25" t="s">
        <v>382</v>
      </c>
      <c r="B127" s="26" t="s">
        <v>383</v>
      </c>
      <c r="C127" s="137" t="s">
        <v>384</v>
      </c>
      <c r="D127" s="138"/>
      <c r="E127" s="26" t="s">
        <v>56</v>
      </c>
      <c r="F127" s="27">
        <v>2</v>
      </c>
      <c r="G127" s="28">
        <v>0</v>
      </c>
      <c r="H127" s="27">
        <f>F127*AO127</f>
        <v>0</v>
      </c>
      <c r="I127" s="27">
        <f>F127*AP127</f>
        <v>0</v>
      </c>
      <c r="J127" s="27">
        <f>F127*G127</f>
        <v>0</v>
      </c>
      <c r="K127" s="29" t="s">
        <v>57</v>
      </c>
      <c r="Z127" s="30">
        <f>IF(AQ127="5",BJ127,0)</f>
        <v>0</v>
      </c>
      <c r="AB127" s="30">
        <f>IF(AQ127="1",BH127,0)</f>
        <v>0</v>
      </c>
      <c r="AC127" s="30">
        <f>IF(AQ127="1",BI127,0)</f>
        <v>0</v>
      </c>
      <c r="AD127" s="30">
        <f>IF(AQ127="7",BH127,0)</f>
        <v>0</v>
      </c>
      <c r="AE127" s="30">
        <f>IF(AQ127="7",BI127,0)</f>
        <v>0</v>
      </c>
      <c r="AF127" s="30">
        <f>IF(AQ127="2",BH127,0)</f>
        <v>0</v>
      </c>
      <c r="AG127" s="30">
        <f>IF(AQ127="2",BI127,0)</f>
        <v>0</v>
      </c>
      <c r="AH127" s="30">
        <f>IF(AQ127="0",BJ127,0)</f>
        <v>0</v>
      </c>
      <c r="AI127" s="10" t="s">
        <v>50</v>
      </c>
      <c r="AJ127" s="30">
        <f>IF(AN127=0,J127,0)</f>
        <v>0</v>
      </c>
      <c r="AK127" s="30">
        <f>IF(AN127=12,J127,0)</f>
        <v>0</v>
      </c>
      <c r="AL127" s="30">
        <f>IF(AN127=21,J127,0)</f>
        <v>0</v>
      </c>
      <c r="AN127" s="30">
        <v>12</v>
      </c>
      <c r="AO127" s="30">
        <f>G127*0</f>
        <v>0</v>
      </c>
      <c r="AP127" s="30">
        <f>G127*(1-0)</f>
        <v>0</v>
      </c>
      <c r="AQ127" s="31" t="s">
        <v>80</v>
      </c>
      <c r="AV127" s="30">
        <f>AW127+AX127</f>
        <v>0</v>
      </c>
      <c r="AW127" s="30">
        <f>F127*AO127</f>
        <v>0</v>
      </c>
      <c r="AX127" s="30">
        <f>F127*AP127</f>
        <v>0</v>
      </c>
      <c r="AY127" s="31" t="s">
        <v>385</v>
      </c>
      <c r="AZ127" s="31" t="s">
        <v>316</v>
      </c>
      <c r="BA127" s="10" t="s">
        <v>60</v>
      </c>
      <c r="BC127" s="30">
        <f>AW127+AX127</f>
        <v>0</v>
      </c>
      <c r="BD127" s="30">
        <f>G127/(100-BE127)*100</f>
        <v>0</v>
      </c>
      <c r="BE127" s="30">
        <v>0</v>
      </c>
      <c r="BF127" s="30">
        <f>127</f>
        <v>127</v>
      </c>
      <c r="BH127" s="30">
        <f>F127*AO127</f>
        <v>0</v>
      </c>
      <c r="BI127" s="30">
        <f>F127*AP127</f>
        <v>0</v>
      </c>
      <c r="BJ127" s="30">
        <f>F127*G127</f>
        <v>0</v>
      </c>
      <c r="BK127" s="30"/>
      <c r="BL127" s="30">
        <v>735</v>
      </c>
      <c r="BW127" s="30">
        <v>12</v>
      </c>
      <c r="BX127" s="4" t="s">
        <v>384</v>
      </c>
    </row>
    <row r="128" spans="1:76" x14ac:dyDescent="0.25">
      <c r="A128" s="32" t="s">
        <v>386</v>
      </c>
      <c r="B128" s="33" t="s">
        <v>387</v>
      </c>
      <c r="C128" s="139" t="s">
        <v>388</v>
      </c>
      <c r="D128" s="140"/>
      <c r="E128" s="33" t="s">
        <v>56</v>
      </c>
      <c r="F128" s="34">
        <v>1</v>
      </c>
      <c r="G128" s="35">
        <v>0</v>
      </c>
      <c r="H128" s="34">
        <f>F128*AO128</f>
        <v>0</v>
      </c>
      <c r="I128" s="34">
        <f>F128*AP128</f>
        <v>0</v>
      </c>
      <c r="J128" s="34">
        <f>F128*G128</f>
        <v>0</v>
      </c>
      <c r="K128" s="36" t="s">
        <v>57</v>
      </c>
      <c r="Z128" s="30">
        <f>IF(AQ128="5",BJ128,0)</f>
        <v>0</v>
      </c>
      <c r="AB128" s="30">
        <f>IF(AQ128="1",BH128,0)</f>
        <v>0</v>
      </c>
      <c r="AC128" s="30">
        <f>IF(AQ128="1",BI128,0)</f>
        <v>0</v>
      </c>
      <c r="AD128" s="30">
        <f>IF(AQ128="7",BH128,0)</f>
        <v>0</v>
      </c>
      <c r="AE128" s="30">
        <f>IF(AQ128="7",BI128,0)</f>
        <v>0</v>
      </c>
      <c r="AF128" s="30">
        <f>IF(AQ128="2",BH128,0)</f>
        <v>0</v>
      </c>
      <c r="AG128" s="30">
        <f>IF(AQ128="2",BI128,0)</f>
        <v>0</v>
      </c>
      <c r="AH128" s="30">
        <f>IF(AQ128="0",BJ128,0)</f>
        <v>0</v>
      </c>
      <c r="AI128" s="10" t="s">
        <v>50</v>
      </c>
      <c r="AJ128" s="30">
        <f>IF(AN128=0,J128,0)</f>
        <v>0</v>
      </c>
      <c r="AK128" s="30">
        <f>IF(AN128=12,J128,0)</f>
        <v>0</v>
      </c>
      <c r="AL128" s="30">
        <f>IF(AN128=21,J128,0)</f>
        <v>0</v>
      </c>
      <c r="AN128" s="30">
        <v>12</v>
      </c>
      <c r="AO128" s="30">
        <f>G128*0.914563713</f>
        <v>0</v>
      </c>
      <c r="AP128" s="30">
        <f>G128*(1-0.914563713)</f>
        <v>0</v>
      </c>
      <c r="AQ128" s="31" t="s">
        <v>80</v>
      </c>
      <c r="AV128" s="30">
        <f>AW128+AX128</f>
        <v>0</v>
      </c>
      <c r="AW128" s="30">
        <f>F128*AO128</f>
        <v>0</v>
      </c>
      <c r="AX128" s="30">
        <f>F128*AP128</f>
        <v>0</v>
      </c>
      <c r="AY128" s="31" t="s">
        <v>385</v>
      </c>
      <c r="AZ128" s="31" t="s">
        <v>316</v>
      </c>
      <c r="BA128" s="10" t="s">
        <v>60</v>
      </c>
      <c r="BC128" s="30">
        <f>AW128+AX128</f>
        <v>0</v>
      </c>
      <c r="BD128" s="30">
        <f>G128/(100-BE128)*100</f>
        <v>0</v>
      </c>
      <c r="BE128" s="30">
        <v>0</v>
      </c>
      <c r="BF128" s="30">
        <f>128</f>
        <v>128</v>
      </c>
      <c r="BH128" s="30">
        <f>F128*AO128</f>
        <v>0</v>
      </c>
      <c r="BI128" s="30">
        <f>F128*AP128</f>
        <v>0</v>
      </c>
      <c r="BJ128" s="30">
        <f>F128*G128</f>
        <v>0</v>
      </c>
      <c r="BK128" s="30"/>
      <c r="BL128" s="30">
        <v>735</v>
      </c>
      <c r="BW128" s="30">
        <v>12</v>
      </c>
      <c r="BX128" s="4" t="s">
        <v>388</v>
      </c>
    </row>
    <row r="129" spans="1:76" ht="13.5" customHeight="1" x14ac:dyDescent="0.25">
      <c r="A129" s="37"/>
      <c r="B129" s="38" t="s">
        <v>68</v>
      </c>
      <c r="C129" s="141" t="s">
        <v>389</v>
      </c>
      <c r="D129" s="142"/>
      <c r="E129" s="142"/>
      <c r="F129" s="142"/>
      <c r="G129" s="143"/>
      <c r="H129" s="142"/>
      <c r="I129" s="142"/>
      <c r="J129" s="142"/>
      <c r="K129" s="144"/>
    </row>
    <row r="130" spans="1:76" x14ac:dyDescent="0.25">
      <c r="A130" s="25" t="s">
        <v>390</v>
      </c>
      <c r="B130" s="26" t="s">
        <v>391</v>
      </c>
      <c r="C130" s="137" t="s">
        <v>392</v>
      </c>
      <c r="D130" s="138"/>
      <c r="E130" s="26" t="s">
        <v>86</v>
      </c>
      <c r="F130" s="27">
        <v>1.6639999999999999E-2</v>
      </c>
      <c r="G130" s="28">
        <v>0</v>
      </c>
      <c r="H130" s="27">
        <f>F130*AO130</f>
        <v>0</v>
      </c>
      <c r="I130" s="27">
        <f>F130*AP130</f>
        <v>0</v>
      </c>
      <c r="J130" s="27">
        <f>F130*G130</f>
        <v>0</v>
      </c>
      <c r="K130" s="29" t="s">
        <v>57</v>
      </c>
      <c r="Z130" s="30">
        <f>IF(AQ130="5",BJ130,0)</f>
        <v>0</v>
      </c>
      <c r="AB130" s="30">
        <f>IF(AQ130="1",BH130,0)</f>
        <v>0</v>
      </c>
      <c r="AC130" s="30">
        <f>IF(AQ130="1",BI130,0)</f>
        <v>0</v>
      </c>
      <c r="AD130" s="30">
        <f>IF(AQ130="7",BH130,0)</f>
        <v>0</v>
      </c>
      <c r="AE130" s="30">
        <f>IF(AQ130="7",BI130,0)</f>
        <v>0</v>
      </c>
      <c r="AF130" s="30">
        <f>IF(AQ130="2",BH130,0)</f>
        <v>0</v>
      </c>
      <c r="AG130" s="30">
        <f>IF(AQ130="2",BI130,0)</f>
        <v>0</v>
      </c>
      <c r="AH130" s="30">
        <f>IF(AQ130="0",BJ130,0)</f>
        <v>0</v>
      </c>
      <c r="AI130" s="10" t="s">
        <v>50</v>
      </c>
      <c r="AJ130" s="30">
        <f>IF(AN130=0,J130,0)</f>
        <v>0</v>
      </c>
      <c r="AK130" s="30">
        <f>IF(AN130=12,J130,0)</f>
        <v>0</v>
      </c>
      <c r="AL130" s="30">
        <f>IF(AN130=21,J130,0)</f>
        <v>0</v>
      </c>
      <c r="AN130" s="30">
        <v>12</v>
      </c>
      <c r="AO130" s="30">
        <f>G130*0</f>
        <v>0</v>
      </c>
      <c r="AP130" s="30">
        <f>G130*(1-0)</f>
        <v>0</v>
      </c>
      <c r="AQ130" s="31" t="s">
        <v>73</v>
      </c>
      <c r="AV130" s="30">
        <f>AW130+AX130</f>
        <v>0</v>
      </c>
      <c r="AW130" s="30">
        <f>F130*AO130</f>
        <v>0</v>
      </c>
      <c r="AX130" s="30">
        <f>F130*AP130</f>
        <v>0</v>
      </c>
      <c r="AY130" s="31" t="s">
        <v>385</v>
      </c>
      <c r="AZ130" s="31" t="s">
        <v>316</v>
      </c>
      <c r="BA130" s="10" t="s">
        <v>60</v>
      </c>
      <c r="BC130" s="30">
        <f>AW130+AX130</f>
        <v>0</v>
      </c>
      <c r="BD130" s="30">
        <f>G130/(100-BE130)*100</f>
        <v>0</v>
      </c>
      <c r="BE130" s="30">
        <v>0</v>
      </c>
      <c r="BF130" s="30">
        <f>130</f>
        <v>130</v>
      </c>
      <c r="BH130" s="30">
        <f>F130*AO130</f>
        <v>0</v>
      </c>
      <c r="BI130" s="30">
        <f>F130*AP130</f>
        <v>0</v>
      </c>
      <c r="BJ130" s="30">
        <f>F130*G130</f>
        <v>0</v>
      </c>
      <c r="BK130" s="30"/>
      <c r="BL130" s="30">
        <v>735</v>
      </c>
      <c r="BW130" s="30">
        <v>12</v>
      </c>
      <c r="BX130" s="4" t="s">
        <v>392</v>
      </c>
    </row>
    <row r="131" spans="1:76" x14ac:dyDescent="0.25">
      <c r="A131" s="39" t="s">
        <v>50</v>
      </c>
      <c r="B131" s="40" t="s">
        <v>393</v>
      </c>
      <c r="C131" s="145" t="s">
        <v>394</v>
      </c>
      <c r="D131" s="146"/>
      <c r="E131" s="41" t="s">
        <v>4</v>
      </c>
      <c r="F131" s="41" t="s">
        <v>4</v>
      </c>
      <c r="G131" s="42" t="s">
        <v>4</v>
      </c>
      <c r="H131" s="43">
        <f>SUM(H132:H136)</f>
        <v>0</v>
      </c>
      <c r="I131" s="43">
        <f>SUM(I132:I136)</f>
        <v>0</v>
      </c>
      <c r="J131" s="43">
        <f>SUM(J132:J136)</f>
        <v>0</v>
      </c>
      <c r="K131" s="44" t="s">
        <v>50</v>
      </c>
      <c r="AI131" s="10" t="s">
        <v>50</v>
      </c>
      <c r="AS131" s="1">
        <f>SUM(AJ132:AJ136)</f>
        <v>0</v>
      </c>
      <c r="AT131" s="1">
        <f>SUM(AK132:AK136)</f>
        <v>0</v>
      </c>
      <c r="AU131" s="1">
        <f>SUM(AL132:AL136)</f>
        <v>0</v>
      </c>
    </row>
    <row r="132" spans="1:76" x14ac:dyDescent="0.25">
      <c r="A132" s="25" t="s">
        <v>395</v>
      </c>
      <c r="B132" s="26" t="s">
        <v>396</v>
      </c>
      <c r="C132" s="137" t="s">
        <v>397</v>
      </c>
      <c r="D132" s="138"/>
      <c r="E132" s="26" t="s">
        <v>56</v>
      </c>
      <c r="F132" s="27">
        <v>1</v>
      </c>
      <c r="G132" s="28">
        <v>0</v>
      </c>
      <c r="H132" s="27">
        <f>F132*AO132</f>
        <v>0</v>
      </c>
      <c r="I132" s="27">
        <f>F132*AP132</f>
        <v>0</v>
      </c>
      <c r="J132" s="27">
        <f>F132*G132</f>
        <v>0</v>
      </c>
      <c r="K132" s="29" t="s">
        <v>57</v>
      </c>
      <c r="Z132" s="30">
        <f>IF(AQ132="5",BJ132,0)</f>
        <v>0</v>
      </c>
      <c r="AB132" s="30">
        <f>IF(AQ132="1",BH132,0)</f>
        <v>0</v>
      </c>
      <c r="AC132" s="30">
        <f>IF(AQ132="1",BI132,0)</f>
        <v>0</v>
      </c>
      <c r="AD132" s="30">
        <f>IF(AQ132="7",BH132,0)</f>
        <v>0</v>
      </c>
      <c r="AE132" s="30">
        <f>IF(AQ132="7",BI132,0)</f>
        <v>0</v>
      </c>
      <c r="AF132" s="30">
        <f>IF(AQ132="2",BH132,0)</f>
        <v>0</v>
      </c>
      <c r="AG132" s="30">
        <f>IF(AQ132="2",BI132,0)</f>
        <v>0</v>
      </c>
      <c r="AH132" s="30">
        <f>IF(AQ132="0",BJ132,0)</f>
        <v>0</v>
      </c>
      <c r="AI132" s="10" t="s">
        <v>50</v>
      </c>
      <c r="AJ132" s="30">
        <f>IF(AN132=0,J132,0)</f>
        <v>0</v>
      </c>
      <c r="AK132" s="30">
        <f>IF(AN132=12,J132,0)</f>
        <v>0</v>
      </c>
      <c r="AL132" s="30">
        <f>IF(AN132=21,J132,0)</f>
        <v>0</v>
      </c>
      <c r="AN132" s="30">
        <v>12</v>
      </c>
      <c r="AO132" s="30">
        <f>G132*0</f>
        <v>0</v>
      </c>
      <c r="AP132" s="30">
        <f>G132*(1-0)</f>
        <v>0</v>
      </c>
      <c r="AQ132" s="31" t="s">
        <v>80</v>
      </c>
      <c r="AV132" s="30">
        <f>AW132+AX132</f>
        <v>0</v>
      </c>
      <c r="AW132" s="30">
        <f>F132*AO132</f>
        <v>0</v>
      </c>
      <c r="AX132" s="30">
        <f>F132*AP132</f>
        <v>0</v>
      </c>
      <c r="AY132" s="31" t="s">
        <v>398</v>
      </c>
      <c r="AZ132" s="31" t="s">
        <v>399</v>
      </c>
      <c r="BA132" s="10" t="s">
        <v>60</v>
      </c>
      <c r="BC132" s="30">
        <f>AW132+AX132</f>
        <v>0</v>
      </c>
      <c r="BD132" s="30">
        <f>G132/(100-BE132)*100</f>
        <v>0</v>
      </c>
      <c r="BE132" s="30">
        <v>0</v>
      </c>
      <c r="BF132" s="30">
        <f>132</f>
        <v>132</v>
      </c>
      <c r="BH132" s="30">
        <f>F132*AO132</f>
        <v>0</v>
      </c>
      <c r="BI132" s="30">
        <f>F132*AP132</f>
        <v>0</v>
      </c>
      <c r="BJ132" s="30">
        <f>F132*G132</f>
        <v>0</v>
      </c>
      <c r="BK132" s="30"/>
      <c r="BL132" s="30">
        <v>766</v>
      </c>
      <c r="BW132" s="30">
        <v>12</v>
      </c>
      <c r="BX132" s="4" t="s">
        <v>397</v>
      </c>
    </row>
    <row r="133" spans="1:76" x14ac:dyDescent="0.25">
      <c r="A133" s="32" t="s">
        <v>400</v>
      </c>
      <c r="B133" s="33" t="s">
        <v>401</v>
      </c>
      <c r="C133" s="139" t="s">
        <v>402</v>
      </c>
      <c r="D133" s="140"/>
      <c r="E133" s="33" t="s">
        <v>56</v>
      </c>
      <c r="F133" s="34">
        <v>1</v>
      </c>
      <c r="G133" s="35">
        <v>0</v>
      </c>
      <c r="H133" s="34">
        <f>F133*AO133</f>
        <v>0</v>
      </c>
      <c r="I133" s="34">
        <f>F133*AP133</f>
        <v>0</v>
      </c>
      <c r="J133" s="34">
        <f>F133*G133</f>
        <v>0</v>
      </c>
      <c r="K133" s="36" t="s">
        <v>57</v>
      </c>
      <c r="Z133" s="30">
        <f>IF(AQ133="5",BJ133,0)</f>
        <v>0</v>
      </c>
      <c r="AB133" s="30">
        <f>IF(AQ133="1",BH133,0)</f>
        <v>0</v>
      </c>
      <c r="AC133" s="30">
        <f>IF(AQ133="1",BI133,0)</f>
        <v>0</v>
      </c>
      <c r="AD133" s="30">
        <f>IF(AQ133="7",BH133,0)</f>
        <v>0</v>
      </c>
      <c r="AE133" s="30">
        <f>IF(AQ133="7",BI133,0)</f>
        <v>0</v>
      </c>
      <c r="AF133" s="30">
        <f>IF(AQ133="2",BH133,0)</f>
        <v>0</v>
      </c>
      <c r="AG133" s="30">
        <f>IF(AQ133="2",BI133,0)</f>
        <v>0</v>
      </c>
      <c r="AH133" s="30">
        <f>IF(AQ133="0",BJ133,0)</f>
        <v>0</v>
      </c>
      <c r="AI133" s="10" t="s">
        <v>50</v>
      </c>
      <c r="AJ133" s="30">
        <f>IF(AN133=0,J133,0)</f>
        <v>0</v>
      </c>
      <c r="AK133" s="30">
        <f>IF(AN133=12,J133,0)</f>
        <v>0</v>
      </c>
      <c r="AL133" s="30">
        <f>IF(AN133=21,J133,0)</f>
        <v>0</v>
      </c>
      <c r="AN133" s="30">
        <v>12</v>
      </c>
      <c r="AO133" s="30">
        <f>G133*1</f>
        <v>0</v>
      </c>
      <c r="AP133" s="30">
        <f>G133*(1-1)</f>
        <v>0</v>
      </c>
      <c r="AQ133" s="31" t="s">
        <v>80</v>
      </c>
      <c r="AV133" s="30">
        <f>AW133+AX133</f>
        <v>0</v>
      </c>
      <c r="AW133" s="30">
        <f>F133*AO133</f>
        <v>0</v>
      </c>
      <c r="AX133" s="30">
        <f>F133*AP133</f>
        <v>0</v>
      </c>
      <c r="AY133" s="31" t="s">
        <v>398</v>
      </c>
      <c r="AZ133" s="31" t="s">
        <v>399</v>
      </c>
      <c r="BA133" s="10" t="s">
        <v>60</v>
      </c>
      <c r="BC133" s="30">
        <f>AW133+AX133</f>
        <v>0</v>
      </c>
      <c r="BD133" s="30">
        <f>G133/(100-BE133)*100</f>
        <v>0</v>
      </c>
      <c r="BE133" s="30">
        <v>0</v>
      </c>
      <c r="BF133" s="30">
        <f>133</f>
        <v>133</v>
      </c>
      <c r="BH133" s="30">
        <f>F133*AO133</f>
        <v>0</v>
      </c>
      <c r="BI133" s="30">
        <f>F133*AP133</f>
        <v>0</v>
      </c>
      <c r="BJ133" s="30">
        <f>F133*G133</f>
        <v>0</v>
      </c>
      <c r="BK133" s="30"/>
      <c r="BL133" s="30">
        <v>766</v>
      </c>
      <c r="BW133" s="30">
        <v>12</v>
      </c>
      <c r="BX133" s="4" t="s">
        <v>402</v>
      </c>
    </row>
    <row r="134" spans="1:76" x14ac:dyDescent="0.25">
      <c r="A134" s="32" t="s">
        <v>403</v>
      </c>
      <c r="B134" s="33" t="s">
        <v>404</v>
      </c>
      <c r="C134" s="139" t="s">
        <v>405</v>
      </c>
      <c r="D134" s="140"/>
      <c r="E134" s="33" t="s">
        <v>56</v>
      </c>
      <c r="F134" s="34">
        <v>1</v>
      </c>
      <c r="G134" s="35">
        <v>0</v>
      </c>
      <c r="H134" s="34">
        <f>F134*AO134</f>
        <v>0</v>
      </c>
      <c r="I134" s="34">
        <f>F134*AP134</f>
        <v>0</v>
      </c>
      <c r="J134" s="34">
        <f>F134*G134</f>
        <v>0</v>
      </c>
      <c r="K134" s="36" t="s">
        <v>57</v>
      </c>
      <c r="Z134" s="30">
        <f>IF(AQ134="5",BJ134,0)</f>
        <v>0</v>
      </c>
      <c r="AB134" s="30">
        <f>IF(AQ134="1",BH134,0)</f>
        <v>0</v>
      </c>
      <c r="AC134" s="30">
        <f>IF(AQ134="1",BI134,0)</f>
        <v>0</v>
      </c>
      <c r="AD134" s="30">
        <f>IF(AQ134="7",BH134,0)</f>
        <v>0</v>
      </c>
      <c r="AE134" s="30">
        <f>IF(AQ134="7",BI134,0)</f>
        <v>0</v>
      </c>
      <c r="AF134" s="30">
        <f>IF(AQ134="2",BH134,0)</f>
        <v>0</v>
      </c>
      <c r="AG134" s="30">
        <f>IF(AQ134="2",BI134,0)</f>
        <v>0</v>
      </c>
      <c r="AH134" s="30">
        <f>IF(AQ134="0",BJ134,0)</f>
        <v>0</v>
      </c>
      <c r="AI134" s="10" t="s">
        <v>50</v>
      </c>
      <c r="AJ134" s="30">
        <f>IF(AN134=0,J134,0)</f>
        <v>0</v>
      </c>
      <c r="AK134" s="30">
        <f>IF(AN134=12,J134,0)</f>
        <v>0</v>
      </c>
      <c r="AL134" s="30">
        <f>IF(AN134=21,J134,0)</f>
        <v>0</v>
      </c>
      <c r="AN134" s="30">
        <v>12</v>
      </c>
      <c r="AO134" s="30">
        <f>G134*0.84155632</f>
        <v>0</v>
      </c>
      <c r="AP134" s="30">
        <f>G134*(1-0.84155632)</f>
        <v>0</v>
      </c>
      <c r="AQ134" s="31" t="s">
        <v>80</v>
      </c>
      <c r="AV134" s="30">
        <f>AW134+AX134</f>
        <v>0</v>
      </c>
      <c r="AW134" s="30">
        <f>F134*AO134</f>
        <v>0</v>
      </c>
      <c r="AX134" s="30">
        <f>F134*AP134</f>
        <v>0</v>
      </c>
      <c r="AY134" s="31" t="s">
        <v>398</v>
      </c>
      <c r="AZ134" s="31" t="s">
        <v>399</v>
      </c>
      <c r="BA134" s="10" t="s">
        <v>60</v>
      </c>
      <c r="BC134" s="30">
        <f>AW134+AX134</f>
        <v>0</v>
      </c>
      <c r="BD134" s="30">
        <f>G134/(100-BE134)*100</f>
        <v>0</v>
      </c>
      <c r="BE134" s="30">
        <v>0</v>
      </c>
      <c r="BF134" s="30">
        <f>134</f>
        <v>134</v>
      </c>
      <c r="BH134" s="30">
        <f>F134*AO134</f>
        <v>0</v>
      </c>
      <c r="BI134" s="30">
        <f>F134*AP134</f>
        <v>0</v>
      </c>
      <c r="BJ134" s="30">
        <f>F134*G134</f>
        <v>0</v>
      </c>
      <c r="BK134" s="30"/>
      <c r="BL134" s="30">
        <v>766</v>
      </c>
      <c r="BW134" s="30">
        <v>12</v>
      </c>
      <c r="BX134" s="4" t="s">
        <v>405</v>
      </c>
    </row>
    <row r="135" spans="1:76" ht="13.5" customHeight="1" x14ac:dyDescent="0.25">
      <c r="A135" s="37"/>
      <c r="B135" s="38" t="s">
        <v>68</v>
      </c>
      <c r="C135" s="141" t="s">
        <v>406</v>
      </c>
      <c r="D135" s="142"/>
      <c r="E135" s="142"/>
      <c r="F135" s="142"/>
      <c r="G135" s="143"/>
      <c r="H135" s="142"/>
      <c r="I135" s="142"/>
      <c r="J135" s="142"/>
      <c r="K135" s="144"/>
    </row>
    <row r="136" spans="1:76" x14ac:dyDescent="0.25">
      <c r="A136" s="25" t="s">
        <v>407</v>
      </c>
      <c r="B136" s="26" t="s">
        <v>408</v>
      </c>
      <c r="C136" s="137" t="s">
        <v>409</v>
      </c>
      <c r="D136" s="138"/>
      <c r="E136" s="26" t="s">
        <v>86</v>
      </c>
      <c r="F136" s="27">
        <v>0.3206</v>
      </c>
      <c r="G136" s="28">
        <v>0</v>
      </c>
      <c r="H136" s="27">
        <f>F136*AO136</f>
        <v>0</v>
      </c>
      <c r="I136" s="27">
        <f>F136*AP136</f>
        <v>0</v>
      </c>
      <c r="J136" s="27">
        <f>F136*G136</f>
        <v>0</v>
      </c>
      <c r="K136" s="29" t="s">
        <v>57</v>
      </c>
      <c r="Z136" s="30">
        <f>IF(AQ136="5",BJ136,0)</f>
        <v>0</v>
      </c>
      <c r="AB136" s="30">
        <f>IF(AQ136="1",BH136,0)</f>
        <v>0</v>
      </c>
      <c r="AC136" s="30">
        <f>IF(AQ136="1",BI136,0)</f>
        <v>0</v>
      </c>
      <c r="AD136" s="30">
        <f>IF(AQ136="7",BH136,0)</f>
        <v>0</v>
      </c>
      <c r="AE136" s="30">
        <f>IF(AQ136="7",BI136,0)</f>
        <v>0</v>
      </c>
      <c r="AF136" s="30">
        <f>IF(AQ136="2",BH136,0)</f>
        <v>0</v>
      </c>
      <c r="AG136" s="30">
        <f>IF(AQ136="2",BI136,0)</f>
        <v>0</v>
      </c>
      <c r="AH136" s="30">
        <f>IF(AQ136="0",BJ136,0)</f>
        <v>0</v>
      </c>
      <c r="AI136" s="10" t="s">
        <v>50</v>
      </c>
      <c r="AJ136" s="30">
        <f>IF(AN136=0,J136,0)</f>
        <v>0</v>
      </c>
      <c r="AK136" s="30">
        <f>IF(AN136=12,J136,0)</f>
        <v>0</v>
      </c>
      <c r="AL136" s="30">
        <f>IF(AN136=21,J136,0)</f>
        <v>0</v>
      </c>
      <c r="AN136" s="30">
        <v>12</v>
      </c>
      <c r="AO136" s="30">
        <f>G136*0</f>
        <v>0</v>
      </c>
      <c r="AP136" s="30">
        <f>G136*(1-0)</f>
        <v>0</v>
      </c>
      <c r="AQ136" s="31" t="s">
        <v>73</v>
      </c>
      <c r="AV136" s="30">
        <f>AW136+AX136</f>
        <v>0</v>
      </c>
      <c r="AW136" s="30">
        <f>F136*AO136</f>
        <v>0</v>
      </c>
      <c r="AX136" s="30">
        <f>F136*AP136</f>
        <v>0</v>
      </c>
      <c r="AY136" s="31" t="s">
        <v>398</v>
      </c>
      <c r="AZ136" s="31" t="s">
        <v>399</v>
      </c>
      <c r="BA136" s="10" t="s">
        <v>60</v>
      </c>
      <c r="BC136" s="30">
        <f>AW136+AX136</f>
        <v>0</v>
      </c>
      <c r="BD136" s="30">
        <f>G136/(100-BE136)*100</f>
        <v>0</v>
      </c>
      <c r="BE136" s="30">
        <v>0</v>
      </c>
      <c r="BF136" s="30">
        <f>136</f>
        <v>136</v>
      </c>
      <c r="BH136" s="30">
        <f>F136*AO136</f>
        <v>0</v>
      </c>
      <c r="BI136" s="30">
        <f>F136*AP136</f>
        <v>0</v>
      </c>
      <c r="BJ136" s="30">
        <f>F136*G136</f>
        <v>0</v>
      </c>
      <c r="BK136" s="30"/>
      <c r="BL136" s="30">
        <v>766</v>
      </c>
      <c r="BW136" s="30">
        <v>12</v>
      </c>
      <c r="BX136" s="4" t="s">
        <v>409</v>
      </c>
    </row>
    <row r="137" spans="1:76" x14ac:dyDescent="0.25">
      <c r="A137" s="39" t="s">
        <v>50</v>
      </c>
      <c r="B137" s="40" t="s">
        <v>410</v>
      </c>
      <c r="C137" s="145" t="s">
        <v>411</v>
      </c>
      <c r="D137" s="146"/>
      <c r="E137" s="41" t="s">
        <v>4</v>
      </c>
      <c r="F137" s="41" t="s">
        <v>4</v>
      </c>
      <c r="G137" s="42" t="s">
        <v>4</v>
      </c>
      <c r="H137" s="43">
        <f>SUM(H138:H138)</f>
        <v>0</v>
      </c>
      <c r="I137" s="43">
        <f>SUM(I138:I138)</f>
        <v>0</v>
      </c>
      <c r="J137" s="43">
        <f>SUM(J138:J138)</f>
        <v>0</v>
      </c>
      <c r="K137" s="44" t="s">
        <v>50</v>
      </c>
      <c r="AI137" s="10" t="s">
        <v>50</v>
      </c>
      <c r="AS137" s="1">
        <f>SUM(AJ138:AJ138)</f>
        <v>0</v>
      </c>
      <c r="AT137" s="1">
        <f>SUM(AK138:AK138)</f>
        <v>0</v>
      </c>
      <c r="AU137" s="1">
        <f>SUM(AL138:AL138)</f>
        <v>0</v>
      </c>
    </row>
    <row r="138" spans="1:76" x14ac:dyDescent="0.25">
      <c r="A138" s="25" t="s">
        <v>412</v>
      </c>
      <c r="B138" s="26" t="s">
        <v>413</v>
      </c>
      <c r="C138" s="137" t="s">
        <v>414</v>
      </c>
      <c r="D138" s="138"/>
      <c r="E138" s="26" t="s">
        <v>76</v>
      </c>
      <c r="F138" s="27">
        <v>12.23</v>
      </c>
      <c r="G138" s="28">
        <v>0</v>
      </c>
      <c r="H138" s="27">
        <f>F138*AO138</f>
        <v>0</v>
      </c>
      <c r="I138" s="27">
        <f>F138*AP138</f>
        <v>0</v>
      </c>
      <c r="J138" s="27">
        <f>F138*G138</f>
        <v>0</v>
      </c>
      <c r="K138" s="29" t="s">
        <v>57</v>
      </c>
      <c r="Z138" s="30">
        <f>IF(AQ138="5",BJ138,0)</f>
        <v>0</v>
      </c>
      <c r="AB138" s="30">
        <f>IF(AQ138="1",BH138,0)</f>
        <v>0</v>
      </c>
      <c r="AC138" s="30">
        <f>IF(AQ138="1",BI138,0)</f>
        <v>0</v>
      </c>
      <c r="AD138" s="30">
        <f>IF(AQ138="7",BH138,0)</f>
        <v>0</v>
      </c>
      <c r="AE138" s="30">
        <f>IF(AQ138="7",BI138,0)</f>
        <v>0</v>
      </c>
      <c r="AF138" s="30">
        <f>IF(AQ138="2",BH138,0)</f>
        <v>0</v>
      </c>
      <c r="AG138" s="30">
        <f>IF(AQ138="2",BI138,0)</f>
        <v>0</v>
      </c>
      <c r="AH138" s="30">
        <f>IF(AQ138="0",BJ138,0)</f>
        <v>0</v>
      </c>
      <c r="AI138" s="10" t="s">
        <v>50</v>
      </c>
      <c r="AJ138" s="30">
        <f>IF(AN138=0,J138,0)</f>
        <v>0</v>
      </c>
      <c r="AK138" s="30">
        <f>IF(AN138=12,J138,0)</f>
        <v>0</v>
      </c>
      <c r="AL138" s="30">
        <f>IF(AN138=21,J138,0)</f>
        <v>0</v>
      </c>
      <c r="AN138" s="30">
        <v>12</v>
      </c>
      <c r="AO138" s="30">
        <f>G138*0.866248066</f>
        <v>0</v>
      </c>
      <c r="AP138" s="30">
        <f>G138*(1-0.866248066)</f>
        <v>0</v>
      </c>
      <c r="AQ138" s="31" t="s">
        <v>80</v>
      </c>
      <c r="AV138" s="30">
        <f>AW138+AX138</f>
        <v>0</v>
      </c>
      <c r="AW138" s="30">
        <f>F138*AO138</f>
        <v>0</v>
      </c>
      <c r="AX138" s="30">
        <f>F138*AP138</f>
        <v>0</v>
      </c>
      <c r="AY138" s="31" t="s">
        <v>415</v>
      </c>
      <c r="AZ138" s="31" t="s">
        <v>399</v>
      </c>
      <c r="BA138" s="10" t="s">
        <v>60</v>
      </c>
      <c r="BC138" s="30">
        <f>AW138+AX138</f>
        <v>0</v>
      </c>
      <c r="BD138" s="30">
        <f>G138/(100-BE138)*100</f>
        <v>0</v>
      </c>
      <c r="BE138" s="30">
        <v>0</v>
      </c>
      <c r="BF138" s="30">
        <f>138</f>
        <v>138</v>
      </c>
      <c r="BH138" s="30">
        <f>F138*AO138</f>
        <v>0</v>
      </c>
      <c r="BI138" s="30">
        <f>F138*AP138</f>
        <v>0</v>
      </c>
      <c r="BJ138" s="30">
        <f>F138*G138</f>
        <v>0</v>
      </c>
      <c r="BK138" s="30"/>
      <c r="BL138" s="30">
        <v>767</v>
      </c>
      <c r="BW138" s="30">
        <v>12</v>
      </c>
      <c r="BX138" s="4" t="s">
        <v>414</v>
      </c>
    </row>
    <row r="139" spans="1:76" x14ac:dyDescent="0.25">
      <c r="A139" s="39" t="s">
        <v>50</v>
      </c>
      <c r="B139" s="40" t="s">
        <v>416</v>
      </c>
      <c r="C139" s="145" t="s">
        <v>417</v>
      </c>
      <c r="D139" s="146"/>
      <c r="E139" s="41" t="s">
        <v>4</v>
      </c>
      <c r="F139" s="41" t="s">
        <v>4</v>
      </c>
      <c r="G139" s="42" t="s">
        <v>4</v>
      </c>
      <c r="H139" s="43">
        <f>SUM(H140:H174)</f>
        <v>0</v>
      </c>
      <c r="I139" s="43">
        <f>SUM(I140:I174)</f>
        <v>0</v>
      </c>
      <c r="J139" s="43">
        <f>SUM(J140:J174)</f>
        <v>0</v>
      </c>
      <c r="K139" s="44" t="s">
        <v>50</v>
      </c>
      <c r="AI139" s="10" t="s">
        <v>50</v>
      </c>
      <c r="AS139" s="1">
        <f>SUM(AJ140:AJ174)</f>
        <v>0</v>
      </c>
      <c r="AT139" s="1">
        <f>SUM(AK140:AK174)</f>
        <v>0</v>
      </c>
      <c r="AU139" s="1">
        <f>SUM(AL140:AL174)</f>
        <v>0</v>
      </c>
    </row>
    <row r="140" spans="1:76" x14ac:dyDescent="0.25">
      <c r="A140" s="25" t="s">
        <v>418</v>
      </c>
      <c r="B140" s="26" t="s">
        <v>419</v>
      </c>
      <c r="C140" s="137" t="s">
        <v>420</v>
      </c>
      <c r="D140" s="138"/>
      <c r="E140" s="26" t="s">
        <v>76</v>
      </c>
      <c r="F140" s="27">
        <v>12.23</v>
      </c>
      <c r="G140" s="28">
        <v>0</v>
      </c>
      <c r="H140" s="27">
        <f>F140*AO140</f>
        <v>0</v>
      </c>
      <c r="I140" s="27">
        <f>F140*AP140</f>
        <v>0</v>
      </c>
      <c r="J140" s="27">
        <f>F140*G140</f>
        <v>0</v>
      </c>
      <c r="K140" s="29" t="s">
        <v>57</v>
      </c>
      <c r="Z140" s="30">
        <f>IF(AQ140="5",BJ140,0)</f>
        <v>0</v>
      </c>
      <c r="AB140" s="30">
        <f>IF(AQ140="1",BH140,0)</f>
        <v>0</v>
      </c>
      <c r="AC140" s="30">
        <f>IF(AQ140="1",BI140,0)</f>
        <v>0</v>
      </c>
      <c r="AD140" s="30">
        <f>IF(AQ140="7",BH140,0)</f>
        <v>0</v>
      </c>
      <c r="AE140" s="30">
        <f>IF(AQ140="7",BI140,0)</f>
        <v>0</v>
      </c>
      <c r="AF140" s="30">
        <f>IF(AQ140="2",BH140,0)</f>
        <v>0</v>
      </c>
      <c r="AG140" s="30">
        <f>IF(AQ140="2",BI140,0)</f>
        <v>0</v>
      </c>
      <c r="AH140" s="30">
        <f>IF(AQ140="0",BJ140,0)</f>
        <v>0</v>
      </c>
      <c r="AI140" s="10" t="s">
        <v>50</v>
      </c>
      <c r="AJ140" s="30">
        <f>IF(AN140=0,J140,0)</f>
        <v>0</v>
      </c>
      <c r="AK140" s="30">
        <f>IF(AN140=12,J140,0)</f>
        <v>0</v>
      </c>
      <c r="AL140" s="30">
        <f>IF(AN140=21,J140,0)</f>
        <v>0</v>
      </c>
      <c r="AN140" s="30">
        <v>12</v>
      </c>
      <c r="AO140" s="30">
        <f>G140*0</f>
        <v>0</v>
      </c>
      <c r="AP140" s="30">
        <f>G140*(1-0)</f>
        <v>0</v>
      </c>
      <c r="AQ140" s="31" t="s">
        <v>80</v>
      </c>
      <c r="AV140" s="30">
        <f>AW140+AX140</f>
        <v>0</v>
      </c>
      <c r="AW140" s="30">
        <f>F140*AO140</f>
        <v>0</v>
      </c>
      <c r="AX140" s="30">
        <f>F140*AP140</f>
        <v>0</v>
      </c>
      <c r="AY140" s="31" t="s">
        <v>421</v>
      </c>
      <c r="AZ140" s="31" t="s">
        <v>422</v>
      </c>
      <c r="BA140" s="10" t="s">
        <v>60</v>
      </c>
      <c r="BC140" s="30">
        <f>AW140+AX140</f>
        <v>0</v>
      </c>
      <c r="BD140" s="30">
        <f>G140/(100-BE140)*100</f>
        <v>0</v>
      </c>
      <c r="BE140" s="30">
        <v>0</v>
      </c>
      <c r="BF140" s="30">
        <f>140</f>
        <v>140</v>
      </c>
      <c r="BH140" s="30">
        <f>F140*AO140</f>
        <v>0</v>
      </c>
      <c r="BI140" s="30">
        <f>F140*AP140</f>
        <v>0</v>
      </c>
      <c r="BJ140" s="30">
        <f>F140*G140</f>
        <v>0</v>
      </c>
      <c r="BK140" s="30"/>
      <c r="BL140" s="30">
        <v>771</v>
      </c>
      <c r="BW140" s="30">
        <v>12</v>
      </c>
      <c r="BX140" s="4" t="s">
        <v>420</v>
      </c>
    </row>
    <row r="141" spans="1:76" x14ac:dyDescent="0.25">
      <c r="A141" s="32" t="s">
        <v>423</v>
      </c>
      <c r="B141" s="33" t="s">
        <v>424</v>
      </c>
      <c r="C141" s="139" t="s">
        <v>425</v>
      </c>
      <c r="D141" s="140"/>
      <c r="E141" s="33" t="s">
        <v>64</v>
      </c>
      <c r="F141" s="34">
        <v>7.73</v>
      </c>
      <c r="G141" s="35">
        <v>0</v>
      </c>
      <c r="H141" s="34">
        <f>F141*AO141</f>
        <v>0</v>
      </c>
      <c r="I141" s="34">
        <f>F141*AP141</f>
        <v>0</v>
      </c>
      <c r="J141" s="34">
        <f>F141*G141</f>
        <v>0</v>
      </c>
      <c r="K141" s="36" t="s">
        <v>57</v>
      </c>
      <c r="Z141" s="30">
        <f>IF(AQ141="5",BJ141,0)</f>
        <v>0</v>
      </c>
      <c r="AB141" s="30">
        <f>IF(AQ141="1",BH141,0)</f>
        <v>0</v>
      </c>
      <c r="AC141" s="30">
        <f>IF(AQ141="1",BI141,0)</f>
        <v>0</v>
      </c>
      <c r="AD141" s="30">
        <f>IF(AQ141="7",BH141,0)</f>
        <v>0</v>
      </c>
      <c r="AE141" s="30">
        <f>IF(AQ141="7",BI141,0)</f>
        <v>0</v>
      </c>
      <c r="AF141" s="30">
        <f>IF(AQ141="2",BH141,0)</f>
        <v>0</v>
      </c>
      <c r="AG141" s="30">
        <f>IF(AQ141="2",BI141,0)</f>
        <v>0</v>
      </c>
      <c r="AH141" s="30">
        <f>IF(AQ141="0",BJ141,0)</f>
        <v>0</v>
      </c>
      <c r="AI141" s="10" t="s">
        <v>50</v>
      </c>
      <c r="AJ141" s="30">
        <f>IF(AN141=0,J141,0)</f>
        <v>0</v>
      </c>
      <c r="AK141" s="30">
        <f>IF(AN141=12,J141,0)</f>
        <v>0</v>
      </c>
      <c r="AL141" s="30">
        <f>IF(AN141=21,J141,0)</f>
        <v>0</v>
      </c>
      <c r="AN141" s="30">
        <v>12</v>
      </c>
      <c r="AO141" s="30">
        <f>G141*0</f>
        <v>0</v>
      </c>
      <c r="AP141" s="30">
        <f>G141*(1-0)</f>
        <v>0</v>
      </c>
      <c r="AQ141" s="31" t="s">
        <v>80</v>
      </c>
      <c r="AV141" s="30">
        <f>AW141+AX141</f>
        <v>0</v>
      </c>
      <c r="AW141" s="30">
        <f>F141*AO141</f>
        <v>0</v>
      </c>
      <c r="AX141" s="30">
        <f>F141*AP141</f>
        <v>0</v>
      </c>
      <c r="AY141" s="31" t="s">
        <v>421</v>
      </c>
      <c r="AZ141" s="31" t="s">
        <v>422</v>
      </c>
      <c r="BA141" s="10" t="s">
        <v>60</v>
      </c>
      <c r="BC141" s="30">
        <f>AW141+AX141</f>
        <v>0</v>
      </c>
      <c r="BD141" s="30">
        <f>G141/(100-BE141)*100</f>
        <v>0</v>
      </c>
      <c r="BE141" s="30">
        <v>0</v>
      </c>
      <c r="BF141" s="30">
        <f>141</f>
        <v>141</v>
      </c>
      <c r="BH141" s="30">
        <f>F141*AO141</f>
        <v>0</v>
      </c>
      <c r="BI141" s="30">
        <f>F141*AP141</f>
        <v>0</v>
      </c>
      <c r="BJ141" s="30">
        <f>F141*G141</f>
        <v>0</v>
      </c>
      <c r="BK141" s="30"/>
      <c r="BL141" s="30">
        <v>771</v>
      </c>
      <c r="BW141" s="30">
        <v>12</v>
      </c>
      <c r="BX141" s="4" t="s">
        <v>425</v>
      </c>
    </row>
    <row r="142" spans="1:76" x14ac:dyDescent="0.25">
      <c r="A142" s="32" t="s">
        <v>426</v>
      </c>
      <c r="B142" s="33" t="s">
        <v>427</v>
      </c>
      <c r="C142" s="139" t="s">
        <v>428</v>
      </c>
      <c r="D142" s="140"/>
      <c r="E142" s="33" t="s">
        <v>97</v>
      </c>
      <c r="F142" s="34">
        <v>4.2745800000000003</v>
      </c>
      <c r="G142" s="35">
        <v>0</v>
      </c>
      <c r="H142" s="34">
        <f>F142*AO142</f>
        <v>0</v>
      </c>
      <c r="I142" s="34">
        <f>F142*AP142</f>
        <v>0</v>
      </c>
      <c r="J142" s="34">
        <f>F142*G142</f>
        <v>0</v>
      </c>
      <c r="K142" s="36" t="s">
        <v>57</v>
      </c>
      <c r="Z142" s="30">
        <f>IF(AQ142="5",BJ142,0)</f>
        <v>0</v>
      </c>
      <c r="AB142" s="30">
        <f>IF(AQ142="1",BH142,0)</f>
        <v>0</v>
      </c>
      <c r="AC142" s="30">
        <f>IF(AQ142="1",BI142,0)</f>
        <v>0</v>
      </c>
      <c r="AD142" s="30">
        <f>IF(AQ142="7",BH142,0)</f>
        <v>0</v>
      </c>
      <c r="AE142" s="30">
        <f>IF(AQ142="7",BI142,0)</f>
        <v>0</v>
      </c>
      <c r="AF142" s="30">
        <f>IF(AQ142="2",BH142,0)</f>
        <v>0</v>
      </c>
      <c r="AG142" s="30">
        <f>IF(AQ142="2",BI142,0)</f>
        <v>0</v>
      </c>
      <c r="AH142" s="30">
        <f>IF(AQ142="0",BJ142,0)</f>
        <v>0</v>
      </c>
      <c r="AI142" s="10" t="s">
        <v>50</v>
      </c>
      <c r="AJ142" s="30">
        <f>IF(AN142=0,J142,0)</f>
        <v>0</v>
      </c>
      <c r="AK142" s="30">
        <f>IF(AN142=12,J142,0)</f>
        <v>0</v>
      </c>
      <c r="AL142" s="30">
        <f>IF(AN142=21,J142,0)</f>
        <v>0</v>
      </c>
      <c r="AN142" s="30">
        <v>12</v>
      </c>
      <c r="AO142" s="30">
        <f>G142*0</f>
        <v>0</v>
      </c>
      <c r="AP142" s="30">
        <f>G142*(1-0)</f>
        <v>0</v>
      </c>
      <c r="AQ142" s="31" t="s">
        <v>80</v>
      </c>
      <c r="AV142" s="30">
        <f>AW142+AX142</f>
        <v>0</v>
      </c>
      <c r="AW142" s="30">
        <f>F142*AO142</f>
        <v>0</v>
      </c>
      <c r="AX142" s="30">
        <f>F142*AP142</f>
        <v>0</v>
      </c>
      <c r="AY142" s="31" t="s">
        <v>421</v>
      </c>
      <c r="AZ142" s="31" t="s">
        <v>422</v>
      </c>
      <c r="BA142" s="10" t="s">
        <v>60</v>
      </c>
      <c r="BC142" s="30">
        <f>AW142+AX142</f>
        <v>0</v>
      </c>
      <c r="BD142" s="30">
        <f>G142/(100-BE142)*100</f>
        <v>0</v>
      </c>
      <c r="BE142" s="30">
        <v>0</v>
      </c>
      <c r="BF142" s="30">
        <f>142</f>
        <v>142</v>
      </c>
      <c r="BH142" s="30">
        <f>F142*AO142</f>
        <v>0</v>
      </c>
      <c r="BI142" s="30">
        <f>F142*AP142</f>
        <v>0</v>
      </c>
      <c r="BJ142" s="30">
        <f>F142*G142</f>
        <v>0</v>
      </c>
      <c r="BK142" s="30"/>
      <c r="BL142" s="30">
        <v>771</v>
      </c>
      <c r="BW142" s="30">
        <v>12</v>
      </c>
      <c r="BX142" s="4" t="s">
        <v>428</v>
      </c>
    </row>
    <row r="143" spans="1:76" x14ac:dyDescent="0.25">
      <c r="A143" s="32" t="s">
        <v>429</v>
      </c>
      <c r="B143" s="33" t="s">
        <v>430</v>
      </c>
      <c r="C143" s="139" t="s">
        <v>431</v>
      </c>
      <c r="D143" s="140"/>
      <c r="E143" s="33" t="s">
        <v>64</v>
      </c>
      <c r="F143" s="34">
        <v>7.73</v>
      </c>
      <c r="G143" s="35">
        <v>0</v>
      </c>
      <c r="H143" s="34">
        <f>F143*AO143</f>
        <v>0</v>
      </c>
      <c r="I143" s="34">
        <f>F143*AP143</f>
        <v>0</v>
      </c>
      <c r="J143" s="34">
        <f>F143*G143</f>
        <v>0</v>
      </c>
      <c r="K143" s="36" t="s">
        <v>57</v>
      </c>
      <c r="Z143" s="30">
        <f>IF(AQ143="5",BJ143,0)</f>
        <v>0</v>
      </c>
      <c r="AB143" s="30">
        <f>IF(AQ143="1",BH143,0)</f>
        <v>0</v>
      </c>
      <c r="AC143" s="30">
        <f>IF(AQ143="1",BI143,0)</f>
        <v>0</v>
      </c>
      <c r="AD143" s="30">
        <f>IF(AQ143="7",BH143,0)</f>
        <v>0</v>
      </c>
      <c r="AE143" s="30">
        <f>IF(AQ143="7",BI143,0)</f>
        <v>0</v>
      </c>
      <c r="AF143" s="30">
        <f>IF(AQ143="2",BH143,0)</f>
        <v>0</v>
      </c>
      <c r="AG143" s="30">
        <f>IF(AQ143="2",BI143,0)</f>
        <v>0</v>
      </c>
      <c r="AH143" s="30">
        <f>IF(AQ143="0",BJ143,0)</f>
        <v>0</v>
      </c>
      <c r="AI143" s="10" t="s">
        <v>50</v>
      </c>
      <c r="AJ143" s="30">
        <f>IF(AN143=0,J143,0)</f>
        <v>0</v>
      </c>
      <c r="AK143" s="30">
        <f>IF(AN143=12,J143,0)</f>
        <v>0</v>
      </c>
      <c r="AL143" s="30">
        <f>IF(AN143=21,J143,0)</f>
        <v>0</v>
      </c>
      <c r="AN143" s="30">
        <v>12</v>
      </c>
      <c r="AO143" s="30">
        <f>G143*0</f>
        <v>0</v>
      </c>
      <c r="AP143" s="30">
        <f>G143*(1-0)</f>
        <v>0</v>
      </c>
      <c r="AQ143" s="31" t="s">
        <v>80</v>
      </c>
      <c r="AV143" s="30">
        <f>AW143+AX143</f>
        <v>0</v>
      </c>
      <c r="AW143" s="30">
        <f>F143*AO143</f>
        <v>0</v>
      </c>
      <c r="AX143" s="30">
        <f>F143*AP143</f>
        <v>0</v>
      </c>
      <c r="AY143" s="31" t="s">
        <v>421</v>
      </c>
      <c r="AZ143" s="31" t="s">
        <v>422</v>
      </c>
      <c r="BA143" s="10" t="s">
        <v>60</v>
      </c>
      <c r="BC143" s="30">
        <f>AW143+AX143</f>
        <v>0</v>
      </c>
      <c r="BD143" s="30">
        <f>G143/(100-BE143)*100</f>
        <v>0</v>
      </c>
      <c r="BE143" s="30">
        <v>0</v>
      </c>
      <c r="BF143" s="30">
        <f>143</f>
        <v>143</v>
      </c>
      <c r="BH143" s="30">
        <f>F143*AO143</f>
        <v>0</v>
      </c>
      <c r="BI143" s="30">
        <f>F143*AP143</f>
        <v>0</v>
      </c>
      <c r="BJ143" s="30">
        <f>F143*G143</f>
        <v>0</v>
      </c>
      <c r="BK143" s="30"/>
      <c r="BL143" s="30">
        <v>771</v>
      </c>
      <c r="BW143" s="30">
        <v>12</v>
      </c>
      <c r="BX143" s="4" t="s">
        <v>431</v>
      </c>
    </row>
    <row r="144" spans="1:76" ht="13.5" customHeight="1" x14ac:dyDescent="0.25">
      <c r="A144" s="37"/>
      <c r="B144" s="38" t="s">
        <v>68</v>
      </c>
      <c r="C144" s="141" t="s">
        <v>432</v>
      </c>
      <c r="D144" s="142"/>
      <c r="E144" s="142"/>
      <c r="F144" s="142"/>
      <c r="G144" s="143"/>
      <c r="H144" s="142"/>
      <c r="I144" s="142"/>
      <c r="J144" s="142"/>
      <c r="K144" s="144"/>
    </row>
    <row r="145" spans="1:76" x14ac:dyDescent="0.25">
      <c r="A145" s="25" t="s">
        <v>433</v>
      </c>
      <c r="B145" s="26" t="s">
        <v>434</v>
      </c>
      <c r="C145" s="137" t="s">
        <v>435</v>
      </c>
      <c r="D145" s="138"/>
      <c r="E145" s="26" t="s">
        <v>64</v>
      </c>
      <c r="F145" s="27">
        <v>7.73</v>
      </c>
      <c r="G145" s="28">
        <v>0</v>
      </c>
      <c r="H145" s="27">
        <f t="shared" ref="H145:H153" si="154">F145*AO145</f>
        <v>0</v>
      </c>
      <c r="I145" s="27">
        <f t="shared" ref="I145:I153" si="155">F145*AP145</f>
        <v>0</v>
      </c>
      <c r="J145" s="27">
        <f t="shared" ref="J145:J153" si="156">F145*G145</f>
        <v>0</v>
      </c>
      <c r="K145" s="29" t="s">
        <v>57</v>
      </c>
      <c r="Z145" s="30">
        <f t="shared" ref="Z145:Z153" si="157">IF(AQ145="5",BJ145,0)</f>
        <v>0</v>
      </c>
      <c r="AB145" s="30">
        <f t="shared" ref="AB145:AB153" si="158">IF(AQ145="1",BH145,0)</f>
        <v>0</v>
      </c>
      <c r="AC145" s="30">
        <f t="shared" ref="AC145:AC153" si="159">IF(AQ145="1",BI145,0)</f>
        <v>0</v>
      </c>
      <c r="AD145" s="30">
        <f t="shared" ref="AD145:AD153" si="160">IF(AQ145="7",BH145,0)</f>
        <v>0</v>
      </c>
      <c r="AE145" s="30">
        <f t="shared" ref="AE145:AE153" si="161">IF(AQ145="7",BI145,0)</f>
        <v>0</v>
      </c>
      <c r="AF145" s="30">
        <f t="shared" ref="AF145:AF153" si="162">IF(AQ145="2",BH145,0)</f>
        <v>0</v>
      </c>
      <c r="AG145" s="30">
        <f t="shared" ref="AG145:AG153" si="163">IF(AQ145="2",BI145,0)</f>
        <v>0</v>
      </c>
      <c r="AH145" s="30">
        <f t="shared" ref="AH145:AH153" si="164">IF(AQ145="0",BJ145,0)</f>
        <v>0</v>
      </c>
      <c r="AI145" s="10" t="s">
        <v>50</v>
      </c>
      <c r="AJ145" s="30">
        <f t="shared" ref="AJ145:AJ153" si="165">IF(AN145=0,J145,0)</f>
        <v>0</v>
      </c>
      <c r="AK145" s="30">
        <f t="shared" ref="AK145:AK153" si="166">IF(AN145=12,J145,0)</f>
        <v>0</v>
      </c>
      <c r="AL145" s="30">
        <f t="shared" ref="AL145:AL153" si="167">IF(AN145=21,J145,0)</f>
        <v>0</v>
      </c>
      <c r="AN145" s="30">
        <v>12</v>
      </c>
      <c r="AO145" s="30">
        <f>G145*0</f>
        <v>0</v>
      </c>
      <c r="AP145" s="30">
        <f>G145*(1-0)</f>
        <v>0</v>
      </c>
      <c r="AQ145" s="31" t="s">
        <v>80</v>
      </c>
      <c r="AV145" s="30">
        <f t="shared" ref="AV145:AV153" si="168">AW145+AX145</f>
        <v>0</v>
      </c>
      <c r="AW145" s="30">
        <f t="shared" ref="AW145:AW153" si="169">F145*AO145</f>
        <v>0</v>
      </c>
      <c r="AX145" s="30">
        <f t="shared" ref="AX145:AX153" si="170">F145*AP145</f>
        <v>0</v>
      </c>
      <c r="AY145" s="31" t="s">
        <v>421</v>
      </c>
      <c r="AZ145" s="31" t="s">
        <v>422</v>
      </c>
      <c r="BA145" s="10" t="s">
        <v>60</v>
      </c>
      <c r="BC145" s="30">
        <f t="shared" ref="BC145:BC153" si="171">AW145+AX145</f>
        <v>0</v>
      </c>
      <c r="BD145" s="30">
        <f t="shared" ref="BD145:BD153" si="172">G145/(100-BE145)*100</f>
        <v>0</v>
      </c>
      <c r="BE145" s="30">
        <v>0</v>
      </c>
      <c r="BF145" s="30">
        <f>145</f>
        <v>145</v>
      </c>
      <c r="BH145" s="30">
        <f t="shared" ref="BH145:BH153" si="173">F145*AO145</f>
        <v>0</v>
      </c>
      <c r="BI145" s="30">
        <f t="shared" ref="BI145:BI153" si="174">F145*AP145</f>
        <v>0</v>
      </c>
      <c r="BJ145" s="30">
        <f t="shared" ref="BJ145:BJ153" si="175">F145*G145</f>
        <v>0</v>
      </c>
      <c r="BK145" s="30"/>
      <c r="BL145" s="30">
        <v>771</v>
      </c>
      <c r="BW145" s="30">
        <v>12</v>
      </c>
      <c r="BX145" s="4" t="s">
        <v>435</v>
      </c>
    </row>
    <row r="146" spans="1:76" x14ac:dyDescent="0.25">
      <c r="A146" s="32" t="s">
        <v>436</v>
      </c>
      <c r="B146" s="33" t="s">
        <v>84</v>
      </c>
      <c r="C146" s="139" t="s">
        <v>85</v>
      </c>
      <c r="D146" s="140"/>
      <c r="E146" s="33" t="s">
        <v>86</v>
      </c>
      <c r="F146" s="34">
        <v>11.7342</v>
      </c>
      <c r="G146" s="35">
        <v>0</v>
      </c>
      <c r="H146" s="34">
        <f t="shared" si="154"/>
        <v>0</v>
      </c>
      <c r="I146" s="34">
        <f t="shared" si="155"/>
        <v>0</v>
      </c>
      <c r="J146" s="34">
        <f t="shared" si="156"/>
        <v>0</v>
      </c>
      <c r="K146" s="36" t="s">
        <v>57</v>
      </c>
      <c r="Z146" s="30">
        <f t="shared" si="157"/>
        <v>0</v>
      </c>
      <c r="AB146" s="30">
        <f t="shared" si="158"/>
        <v>0</v>
      </c>
      <c r="AC146" s="30">
        <f t="shared" si="159"/>
        <v>0</v>
      </c>
      <c r="AD146" s="30">
        <f t="shared" si="160"/>
        <v>0</v>
      </c>
      <c r="AE146" s="30">
        <f t="shared" si="161"/>
        <v>0</v>
      </c>
      <c r="AF146" s="30">
        <f t="shared" si="162"/>
        <v>0</v>
      </c>
      <c r="AG146" s="30">
        <f t="shared" si="163"/>
        <v>0</v>
      </c>
      <c r="AH146" s="30">
        <f t="shared" si="164"/>
        <v>0</v>
      </c>
      <c r="AI146" s="10" t="s">
        <v>50</v>
      </c>
      <c r="AJ146" s="30">
        <f t="shared" si="165"/>
        <v>0</v>
      </c>
      <c r="AK146" s="30">
        <f t="shared" si="166"/>
        <v>0</v>
      </c>
      <c r="AL146" s="30">
        <f t="shared" si="167"/>
        <v>0</v>
      </c>
      <c r="AN146" s="30">
        <v>12</v>
      </c>
      <c r="AO146" s="30">
        <f>G146*0</f>
        <v>0</v>
      </c>
      <c r="AP146" s="30">
        <f>G146*(1-0)</f>
        <v>0</v>
      </c>
      <c r="AQ146" s="31" t="s">
        <v>73</v>
      </c>
      <c r="AV146" s="30">
        <f t="shared" si="168"/>
        <v>0</v>
      </c>
      <c r="AW146" s="30">
        <f t="shared" si="169"/>
        <v>0</v>
      </c>
      <c r="AX146" s="30">
        <f t="shared" si="170"/>
        <v>0</v>
      </c>
      <c r="AY146" s="31" t="s">
        <v>421</v>
      </c>
      <c r="AZ146" s="31" t="s">
        <v>422</v>
      </c>
      <c r="BA146" s="10" t="s">
        <v>60</v>
      </c>
      <c r="BC146" s="30">
        <f t="shared" si="171"/>
        <v>0</v>
      </c>
      <c r="BD146" s="30">
        <f t="shared" si="172"/>
        <v>0</v>
      </c>
      <c r="BE146" s="30">
        <v>0</v>
      </c>
      <c r="BF146" s="30">
        <f>146</f>
        <v>146</v>
      </c>
      <c r="BH146" s="30">
        <f t="shared" si="173"/>
        <v>0</v>
      </c>
      <c r="BI146" s="30">
        <f t="shared" si="174"/>
        <v>0</v>
      </c>
      <c r="BJ146" s="30">
        <f t="shared" si="175"/>
        <v>0</v>
      </c>
      <c r="BK146" s="30"/>
      <c r="BL146" s="30">
        <v>771</v>
      </c>
      <c r="BW146" s="30">
        <v>12</v>
      </c>
      <c r="BX146" s="4" t="s">
        <v>85</v>
      </c>
    </row>
    <row r="147" spans="1:76" x14ac:dyDescent="0.25">
      <c r="A147" s="32" t="s">
        <v>437</v>
      </c>
      <c r="B147" s="33" t="s">
        <v>88</v>
      </c>
      <c r="C147" s="139" t="s">
        <v>89</v>
      </c>
      <c r="D147" s="140"/>
      <c r="E147" s="33" t="s">
        <v>86</v>
      </c>
      <c r="F147" s="34">
        <v>11.7342</v>
      </c>
      <c r="G147" s="35">
        <v>0</v>
      </c>
      <c r="H147" s="34">
        <f t="shared" si="154"/>
        <v>0</v>
      </c>
      <c r="I147" s="34">
        <f t="shared" si="155"/>
        <v>0</v>
      </c>
      <c r="J147" s="34">
        <f t="shared" si="156"/>
        <v>0</v>
      </c>
      <c r="K147" s="36" t="s">
        <v>57</v>
      </c>
      <c r="Z147" s="30">
        <f t="shared" si="157"/>
        <v>0</v>
      </c>
      <c r="AB147" s="30">
        <f t="shared" si="158"/>
        <v>0</v>
      </c>
      <c r="AC147" s="30">
        <f t="shared" si="159"/>
        <v>0</v>
      </c>
      <c r="AD147" s="30">
        <f t="shared" si="160"/>
        <v>0</v>
      </c>
      <c r="AE147" s="30">
        <f t="shared" si="161"/>
        <v>0</v>
      </c>
      <c r="AF147" s="30">
        <f t="shared" si="162"/>
        <v>0</v>
      </c>
      <c r="AG147" s="30">
        <f t="shared" si="163"/>
        <v>0</v>
      </c>
      <c r="AH147" s="30">
        <f t="shared" si="164"/>
        <v>0</v>
      </c>
      <c r="AI147" s="10" t="s">
        <v>50</v>
      </c>
      <c r="AJ147" s="30">
        <f t="shared" si="165"/>
        <v>0</v>
      </c>
      <c r="AK147" s="30">
        <f t="shared" si="166"/>
        <v>0</v>
      </c>
      <c r="AL147" s="30">
        <f t="shared" si="167"/>
        <v>0</v>
      </c>
      <c r="AN147" s="30">
        <v>12</v>
      </c>
      <c r="AO147" s="30">
        <f>G147*0.010795584</f>
        <v>0</v>
      </c>
      <c r="AP147" s="30">
        <f>G147*(1-0.010795584)</f>
        <v>0</v>
      </c>
      <c r="AQ147" s="31" t="s">
        <v>73</v>
      </c>
      <c r="AV147" s="30">
        <f t="shared" si="168"/>
        <v>0</v>
      </c>
      <c r="AW147" s="30">
        <f t="shared" si="169"/>
        <v>0</v>
      </c>
      <c r="AX147" s="30">
        <f t="shared" si="170"/>
        <v>0</v>
      </c>
      <c r="AY147" s="31" t="s">
        <v>421</v>
      </c>
      <c r="AZ147" s="31" t="s">
        <v>422</v>
      </c>
      <c r="BA147" s="10" t="s">
        <v>60</v>
      </c>
      <c r="BC147" s="30">
        <f t="shared" si="171"/>
        <v>0</v>
      </c>
      <c r="BD147" s="30">
        <f t="shared" si="172"/>
        <v>0</v>
      </c>
      <c r="BE147" s="30">
        <v>0</v>
      </c>
      <c r="BF147" s="30">
        <f>147</f>
        <v>147</v>
      </c>
      <c r="BH147" s="30">
        <f t="shared" si="173"/>
        <v>0</v>
      </c>
      <c r="BI147" s="30">
        <f t="shared" si="174"/>
        <v>0</v>
      </c>
      <c r="BJ147" s="30">
        <f t="shared" si="175"/>
        <v>0</v>
      </c>
      <c r="BK147" s="30"/>
      <c r="BL147" s="30">
        <v>771</v>
      </c>
      <c r="BW147" s="30">
        <v>12</v>
      </c>
      <c r="BX147" s="4" t="s">
        <v>89</v>
      </c>
    </row>
    <row r="148" spans="1:76" x14ac:dyDescent="0.25">
      <c r="A148" s="32" t="s">
        <v>438</v>
      </c>
      <c r="B148" s="33" t="s">
        <v>439</v>
      </c>
      <c r="C148" s="139" t="s">
        <v>440</v>
      </c>
      <c r="D148" s="140"/>
      <c r="E148" s="33" t="s">
        <v>86</v>
      </c>
      <c r="F148" s="34">
        <v>1.2174799999999999</v>
      </c>
      <c r="G148" s="35">
        <v>0</v>
      </c>
      <c r="H148" s="34">
        <f t="shared" si="154"/>
        <v>0</v>
      </c>
      <c r="I148" s="34">
        <f t="shared" si="155"/>
        <v>0</v>
      </c>
      <c r="J148" s="34">
        <f t="shared" si="156"/>
        <v>0</v>
      </c>
      <c r="K148" s="36" t="s">
        <v>57</v>
      </c>
      <c r="Z148" s="30">
        <f t="shared" si="157"/>
        <v>0</v>
      </c>
      <c r="AB148" s="30">
        <f t="shared" si="158"/>
        <v>0</v>
      </c>
      <c r="AC148" s="30">
        <f t="shared" si="159"/>
        <v>0</v>
      </c>
      <c r="AD148" s="30">
        <f t="shared" si="160"/>
        <v>0</v>
      </c>
      <c r="AE148" s="30">
        <f t="shared" si="161"/>
        <v>0</v>
      </c>
      <c r="AF148" s="30">
        <f t="shared" si="162"/>
        <v>0</v>
      </c>
      <c r="AG148" s="30">
        <f t="shared" si="163"/>
        <v>0</v>
      </c>
      <c r="AH148" s="30">
        <f t="shared" si="164"/>
        <v>0</v>
      </c>
      <c r="AI148" s="10" t="s">
        <v>50</v>
      </c>
      <c r="AJ148" s="30">
        <f t="shared" si="165"/>
        <v>0</v>
      </c>
      <c r="AK148" s="30">
        <f t="shared" si="166"/>
        <v>0</v>
      </c>
      <c r="AL148" s="30">
        <f t="shared" si="167"/>
        <v>0</v>
      </c>
      <c r="AN148" s="30">
        <v>12</v>
      </c>
      <c r="AO148" s="30">
        <f>G148*0</f>
        <v>0</v>
      </c>
      <c r="AP148" s="30">
        <f>G148*(1-0)</f>
        <v>0</v>
      </c>
      <c r="AQ148" s="31" t="s">
        <v>73</v>
      </c>
      <c r="AV148" s="30">
        <f t="shared" si="168"/>
        <v>0</v>
      </c>
      <c r="AW148" s="30">
        <f t="shared" si="169"/>
        <v>0</v>
      </c>
      <c r="AX148" s="30">
        <f t="shared" si="170"/>
        <v>0</v>
      </c>
      <c r="AY148" s="31" t="s">
        <v>421</v>
      </c>
      <c r="AZ148" s="31" t="s">
        <v>422</v>
      </c>
      <c r="BA148" s="10" t="s">
        <v>60</v>
      </c>
      <c r="BC148" s="30">
        <f t="shared" si="171"/>
        <v>0</v>
      </c>
      <c r="BD148" s="30">
        <f t="shared" si="172"/>
        <v>0</v>
      </c>
      <c r="BE148" s="30">
        <v>0</v>
      </c>
      <c r="BF148" s="30">
        <f>148</f>
        <v>148</v>
      </c>
      <c r="BH148" s="30">
        <f t="shared" si="173"/>
        <v>0</v>
      </c>
      <c r="BI148" s="30">
        <f t="shared" si="174"/>
        <v>0</v>
      </c>
      <c r="BJ148" s="30">
        <f t="shared" si="175"/>
        <v>0</v>
      </c>
      <c r="BK148" s="30"/>
      <c r="BL148" s="30">
        <v>771</v>
      </c>
      <c r="BW148" s="30">
        <v>12</v>
      </c>
      <c r="BX148" s="4" t="s">
        <v>440</v>
      </c>
    </row>
    <row r="149" spans="1:76" x14ac:dyDescent="0.25">
      <c r="A149" s="32" t="s">
        <v>441</v>
      </c>
      <c r="B149" s="33" t="s">
        <v>91</v>
      </c>
      <c r="C149" s="139" t="s">
        <v>92</v>
      </c>
      <c r="D149" s="140"/>
      <c r="E149" s="33" t="s">
        <v>86</v>
      </c>
      <c r="F149" s="34">
        <v>9.9065300000000001</v>
      </c>
      <c r="G149" s="35">
        <v>0</v>
      </c>
      <c r="H149" s="34">
        <f t="shared" si="154"/>
        <v>0</v>
      </c>
      <c r="I149" s="34">
        <f t="shared" si="155"/>
        <v>0</v>
      </c>
      <c r="J149" s="34">
        <f t="shared" si="156"/>
        <v>0</v>
      </c>
      <c r="K149" s="36" t="s">
        <v>57</v>
      </c>
      <c r="Z149" s="30">
        <f t="shared" si="157"/>
        <v>0</v>
      </c>
      <c r="AB149" s="30">
        <f t="shared" si="158"/>
        <v>0</v>
      </c>
      <c r="AC149" s="30">
        <f t="shared" si="159"/>
        <v>0</v>
      </c>
      <c r="AD149" s="30">
        <f t="shared" si="160"/>
        <v>0</v>
      </c>
      <c r="AE149" s="30">
        <f t="shared" si="161"/>
        <v>0</v>
      </c>
      <c r="AF149" s="30">
        <f t="shared" si="162"/>
        <v>0</v>
      </c>
      <c r="AG149" s="30">
        <f t="shared" si="163"/>
        <v>0</v>
      </c>
      <c r="AH149" s="30">
        <f t="shared" si="164"/>
        <v>0</v>
      </c>
      <c r="AI149" s="10" t="s">
        <v>50</v>
      </c>
      <c r="AJ149" s="30">
        <f t="shared" si="165"/>
        <v>0</v>
      </c>
      <c r="AK149" s="30">
        <f t="shared" si="166"/>
        <v>0</v>
      </c>
      <c r="AL149" s="30">
        <f t="shared" si="167"/>
        <v>0</v>
      </c>
      <c r="AN149" s="30">
        <v>12</v>
      </c>
      <c r="AO149" s="30">
        <f>G149*0</f>
        <v>0</v>
      </c>
      <c r="AP149" s="30">
        <f>G149*(1-0)</f>
        <v>0</v>
      </c>
      <c r="AQ149" s="31" t="s">
        <v>73</v>
      </c>
      <c r="AV149" s="30">
        <f t="shared" si="168"/>
        <v>0</v>
      </c>
      <c r="AW149" s="30">
        <f t="shared" si="169"/>
        <v>0</v>
      </c>
      <c r="AX149" s="30">
        <f t="shared" si="170"/>
        <v>0</v>
      </c>
      <c r="AY149" s="31" t="s">
        <v>421</v>
      </c>
      <c r="AZ149" s="31" t="s">
        <v>422</v>
      </c>
      <c r="BA149" s="10" t="s">
        <v>60</v>
      </c>
      <c r="BC149" s="30">
        <f t="shared" si="171"/>
        <v>0</v>
      </c>
      <c r="BD149" s="30">
        <f t="shared" si="172"/>
        <v>0</v>
      </c>
      <c r="BE149" s="30">
        <v>0</v>
      </c>
      <c r="BF149" s="30">
        <f>149</f>
        <v>149</v>
      </c>
      <c r="BH149" s="30">
        <f t="shared" si="173"/>
        <v>0</v>
      </c>
      <c r="BI149" s="30">
        <f t="shared" si="174"/>
        <v>0</v>
      </c>
      <c r="BJ149" s="30">
        <f t="shared" si="175"/>
        <v>0</v>
      </c>
      <c r="BK149" s="30"/>
      <c r="BL149" s="30">
        <v>771</v>
      </c>
      <c r="BW149" s="30">
        <v>12</v>
      </c>
      <c r="BX149" s="4" t="s">
        <v>92</v>
      </c>
    </row>
    <row r="150" spans="1:76" x14ac:dyDescent="0.25">
      <c r="A150" s="32" t="s">
        <v>442</v>
      </c>
      <c r="B150" s="33" t="s">
        <v>443</v>
      </c>
      <c r="C150" s="139" t="s">
        <v>444</v>
      </c>
      <c r="D150" s="140"/>
      <c r="E150" s="33" t="s">
        <v>64</v>
      </c>
      <c r="F150" s="34">
        <v>42.745800000000003</v>
      </c>
      <c r="G150" s="35">
        <v>0</v>
      </c>
      <c r="H150" s="34">
        <f t="shared" si="154"/>
        <v>0</v>
      </c>
      <c r="I150" s="34">
        <f t="shared" si="155"/>
        <v>0</v>
      </c>
      <c r="J150" s="34">
        <f t="shared" si="156"/>
        <v>0</v>
      </c>
      <c r="K150" s="36" t="s">
        <v>57</v>
      </c>
      <c r="Z150" s="30">
        <f t="shared" si="157"/>
        <v>0</v>
      </c>
      <c r="AB150" s="30">
        <f t="shared" si="158"/>
        <v>0</v>
      </c>
      <c r="AC150" s="30">
        <f t="shared" si="159"/>
        <v>0</v>
      </c>
      <c r="AD150" s="30">
        <f t="shared" si="160"/>
        <v>0</v>
      </c>
      <c r="AE150" s="30">
        <f t="shared" si="161"/>
        <v>0</v>
      </c>
      <c r="AF150" s="30">
        <f t="shared" si="162"/>
        <v>0</v>
      </c>
      <c r="AG150" s="30">
        <f t="shared" si="163"/>
        <v>0</v>
      </c>
      <c r="AH150" s="30">
        <f t="shared" si="164"/>
        <v>0</v>
      </c>
      <c r="AI150" s="10" t="s">
        <v>50</v>
      </c>
      <c r="AJ150" s="30">
        <f t="shared" si="165"/>
        <v>0</v>
      </c>
      <c r="AK150" s="30">
        <f t="shared" si="166"/>
        <v>0</v>
      </c>
      <c r="AL150" s="30">
        <f t="shared" si="167"/>
        <v>0</v>
      </c>
      <c r="AN150" s="30">
        <v>12</v>
      </c>
      <c r="AO150" s="30">
        <f>G150*0</f>
        <v>0</v>
      </c>
      <c r="AP150" s="30">
        <f>G150*(1-0)</f>
        <v>0</v>
      </c>
      <c r="AQ150" s="31" t="s">
        <v>80</v>
      </c>
      <c r="AV150" s="30">
        <f t="shared" si="168"/>
        <v>0</v>
      </c>
      <c r="AW150" s="30">
        <f t="shared" si="169"/>
        <v>0</v>
      </c>
      <c r="AX150" s="30">
        <f t="shared" si="170"/>
        <v>0</v>
      </c>
      <c r="AY150" s="31" t="s">
        <v>421</v>
      </c>
      <c r="AZ150" s="31" t="s">
        <v>422</v>
      </c>
      <c r="BA150" s="10" t="s">
        <v>60</v>
      </c>
      <c r="BC150" s="30">
        <f t="shared" si="171"/>
        <v>0</v>
      </c>
      <c r="BD150" s="30">
        <f t="shared" si="172"/>
        <v>0</v>
      </c>
      <c r="BE150" s="30">
        <v>0</v>
      </c>
      <c r="BF150" s="30">
        <f>150</f>
        <v>150</v>
      </c>
      <c r="BH150" s="30">
        <f t="shared" si="173"/>
        <v>0</v>
      </c>
      <c r="BI150" s="30">
        <f t="shared" si="174"/>
        <v>0</v>
      </c>
      <c r="BJ150" s="30">
        <f t="shared" si="175"/>
        <v>0</v>
      </c>
      <c r="BK150" s="30"/>
      <c r="BL150" s="30">
        <v>771</v>
      </c>
      <c r="BW150" s="30">
        <v>12</v>
      </c>
      <c r="BX150" s="4" t="s">
        <v>444</v>
      </c>
    </row>
    <row r="151" spans="1:76" x14ac:dyDescent="0.25">
      <c r="A151" s="32" t="s">
        <v>445</v>
      </c>
      <c r="B151" s="33" t="s">
        <v>446</v>
      </c>
      <c r="C151" s="139" t="s">
        <v>447</v>
      </c>
      <c r="D151" s="140"/>
      <c r="E151" s="33" t="s">
        <v>64</v>
      </c>
      <c r="F151" s="34">
        <v>42.745800000000003</v>
      </c>
      <c r="G151" s="35">
        <v>0</v>
      </c>
      <c r="H151" s="34">
        <f t="shared" si="154"/>
        <v>0</v>
      </c>
      <c r="I151" s="34">
        <f t="shared" si="155"/>
        <v>0</v>
      </c>
      <c r="J151" s="34">
        <f t="shared" si="156"/>
        <v>0</v>
      </c>
      <c r="K151" s="36" t="s">
        <v>57</v>
      </c>
      <c r="Z151" s="30">
        <f t="shared" si="157"/>
        <v>0</v>
      </c>
      <c r="AB151" s="30">
        <f t="shared" si="158"/>
        <v>0</v>
      </c>
      <c r="AC151" s="30">
        <f t="shared" si="159"/>
        <v>0</v>
      </c>
      <c r="AD151" s="30">
        <f t="shared" si="160"/>
        <v>0</v>
      </c>
      <c r="AE151" s="30">
        <f t="shared" si="161"/>
        <v>0</v>
      </c>
      <c r="AF151" s="30">
        <f t="shared" si="162"/>
        <v>0</v>
      </c>
      <c r="AG151" s="30">
        <f t="shared" si="163"/>
        <v>0</v>
      </c>
      <c r="AH151" s="30">
        <f t="shared" si="164"/>
        <v>0</v>
      </c>
      <c r="AI151" s="10" t="s">
        <v>50</v>
      </c>
      <c r="AJ151" s="30">
        <f t="shared" si="165"/>
        <v>0</v>
      </c>
      <c r="AK151" s="30">
        <f t="shared" si="166"/>
        <v>0</v>
      </c>
      <c r="AL151" s="30">
        <f t="shared" si="167"/>
        <v>0</v>
      </c>
      <c r="AN151" s="30">
        <v>12</v>
      </c>
      <c r="AO151" s="30">
        <f>G151*0</f>
        <v>0</v>
      </c>
      <c r="AP151" s="30">
        <f>G151*(1-0)</f>
        <v>0</v>
      </c>
      <c r="AQ151" s="31" t="s">
        <v>80</v>
      </c>
      <c r="AV151" s="30">
        <f t="shared" si="168"/>
        <v>0</v>
      </c>
      <c r="AW151" s="30">
        <f t="shared" si="169"/>
        <v>0</v>
      </c>
      <c r="AX151" s="30">
        <f t="shared" si="170"/>
        <v>0</v>
      </c>
      <c r="AY151" s="31" t="s">
        <v>421</v>
      </c>
      <c r="AZ151" s="31" t="s">
        <v>422</v>
      </c>
      <c r="BA151" s="10" t="s">
        <v>60</v>
      </c>
      <c r="BC151" s="30">
        <f t="shared" si="171"/>
        <v>0</v>
      </c>
      <c r="BD151" s="30">
        <f t="shared" si="172"/>
        <v>0</v>
      </c>
      <c r="BE151" s="30">
        <v>0</v>
      </c>
      <c r="BF151" s="30">
        <f>151</f>
        <v>151</v>
      </c>
      <c r="BH151" s="30">
        <f t="shared" si="173"/>
        <v>0</v>
      </c>
      <c r="BI151" s="30">
        <f t="shared" si="174"/>
        <v>0</v>
      </c>
      <c r="BJ151" s="30">
        <f t="shared" si="175"/>
        <v>0</v>
      </c>
      <c r="BK151" s="30"/>
      <c r="BL151" s="30">
        <v>771</v>
      </c>
      <c r="BW151" s="30">
        <v>12</v>
      </c>
      <c r="BX151" s="4" t="s">
        <v>447</v>
      </c>
    </row>
    <row r="152" spans="1:76" x14ac:dyDescent="0.25">
      <c r="A152" s="32" t="s">
        <v>448</v>
      </c>
      <c r="B152" s="33" t="s">
        <v>449</v>
      </c>
      <c r="C152" s="139" t="s">
        <v>450</v>
      </c>
      <c r="D152" s="140"/>
      <c r="E152" s="33" t="s">
        <v>97</v>
      </c>
      <c r="F152" s="34">
        <v>2.5647500000000001</v>
      </c>
      <c r="G152" s="35">
        <v>0</v>
      </c>
      <c r="H152" s="34">
        <f t="shared" si="154"/>
        <v>0</v>
      </c>
      <c r="I152" s="34">
        <f t="shared" si="155"/>
        <v>0</v>
      </c>
      <c r="J152" s="34">
        <f t="shared" si="156"/>
        <v>0</v>
      </c>
      <c r="K152" s="36" t="s">
        <v>57</v>
      </c>
      <c r="Z152" s="30">
        <f t="shared" si="157"/>
        <v>0</v>
      </c>
      <c r="AB152" s="30">
        <f t="shared" si="158"/>
        <v>0</v>
      </c>
      <c r="AC152" s="30">
        <f t="shared" si="159"/>
        <v>0</v>
      </c>
      <c r="AD152" s="30">
        <f t="shared" si="160"/>
        <v>0</v>
      </c>
      <c r="AE152" s="30">
        <f t="shared" si="161"/>
        <v>0</v>
      </c>
      <c r="AF152" s="30">
        <f t="shared" si="162"/>
        <v>0</v>
      </c>
      <c r="AG152" s="30">
        <f t="shared" si="163"/>
        <v>0</v>
      </c>
      <c r="AH152" s="30">
        <f t="shared" si="164"/>
        <v>0</v>
      </c>
      <c r="AI152" s="10" t="s">
        <v>50</v>
      </c>
      <c r="AJ152" s="30">
        <f t="shared" si="165"/>
        <v>0</v>
      </c>
      <c r="AK152" s="30">
        <f t="shared" si="166"/>
        <v>0</v>
      </c>
      <c r="AL152" s="30">
        <f t="shared" si="167"/>
        <v>0</v>
      </c>
      <c r="AN152" s="30">
        <v>12</v>
      </c>
      <c r="AO152" s="30">
        <f>G152*0.672582653</f>
        <v>0</v>
      </c>
      <c r="AP152" s="30">
        <f>G152*(1-0.672582653)</f>
        <v>0</v>
      </c>
      <c r="AQ152" s="31" t="s">
        <v>80</v>
      </c>
      <c r="AV152" s="30">
        <f t="shared" si="168"/>
        <v>0</v>
      </c>
      <c r="AW152" s="30">
        <f t="shared" si="169"/>
        <v>0</v>
      </c>
      <c r="AX152" s="30">
        <f t="shared" si="170"/>
        <v>0</v>
      </c>
      <c r="AY152" s="31" t="s">
        <v>421</v>
      </c>
      <c r="AZ152" s="31" t="s">
        <v>422</v>
      </c>
      <c r="BA152" s="10" t="s">
        <v>60</v>
      </c>
      <c r="BC152" s="30">
        <f t="shared" si="171"/>
        <v>0</v>
      </c>
      <c r="BD152" s="30">
        <f t="shared" si="172"/>
        <v>0</v>
      </c>
      <c r="BE152" s="30">
        <v>0</v>
      </c>
      <c r="BF152" s="30">
        <f>152</f>
        <v>152</v>
      </c>
      <c r="BH152" s="30">
        <f t="shared" si="173"/>
        <v>0</v>
      </c>
      <c r="BI152" s="30">
        <f t="shared" si="174"/>
        <v>0</v>
      </c>
      <c r="BJ152" s="30">
        <f t="shared" si="175"/>
        <v>0</v>
      </c>
      <c r="BK152" s="30"/>
      <c r="BL152" s="30">
        <v>771</v>
      </c>
      <c r="BW152" s="30">
        <v>12</v>
      </c>
      <c r="BX152" s="4" t="s">
        <v>450</v>
      </c>
    </row>
    <row r="153" spans="1:76" x14ac:dyDescent="0.25">
      <c r="A153" s="32" t="s">
        <v>451</v>
      </c>
      <c r="B153" s="33" t="s">
        <v>452</v>
      </c>
      <c r="C153" s="139" t="s">
        <v>453</v>
      </c>
      <c r="D153" s="140"/>
      <c r="E153" s="33" t="s">
        <v>64</v>
      </c>
      <c r="F153" s="34">
        <v>51.294960000000003</v>
      </c>
      <c r="G153" s="35">
        <v>0</v>
      </c>
      <c r="H153" s="34">
        <f t="shared" si="154"/>
        <v>0</v>
      </c>
      <c r="I153" s="34">
        <f t="shared" si="155"/>
        <v>0</v>
      </c>
      <c r="J153" s="34">
        <f t="shared" si="156"/>
        <v>0</v>
      </c>
      <c r="K153" s="36" t="s">
        <v>57</v>
      </c>
      <c r="Z153" s="30">
        <f t="shared" si="157"/>
        <v>0</v>
      </c>
      <c r="AB153" s="30">
        <f t="shared" si="158"/>
        <v>0</v>
      </c>
      <c r="AC153" s="30">
        <f t="shared" si="159"/>
        <v>0</v>
      </c>
      <c r="AD153" s="30">
        <f t="shared" si="160"/>
        <v>0</v>
      </c>
      <c r="AE153" s="30">
        <f t="shared" si="161"/>
        <v>0</v>
      </c>
      <c r="AF153" s="30">
        <f t="shared" si="162"/>
        <v>0</v>
      </c>
      <c r="AG153" s="30">
        <f t="shared" si="163"/>
        <v>0</v>
      </c>
      <c r="AH153" s="30">
        <f t="shared" si="164"/>
        <v>0</v>
      </c>
      <c r="AI153" s="10" t="s">
        <v>50</v>
      </c>
      <c r="AJ153" s="30">
        <f t="shared" si="165"/>
        <v>0</v>
      </c>
      <c r="AK153" s="30">
        <f t="shared" si="166"/>
        <v>0</v>
      </c>
      <c r="AL153" s="30">
        <f t="shared" si="167"/>
        <v>0</v>
      </c>
      <c r="AN153" s="30">
        <v>12</v>
      </c>
      <c r="AO153" s="30">
        <f>G153*0.545786485</f>
        <v>0</v>
      </c>
      <c r="AP153" s="30">
        <f>G153*(1-0.545786485)</f>
        <v>0</v>
      </c>
      <c r="AQ153" s="31" t="s">
        <v>80</v>
      </c>
      <c r="AV153" s="30">
        <f t="shared" si="168"/>
        <v>0</v>
      </c>
      <c r="AW153" s="30">
        <f t="shared" si="169"/>
        <v>0</v>
      </c>
      <c r="AX153" s="30">
        <f t="shared" si="170"/>
        <v>0</v>
      </c>
      <c r="AY153" s="31" t="s">
        <v>421</v>
      </c>
      <c r="AZ153" s="31" t="s">
        <v>422</v>
      </c>
      <c r="BA153" s="10" t="s">
        <v>60</v>
      </c>
      <c r="BC153" s="30">
        <f t="shared" si="171"/>
        <v>0</v>
      </c>
      <c r="BD153" s="30">
        <f t="shared" si="172"/>
        <v>0</v>
      </c>
      <c r="BE153" s="30">
        <v>0</v>
      </c>
      <c r="BF153" s="30">
        <f>153</f>
        <v>153</v>
      </c>
      <c r="BH153" s="30">
        <f t="shared" si="173"/>
        <v>0</v>
      </c>
      <c r="BI153" s="30">
        <f t="shared" si="174"/>
        <v>0</v>
      </c>
      <c r="BJ153" s="30">
        <f t="shared" si="175"/>
        <v>0</v>
      </c>
      <c r="BK153" s="30"/>
      <c r="BL153" s="30">
        <v>771</v>
      </c>
      <c r="BW153" s="30">
        <v>12</v>
      </c>
      <c r="BX153" s="4" t="s">
        <v>453</v>
      </c>
    </row>
    <row r="154" spans="1:76" ht="13.5" customHeight="1" x14ac:dyDescent="0.25">
      <c r="A154" s="37"/>
      <c r="B154" s="38" t="s">
        <v>68</v>
      </c>
      <c r="C154" s="141" t="s">
        <v>454</v>
      </c>
      <c r="D154" s="142"/>
      <c r="E154" s="142"/>
      <c r="F154" s="142"/>
      <c r="G154" s="143"/>
      <c r="H154" s="142"/>
      <c r="I154" s="142"/>
      <c r="J154" s="142"/>
      <c r="K154" s="144"/>
    </row>
    <row r="155" spans="1:76" x14ac:dyDescent="0.25">
      <c r="A155" s="25" t="s">
        <v>455</v>
      </c>
      <c r="B155" s="26" t="s">
        <v>456</v>
      </c>
      <c r="C155" s="137" t="s">
        <v>457</v>
      </c>
      <c r="D155" s="138"/>
      <c r="E155" s="26" t="s">
        <v>64</v>
      </c>
      <c r="F155" s="27">
        <v>42.745800000000003</v>
      </c>
      <c r="G155" s="28">
        <v>0</v>
      </c>
      <c r="H155" s="27">
        <f>F155*AO155</f>
        <v>0</v>
      </c>
      <c r="I155" s="27">
        <f>F155*AP155</f>
        <v>0</v>
      </c>
      <c r="J155" s="27">
        <f>F155*G155</f>
        <v>0</v>
      </c>
      <c r="K155" s="29" t="s">
        <v>57</v>
      </c>
      <c r="Z155" s="30">
        <f>IF(AQ155="5",BJ155,0)</f>
        <v>0</v>
      </c>
      <c r="AB155" s="30">
        <f>IF(AQ155="1",BH155,0)</f>
        <v>0</v>
      </c>
      <c r="AC155" s="30">
        <f>IF(AQ155="1",BI155,0)</f>
        <v>0</v>
      </c>
      <c r="AD155" s="30">
        <f>IF(AQ155="7",BH155,0)</f>
        <v>0</v>
      </c>
      <c r="AE155" s="30">
        <f>IF(AQ155="7",BI155,0)</f>
        <v>0</v>
      </c>
      <c r="AF155" s="30">
        <f>IF(AQ155="2",BH155,0)</f>
        <v>0</v>
      </c>
      <c r="AG155" s="30">
        <f>IF(AQ155="2",BI155,0)</f>
        <v>0</v>
      </c>
      <c r="AH155" s="30">
        <f>IF(AQ155="0",BJ155,0)</f>
        <v>0</v>
      </c>
      <c r="AI155" s="10" t="s">
        <v>50</v>
      </c>
      <c r="AJ155" s="30">
        <f>IF(AN155=0,J155,0)</f>
        <v>0</v>
      </c>
      <c r="AK155" s="30">
        <f>IF(AN155=12,J155,0)</f>
        <v>0</v>
      </c>
      <c r="AL155" s="30">
        <f>IF(AN155=21,J155,0)</f>
        <v>0</v>
      </c>
      <c r="AN155" s="30">
        <v>12</v>
      </c>
      <c r="AO155" s="30">
        <f>G155*0.564520077</f>
        <v>0</v>
      </c>
      <c r="AP155" s="30">
        <f>G155*(1-0.564520077)</f>
        <v>0</v>
      </c>
      <c r="AQ155" s="31" t="s">
        <v>80</v>
      </c>
      <c r="AV155" s="30">
        <f>AW155+AX155</f>
        <v>0</v>
      </c>
      <c r="AW155" s="30">
        <f>F155*AO155</f>
        <v>0</v>
      </c>
      <c r="AX155" s="30">
        <f>F155*AP155</f>
        <v>0</v>
      </c>
      <c r="AY155" s="31" t="s">
        <v>421</v>
      </c>
      <c r="AZ155" s="31" t="s">
        <v>422</v>
      </c>
      <c r="BA155" s="10" t="s">
        <v>60</v>
      </c>
      <c r="BC155" s="30">
        <f>AW155+AX155</f>
        <v>0</v>
      </c>
      <c r="BD155" s="30">
        <f>G155/(100-BE155)*100</f>
        <v>0</v>
      </c>
      <c r="BE155" s="30">
        <v>0</v>
      </c>
      <c r="BF155" s="30">
        <f>155</f>
        <v>155</v>
      </c>
      <c r="BH155" s="30">
        <f>F155*AO155</f>
        <v>0</v>
      </c>
      <c r="BI155" s="30">
        <f>F155*AP155</f>
        <v>0</v>
      </c>
      <c r="BJ155" s="30">
        <f>F155*G155</f>
        <v>0</v>
      </c>
      <c r="BK155" s="30"/>
      <c r="BL155" s="30">
        <v>771</v>
      </c>
      <c r="BW155" s="30">
        <v>12</v>
      </c>
      <c r="BX155" s="4" t="s">
        <v>457</v>
      </c>
    </row>
    <row r="156" spans="1:76" ht="13.5" customHeight="1" x14ac:dyDescent="0.25">
      <c r="A156" s="37"/>
      <c r="B156" s="38" t="s">
        <v>68</v>
      </c>
      <c r="C156" s="141" t="s">
        <v>458</v>
      </c>
      <c r="D156" s="142"/>
      <c r="E156" s="142"/>
      <c r="F156" s="142"/>
      <c r="G156" s="143"/>
      <c r="H156" s="142"/>
      <c r="I156" s="142"/>
      <c r="J156" s="142"/>
      <c r="K156" s="144"/>
    </row>
    <row r="157" spans="1:76" x14ac:dyDescent="0.25">
      <c r="A157" s="25" t="s">
        <v>459</v>
      </c>
      <c r="B157" s="26" t="s">
        <v>460</v>
      </c>
      <c r="C157" s="137" t="s">
        <v>461</v>
      </c>
      <c r="D157" s="138"/>
      <c r="E157" s="26" t="s">
        <v>76</v>
      </c>
      <c r="F157" s="27">
        <v>12.23</v>
      </c>
      <c r="G157" s="28">
        <v>0</v>
      </c>
      <c r="H157" s="27">
        <f>F157*AO157</f>
        <v>0</v>
      </c>
      <c r="I157" s="27">
        <f>F157*AP157</f>
        <v>0</v>
      </c>
      <c r="J157" s="27">
        <f>F157*G157</f>
        <v>0</v>
      </c>
      <c r="K157" s="29" t="s">
        <v>57</v>
      </c>
      <c r="Z157" s="30">
        <f>IF(AQ157="5",BJ157,0)</f>
        <v>0</v>
      </c>
      <c r="AB157" s="30">
        <f>IF(AQ157="1",BH157,0)</f>
        <v>0</v>
      </c>
      <c r="AC157" s="30">
        <f>IF(AQ157="1",BI157,0)</f>
        <v>0</v>
      </c>
      <c r="AD157" s="30">
        <f>IF(AQ157="7",BH157,0)</f>
        <v>0</v>
      </c>
      <c r="AE157" s="30">
        <f>IF(AQ157="7",BI157,0)</f>
        <v>0</v>
      </c>
      <c r="AF157" s="30">
        <f>IF(AQ157="2",BH157,0)</f>
        <v>0</v>
      </c>
      <c r="AG157" s="30">
        <f>IF(AQ157="2",BI157,0)</f>
        <v>0</v>
      </c>
      <c r="AH157" s="30">
        <f>IF(AQ157="0",BJ157,0)</f>
        <v>0</v>
      </c>
      <c r="AI157" s="10" t="s">
        <v>50</v>
      </c>
      <c r="AJ157" s="30">
        <f>IF(AN157=0,J157,0)</f>
        <v>0</v>
      </c>
      <c r="AK157" s="30">
        <f>IF(AN157=12,J157,0)</f>
        <v>0</v>
      </c>
      <c r="AL157" s="30">
        <f>IF(AN157=21,J157,0)</f>
        <v>0</v>
      </c>
      <c r="AN157" s="30">
        <v>12</v>
      </c>
      <c r="AO157" s="30">
        <f>G157*0.067058712</f>
        <v>0</v>
      </c>
      <c r="AP157" s="30">
        <f>G157*(1-0.067058712)</f>
        <v>0</v>
      </c>
      <c r="AQ157" s="31" t="s">
        <v>80</v>
      </c>
      <c r="AV157" s="30">
        <f>AW157+AX157</f>
        <v>0</v>
      </c>
      <c r="AW157" s="30">
        <f>F157*AO157</f>
        <v>0</v>
      </c>
      <c r="AX157" s="30">
        <f>F157*AP157</f>
        <v>0</v>
      </c>
      <c r="AY157" s="31" t="s">
        <v>421</v>
      </c>
      <c r="AZ157" s="31" t="s">
        <v>422</v>
      </c>
      <c r="BA157" s="10" t="s">
        <v>60</v>
      </c>
      <c r="BC157" s="30">
        <f>AW157+AX157</f>
        <v>0</v>
      </c>
      <c r="BD157" s="30">
        <f>G157/(100-BE157)*100</f>
        <v>0</v>
      </c>
      <c r="BE157" s="30">
        <v>0</v>
      </c>
      <c r="BF157" s="30">
        <f>157</f>
        <v>157</v>
      </c>
      <c r="BH157" s="30">
        <f>F157*AO157</f>
        <v>0</v>
      </c>
      <c r="BI157" s="30">
        <f>F157*AP157</f>
        <v>0</v>
      </c>
      <c r="BJ157" s="30">
        <f>F157*G157</f>
        <v>0</v>
      </c>
      <c r="BK157" s="30"/>
      <c r="BL157" s="30">
        <v>771</v>
      </c>
      <c r="BW157" s="30">
        <v>12</v>
      </c>
      <c r="BX157" s="4" t="s">
        <v>461</v>
      </c>
    </row>
    <row r="158" spans="1:76" ht="13.5" customHeight="1" x14ac:dyDescent="0.25">
      <c r="A158" s="37"/>
      <c r="B158" s="38" t="s">
        <v>68</v>
      </c>
      <c r="C158" s="141" t="s">
        <v>462</v>
      </c>
      <c r="D158" s="142"/>
      <c r="E158" s="142"/>
      <c r="F158" s="142"/>
      <c r="G158" s="143"/>
      <c r="H158" s="142"/>
      <c r="I158" s="142"/>
      <c r="J158" s="142"/>
      <c r="K158" s="144"/>
    </row>
    <row r="159" spans="1:76" x14ac:dyDescent="0.25">
      <c r="A159" s="25" t="s">
        <v>463</v>
      </c>
      <c r="B159" s="26" t="s">
        <v>464</v>
      </c>
      <c r="C159" s="137" t="s">
        <v>465</v>
      </c>
      <c r="D159" s="138"/>
      <c r="E159" s="26" t="s">
        <v>76</v>
      </c>
      <c r="F159" s="27">
        <v>17.88</v>
      </c>
      <c r="G159" s="28">
        <v>0</v>
      </c>
      <c r="H159" s="27">
        <f>F159*AO159</f>
        <v>0</v>
      </c>
      <c r="I159" s="27">
        <f>F159*AP159</f>
        <v>0</v>
      </c>
      <c r="J159" s="27">
        <f>F159*G159</f>
        <v>0</v>
      </c>
      <c r="K159" s="29" t="s">
        <v>57</v>
      </c>
      <c r="Z159" s="30">
        <f>IF(AQ159="5",BJ159,0)</f>
        <v>0</v>
      </c>
      <c r="AB159" s="30">
        <f>IF(AQ159="1",BH159,0)</f>
        <v>0</v>
      </c>
      <c r="AC159" s="30">
        <f>IF(AQ159="1",BI159,0)</f>
        <v>0</v>
      </c>
      <c r="AD159" s="30">
        <f>IF(AQ159="7",BH159,0)</f>
        <v>0</v>
      </c>
      <c r="AE159" s="30">
        <f>IF(AQ159="7",BI159,0)</f>
        <v>0</v>
      </c>
      <c r="AF159" s="30">
        <f>IF(AQ159="2",BH159,0)</f>
        <v>0</v>
      </c>
      <c r="AG159" s="30">
        <f>IF(AQ159="2",BI159,0)</f>
        <v>0</v>
      </c>
      <c r="AH159" s="30">
        <f>IF(AQ159="0",BJ159,0)</f>
        <v>0</v>
      </c>
      <c r="AI159" s="10" t="s">
        <v>50</v>
      </c>
      <c r="AJ159" s="30">
        <f>IF(AN159=0,J159,0)</f>
        <v>0</v>
      </c>
      <c r="AK159" s="30">
        <f>IF(AN159=12,J159,0)</f>
        <v>0</v>
      </c>
      <c r="AL159" s="30">
        <f>IF(AN159=21,J159,0)</f>
        <v>0</v>
      </c>
      <c r="AN159" s="30">
        <v>12</v>
      </c>
      <c r="AO159" s="30">
        <f>G159*0.105848253</f>
        <v>0</v>
      </c>
      <c r="AP159" s="30">
        <f>G159*(1-0.105848253)</f>
        <v>0</v>
      </c>
      <c r="AQ159" s="31" t="s">
        <v>80</v>
      </c>
      <c r="AV159" s="30">
        <f>AW159+AX159</f>
        <v>0</v>
      </c>
      <c r="AW159" s="30">
        <f>F159*AO159</f>
        <v>0</v>
      </c>
      <c r="AX159" s="30">
        <f>F159*AP159</f>
        <v>0</v>
      </c>
      <c r="AY159" s="31" t="s">
        <v>421</v>
      </c>
      <c r="AZ159" s="31" t="s">
        <v>422</v>
      </c>
      <c r="BA159" s="10" t="s">
        <v>60</v>
      </c>
      <c r="BC159" s="30">
        <f>AW159+AX159</f>
        <v>0</v>
      </c>
      <c r="BD159" s="30">
        <f>G159/(100-BE159)*100</f>
        <v>0</v>
      </c>
      <c r="BE159" s="30">
        <v>0</v>
      </c>
      <c r="BF159" s="30">
        <f>159</f>
        <v>159</v>
      </c>
      <c r="BH159" s="30">
        <f>F159*AO159</f>
        <v>0</v>
      </c>
      <c r="BI159" s="30">
        <f>F159*AP159</f>
        <v>0</v>
      </c>
      <c r="BJ159" s="30">
        <f>F159*G159</f>
        <v>0</v>
      </c>
      <c r="BK159" s="30"/>
      <c r="BL159" s="30">
        <v>771</v>
      </c>
      <c r="BW159" s="30">
        <v>12</v>
      </c>
      <c r="BX159" s="4" t="s">
        <v>465</v>
      </c>
    </row>
    <row r="160" spans="1:76" x14ac:dyDescent="0.25">
      <c r="A160" s="32" t="s">
        <v>466</v>
      </c>
      <c r="B160" s="33" t="s">
        <v>467</v>
      </c>
      <c r="C160" s="139" t="s">
        <v>468</v>
      </c>
      <c r="D160" s="140"/>
      <c r="E160" s="33" t="s">
        <v>64</v>
      </c>
      <c r="F160" s="34">
        <v>50.4758</v>
      </c>
      <c r="G160" s="35">
        <v>0</v>
      </c>
      <c r="H160" s="34">
        <f>F160*AO160</f>
        <v>0</v>
      </c>
      <c r="I160" s="34">
        <f>F160*AP160</f>
        <v>0</v>
      </c>
      <c r="J160" s="34">
        <f>F160*G160</f>
        <v>0</v>
      </c>
      <c r="K160" s="36" t="s">
        <v>57</v>
      </c>
      <c r="Z160" s="30">
        <f>IF(AQ160="5",BJ160,0)</f>
        <v>0</v>
      </c>
      <c r="AB160" s="30">
        <f>IF(AQ160="1",BH160,0)</f>
        <v>0</v>
      </c>
      <c r="AC160" s="30">
        <f>IF(AQ160="1",BI160,0)</f>
        <v>0</v>
      </c>
      <c r="AD160" s="30">
        <f>IF(AQ160="7",BH160,0)</f>
        <v>0</v>
      </c>
      <c r="AE160" s="30">
        <f>IF(AQ160="7",BI160,0)</f>
        <v>0</v>
      </c>
      <c r="AF160" s="30">
        <f>IF(AQ160="2",BH160,0)</f>
        <v>0</v>
      </c>
      <c r="AG160" s="30">
        <f>IF(AQ160="2",BI160,0)</f>
        <v>0</v>
      </c>
      <c r="AH160" s="30">
        <f>IF(AQ160="0",BJ160,0)</f>
        <v>0</v>
      </c>
      <c r="AI160" s="10" t="s">
        <v>50</v>
      </c>
      <c r="AJ160" s="30">
        <f>IF(AN160=0,J160,0)</f>
        <v>0</v>
      </c>
      <c r="AK160" s="30">
        <f>IF(AN160=12,J160,0)</f>
        <v>0</v>
      </c>
      <c r="AL160" s="30">
        <f>IF(AN160=21,J160,0)</f>
        <v>0</v>
      </c>
      <c r="AN160" s="30">
        <v>12</v>
      </c>
      <c r="AO160" s="30">
        <f>G160*0.472427076</f>
        <v>0</v>
      </c>
      <c r="AP160" s="30">
        <f>G160*(1-0.472427076)</f>
        <v>0</v>
      </c>
      <c r="AQ160" s="31" t="s">
        <v>80</v>
      </c>
      <c r="AV160" s="30">
        <f>AW160+AX160</f>
        <v>0</v>
      </c>
      <c r="AW160" s="30">
        <f>F160*AO160</f>
        <v>0</v>
      </c>
      <c r="AX160" s="30">
        <f>F160*AP160</f>
        <v>0</v>
      </c>
      <c r="AY160" s="31" t="s">
        <v>421</v>
      </c>
      <c r="AZ160" s="31" t="s">
        <v>422</v>
      </c>
      <c r="BA160" s="10" t="s">
        <v>60</v>
      </c>
      <c r="BC160" s="30">
        <f>AW160+AX160</f>
        <v>0</v>
      </c>
      <c r="BD160" s="30">
        <f>G160/(100-BE160)*100</f>
        <v>0</v>
      </c>
      <c r="BE160" s="30">
        <v>0</v>
      </c>
      <c r="BF160" s="30">
        <f>160</f>
        <v>160</v>
      </c>
      <c r="BH160" s="30">
        <f>F160*AO160</f>
        <v>0</v>
      </c>
      <c r="BI160" s="30">
        <f>F160*AP160</f>
        <v>0</v>
      </c>
      <c r="BJ160" s="30">
        <f>F160*G160</f>
        <v>0</v>
      </c>
      <c r="BK160" s="30"/>
      <c r="BL160" s="30">
        <v>771</v>
      </c>
      <c r="BW160" s="30">
        <v>12</v>
      </c>
      <c r="BX160" s="4" t="s">
        <v>468</v>
      </c>
    </row>
    <row r="161" spans="1:76" x14ac:dyDescent="0.25">
      <c r="A161" s="32" t="s">
        <v>469</v>
      </c>
      <c r="B161" s="33" t="s">
        <v>470</v>
      </c>
      <c r="C161" s="139" t="s">
        <v>471</v>
      </c>
      <c r="D161" s="140"/>
      <c r="E161" s="33" t="s">
        <v>64</v>
      </c>
      <c r="F161" s="34">
        <v>7.73</v>
      </c>
      <c r="G161" s="35">
        <v>0</v>
      </c>
      <c r="H161" s="34">
        <f>F161*AO161</f>
        <v>0</v>
      </c>
      <c r="I161" s="34">
        <f>F161*AP161</f>
        <v>0</v>
      </c>
      <c r="J161" s="34">
        <f>F161*G161</f>
        <v>0</v>
      </c>
      <c r="K161" s="36" t="s">
        <v>57</v>
      </c>
      <c r="Z161" s="30">
        <f>IF(AQ161="5",BJ161,0)</f>
        <v>0</v>
      </c>
      <c r="AB161" s="30">
        <f>IF(AQ161="1",BH161,0)</f>
        <v>0</v>
      </c>
      <c r="AC161" s="30">
        <f>IF(AQ161="1",BI161,0)</f>
        <v>0</v>
      </c>
      <c r="AD161" s="30">
        <f>IF(AQ161="7",BH161,0)</f>
        <v>0</v>
      </c>
      <c r="AE161" s="30">
        <f>IF(AQ161="7",BI161,0)</f>
        <v>0</v>
      </c>
      <c r="AF161" s="30">
        <f>IF(AQ161="2",BH161,0)</f>
        <v>0</v>
      </c>
      <c r="AG161" s="30">
        <f>IF(AQ161="2",BI161,0)</f>
        <v>0</v>
      </c>
      <c r="AH161" s="30">
        <f>IF(AQ161="0",BJ161,0)</f>
        <v>0</v>
      </c>
      <c r="AI161" s="10" t="s">
        <v>50</v>
      </c>
      <c r="AJ161" s="30">
        <f>IF(AN161=0,J161,0)</f>
        <v>0</v>
      </c>
      <c r="AK161" s="30">
        <f>IF(AN161=12,J161,0)</f>
        <v>0</v>
      </c>
      <c r="AL161" s="30">
        <f>IF(AN161=21,J161,0)</f>
        <v>0</v>
      </c>
      <c r="AN161" s="30">
        <v>12</v>
      </c>
      <c r="AO161" s="30">
        <f>G161*0.208663543</f>
        <v>0</v>
      </c>
      <c r="AP161" s="30">
        <f>G161*(1-0.208663543)</f>
        <v>0</v>
      </c>
      <c r="AQ161" s="31" t="s">
        <v>80</v>
      </c>
      <c r="AV161" s="30">
        <f>AW161+AX161</f>
        <v>0</v>
      </c>
      <c r="AW161" s="30">
        <f>F161*AO161</f>
        <v>0</v>
      </c>
      <c r="AX161" s="30">
        <f>F161*AP161</f>
        <v>0</v>
      </c>
      <c r="AY161" s="31" t="s">
        <v>421</v>
      </c>
      <c r="AZ161" s="31" t="s">
        <v>422</v>
      </c>
      <c r="BA161" s="10" t="s">
        <v>60</v>
      </c>
      <c r="BC161" s="30">
        <f>AW161+AX161</f>
        <v>0</v>
      </c>
      <c r="BD161" s="30">
        <f>G161/(100-BE161)*100</f>
        <v>0</v>
      </c>
      <c r="BE161" s="30">
        <v>0</v>
      </c>
      <c r="BF161" s="30">
        <f>161</f>
        <v>161</v>
      </c>
      <c r="BH161" s="30">
        <f>F161*AO161</f>
        <v>0</v>
      </c>
      <c r="BI161" s="30">
        <f>F161*AP161</f>
        <v>0</v>
      </c>
      <c r="BJ161" s="30">
        <f>F161*G161</f>
        <v>0</v>
      </c>
      <c r="BK161" s="30"/>
      <c r="BL161" s="30">
        <v>771</v>
      </c>
      <c r="BW161" s="30">
        <v>12</v>
      </c>
      <c r="BX161" s="4" t="s">
        <v>471</v>
      </c>
    </row>
    <row r="162" spans="1:76" ht="13.5" customHeight="1" x14ac:dyDescent="0.25">
      <c r="A162" s="37"/>
      <c r="B162" s="38" t="s">
        <v>68</v>
      </c>
      <c r="C162" s="141" t="s">
        <v>472</v>
      </c>
      <c r="D162" s="142"/>
      <c r="E162" s="142"/>
      <c r="F162" s="142"/>
      <c r="G162" s="143"/>
      <c r="H162" s="142"/>
      <c r="I162" s="142"/>
      <c r="J162" s="142"/>
      <c r="K162" s="144"/>
    </row>
    <row r="163" spans="1:76" x14ac:dyDescent="0.25">
      <c r="A163" s="25" t="s">
        <v>473</v>
      </c>
      <c r="B163" s="26" t="s">
        <v>474</v>
      </c>
      <c r="C163" s="137" t="s">
        <v>475</v>
      </c>
      <c r="D163" s="138"/>
      <c r="E163" s="26" t="s">
        <v>97</v>
      </c>
      <c r="F163" s="27">
        <v>0.46379999999999999</v>
      </c>
      <c r="G163" s="28">
        <v>0</v>
      </c>
      <c r="H163" s="27">
        <f>F163*AO163</f>
        <v>0</v>
      </c>
      <c r="I163" s="27">
        <f>F163*AP163</f>
        <v>0</v>
      </c>
      <c r="J163" s="27">
        <f>F163*G163</f>
        <v>0</v>
      </c>
      <c r="K163" s="29" t="s">
        <v>57</v>
      </c>
      <c r="Z163" s="30">
        <f>IF(AQ163="5",BJ163,0)</f>
        <v>0</v>
      </c>
      <c r="AB163" s="30">
        <f>IF(AQ163="1",BH163,0)</f>
        <v>0</v>
      </c>
      <c r="AC163" s="30">
        <f>IF(AQ163="1",BI163,0)</f>
        <v>0</v>
      </c>
      <c r="AD163" s="30">
        <f>IF(AQ163="7",BH163,0)</f>
        <v>0</v>
      </c>
      <c r="AE163" s="30">
        <f>IF(AQ163="7",BI163,0)</f>
        <v>0</v>
      </c>
      <c r="AF163" s="30">
        <f>IF(AQ163="2",BH163,0)</f>
        <v>0</v>
      </c>
      <c r="AG163" s="30">
        <f>IF(AQ163="2",BI163,0)</f>
        <v>0</v>
      </c>
      <c r="AH163" s="30">
        <f>IF(AQ163="0",BJ163,0)</f>
        <v>0</v>
      </c>
      <c r="AI163" s="10" t="s">
        <v>50</v>
      </c>
      <c r="AJ163" s="30">
        <f>IF(AN163=0,J163,0)</f>
        <v>0</v>
      </c>
      <c r="AK163" s="30">
        <f>IF(AN163=12,J163,0)</f>
        <v>0</v>
      </c>
      <c r="AL163" s="30">
        <f>IF(AN163=21,J163,0)</f>
        <v>0</v>
      </c>
      <c r="AN163" s="30">
        <v>12</v>
      </c>
      <c r="AO163" s="30">
        <f>G163*0.911142708</f>
        <v>0</v>
      </c>
      <c r="AP163" s="30">
        <f>G163*(1-0.911142708)</f>
        <v>0</v>
      </c>
      <c r="AQ163" s="31" t="s">
        <v>80</v>
      </c>
      <c r="AV163" s="30">
        <f>AW163+AX163</f>
        <v>0</v>
      </c>
      <c r="AW163" s="30">
        <f>F163*AO163</f>
        <v>0</v>
      </c>
      <c r="AX163" s="30">
        <f>F163*AP163</f>
        <v>0</v>
      </c>
      <c r="AY163" s="31" t="s">
        <v>421</v>
      </c>
      <c r="AZ163" s="31" t="s">
        <v>422</v>
      </c>
      <c r="BA163" s="10" t="s">
        <v>60</v>
      </c>
      <c r="BC163" s="30">
        <f>AW163+AX163</f>
        <v>0</v>
      </c>
      <c r="BD163" s="30">
        <f>G163/(100-BE163)*100</f>
        <v>0</v>
      </c>
      <c r="BE163" s="30">
        <v>0</v>
      </c>
      <c r="BF163" s="30">
        <f>163</f>
        <v>163</v>
      </c>
      <c r="BH163" s="30">
        <f>F163*AO163</f>
        <v>0</v>
      </c>
      <c r="BI163" s="30">
        <f>F163*AP163</f>
        <v>0</v>
      </c>
      <c r="BJ163" s="30">
        <f>F163*G163</f>
        <v>0</v>
      </c>
      <c r="BK163" s="30"/>
      <c r="BL163" s="30">
        <v>771</v>
      </c>
      <c r="BW163" s="30">
        <v>12</v>
      </c>
      <c r="BX163" s="4" t="s">
        <v>475</v>
      </c>
    </row>
    <row r="164" spans="1:76" x14ac:dyDescent="0.25">
      <c r="A164" s="32" t="s">
        <v>476</v>
      </c>
      <c r="B164" s="33" t="s">
        <v>477</v>
      </c>
      <c r="C164" s="139" t="s">
        <v>478</v>
      </c>
      <c r="D164" s="140"/>
      <c r="E164" s="33" t="s">
        <v>64</v>
      </c>
      <c r="F164" s="34">
        <v>7.73</v>
      </c>
      <c r="G164" s="35">
        <v>0</v>
      </c>
      <c r="H164" s="34">
        <f>F164*AO164</f>
        <v>0</v>
      </c>
      <c r="I164" s="34">
        <f>F164*AP164</f>
        <v>0</v>
      </c>
      <c r="J164" s="34">
        <f>F164*G164</f>
        <v>0</v>
      </c>
      <c r="K164" s="36" t="s">
        <v>57</v>
      </c>
      <c r="Z164" s="30">
        <f>IF(AQ164="5",BJ164,0)</f>
        <v>0</v>
      </c>
      <c r="AB164" s="30">
        <f>IF(AQ164="1",BH164,0)</f>
        <v>0</v>
      </c>
      <c r="AC164" s="30">
        <f>IF(AQ164="1",BI164,0)</f>
        <v>0</v>
      </c>
      <c r="AD164" s="30">
        <f>IF(AQ164="7",BH164,0)</f>
        <v>0</v>
      </c>
      <c r="AE164" s="30">
        <f>IF(AQ164="7",BI164,0)</f>
        <v>0</v>
      </c>
      <c r="AF164" s="30">
        <f>IF(AQ164="2",BH164,0)</f>
        <v>0</v>
      </c>
      <c r="AG164" s="30">
        <f>IF(AQ164="2",BI164,0)</f>
        <v>0</v>
      </c>
      <c r="AH164" s="30">
        <f>IF(AQ164="0",BJ164,0)</f>
        <v>0</v>
      </c>
      <c r="AI164" s="10" t="s">
        <v>50</v>
      </c>
      <c r="AJ164" s="30">
        <f>IF(AN164=0,J164,0)</f>
        <v>0</v>
      </c>
      <c r="AK164" s="30">
        <f>IF(AN164=12,J164,0)</f>
        <v>0</v>
      </c>
      <c r="AL164" s="30">
        <f>IF(AN164=21,J164,0)</f>
        <v>0</v>
      </c>
      <c r="AN164" s="30">
        <v>12</v>
      </c>
      <c r="AO164" s="30">
        <f>G164*0.512641509</f>
        <v>0</v>
      </c>
      <c r="AP164" s="30">
        <f>G164*(1-0.512641509)</f>
        <v>0</v>
      </c>
      <c r="AQ164" s="31" t="s">
        <v>80</v>
      </c>
      <c r="AV164" s="30">
        <f>AW164+AX164</f>
        <v>0</v>
      </c>
      <c r="AW164" s="30">
        <f>F164*AO164</f>
        <v>0</v>
      </c>
      <c r="AX164" s="30">
        <f>F164*AP164</f>
        <v>0</v>
      </c>
      <c r="AY164" s="31" t="s">
        <v>421</v>
      </c>
      <c r="AZ164" s="31" t="s">
        <v>422</v>
      </c>
      <c r="BA164" s="10" t="s">
        <v>60</v>
      </c>
      <c r="BC164" s="30">
        <f>AW164+AX164</f>
        <v>0</v>
      </c>
      <c r="BD164" s="30">
        <f>G164/(100-BE164)*100</f>
        <v>0</v>
      </c>
      <c r="BE164" s="30">
        <v>0</v>
      </c>
      <c r="BF164" s="30">
        <f>164</f>
        <v>164</v>
      </c>
      <c r="BH164" s="30">
        <f>F164*AO164</f>
        <v>0</v>
      </c>
      <c r="BI164" s="30">
        <f>F164*AP164</f>
        <v>0</v>
      </c>
      <c r="BJ164" s="30">
        <f>F164*G164</f>
        <v>0</v>
      </c>
      <c r="BK164" s="30"/>
      <c r="BL164" s="30">
        <v>771</v>
      </c>
      <c r="BW164" s="30">
        <v>12</v>
      </c>
      <c r="BX164" s="4" t="s">
        <v>478</v>
      </c>
    </row>
    <row r="165" spans="1:76" x14ac:dyDescent="0.25">
      <c r="A165" s="32" t="s">
        <v>479</v>
      </c>
      <c r="B165" s="33" t="s">
        <v>480</v>
      </c>
      <c r="C165" s="139" t="s">
        <v>481</v>
      </c>
      <c r="D165" s="140"/>
      <c r="E165" s="33" t="s">
        <v>64</v>
      </c>
      <c r="F165" s="34">
        <v>8.5030000000000001</v>
      </c>
      <c r="G165" s="35">
        <v>0</v>
      </c>
      <c r="H165" s="34">
        <f>F165*AO165</f>
        <v>0</v>
      </c>
      <c r="I165" s="34">
        <f>F165*AP165</f>
        <v>0</v>
      </c>
      <c r="J165" s="34">
        <f>F165*G165</f>
        <v>0</v>
      </c>
      <c r="K165" s="36" t="s">
        <v>57</v>
      </c>
      <c r="Z165" s="30">
        <f>IF(AQ165="5",BJ165,0)</f>
        <v>0</v>
      </c>
      <c r="AB165" s="30">
        <f>IF(AQ165="1",BH165,0)</f>
        <v>0</v>
      </c>
      <c r="AC165" s="30">
        <f>IF(AQ165="1",BI165,0)</f>
        <v>0</v>
      </c>
      <c r="AD165" s="30">
        <f>IF(AQ165="7",BH165,0)</f>
        <v>0</v>
      </c>
      <c r="AE165" s="30">
        <f>IF(AQ165="7",BI165,0)</f>
        <v>0</v>
      </c>
      <c r="AF165" s="30">
        <f>IF(AQ165="2",BH165,0)</f>
        <v>0</v>
      </c>
      <c r="AG165" s="30">
        <f>IF(AQ165="2",BI165,0)</f>
        <v>0</v>
      </c>
      <c r="AH165" s="30">
        <f>IF(AQ165="0",BJ165,0)</f>
        <v>0</v>
      </c>
      <c r="AI165" s="10" t="s">
        <v>50</v>
      </c>
      <c r="AJ165" s="30">
        <f>IF(AN165=0,J165,0)</f>
        <v>0</v>
      </c>
      <c r="AK165" s="30">
        <f>IF(AN165=12,J165,0)</f>
        <v>0</v>
      </c>
      <c r="AL165" s="30">
        <f>IF(AN165=21,J165,0)</f>
        <v>0</v>
      </c>
      <c r="AN165" s="30">
        <v>12</v>
      </c>
      <c r="AO165" s="30">
        <f>G165*1</f>
        <v>0</v>
      </c>
      <c r="AP165" s="30">
        <f>G165*(1-1)</f>
        <v>0</v>
      </c>
      <c r="AQ165" s="31" t="s">
        <v>80</v>
      </c>
      <c r="AV165" s="30">
        <f>AW165+AX165</f>
        <v>0</v>
      </c>
      <c r="AW165" s="30">
        <f>F165*AO165</f>
        <v>0</v>
      </c>
      <c r="AX165" s="30">
        <f>F165*AP165</f>
        <v>0</v>
      </c>
      <c r="AY165" s="31" t="s">
        <v>421</v>
      </c>
      <c r="AZ165" s="31" t="s">
        <v>422</v>
      </c>
      <c r="BA165" s="10" t="s">
        <v>60</v>
      </c>
      <c r="BC165" s="30">
        <f>AW165+AX165</f>
        <v>0</v>
      </c>
      <c r="BD165" s="30">
        <f>G165/(100-BE165)*100</f>
        <v>0</v>
      </c>
      <c r="BE165" s="30">
        <v>0</v>
      </c>
      <c r="BF165" s="30">
        <f>165</f>
        <v>165</v>
      </c>
      <c r="BH165" s="30">
        <f>F165*AO165</f>
        <v>0</v>
      </c>
      <c r="BI165" s="30">
        <f>F165*AP165</f>
        <v>0</v>
      </c>
      <c r="BJ165" s="30">
        <f>F165*G165</f>
        <v>0</v>
      </c>
      <c r="BK165" s="30"/>
      <c r="BL165" s="30">
        <v>771</v>
      </c>
      <c r="BW165" s="30">
        <v>12</v>
      </c>
      <c r="BX165" s="4" t="s">
        <v>481</v>
      </c>
    </row>
    <row r="166" spans="1:76" x14ac:dyDescent="0.25">
      <c r="A166" s="32" t="s">
        <v>482</v>
      </c>
      <c r="B166" s="33" t="s">
        <v>483</v>
      </c>
      <c r="C166" s="139" t="s">
        <v>484</v>
      </c>
      <c r="D166" s="140"/>
      <c r="E166" s="33" t="s">
        <v>64</v>
      </c>
      <c r="F166" s="34">
        <v>7.73</v>
      </c>
      <c r="G166" s="35">
        <v>0</v>
      </c>
      <c r="H166" s="34">
        <f>F166*AO166</f>
        <v>0</v>
      </c>
      <c r="I166" s="34">
        <f>F166*AP166</f>
        <v>0</v>
      </c>
      <c r="J166" s="34">
        <f>F166*G166</f>
        <v>0</v>
      </c>
      <c r="K166" s="36" t="s">
        <v>57</v>
      </c>
      <c r="Z166" s="30">
        <f>IF(AQ166="5",BJ166,0)</f>
        <v>0</v>
      </c>
      <c r="AB166" s="30">
        <f>IF(AQ166="1",BH166,0)</f>
        <v>0</v>
      </c>
      <c r="AC166" s="30">
        <f>IF(AQ166="1",BI166,0)</f>
        <v>0</v>
      </c>
      <c r="AD166" s="30">
        <f>IF(AQ166="7",BH166,0)</f>
        <v>0</v>
      </c>
      <c r="AE166" s="30">
        <f>IF(AQ166="7",BI166,0)</f>
        <v>0</v>
      </c>
      <c r="AF166" s="30">
        <f>IF(AQ166="2",BH166,0)</f>
        <v>0</v>
      </c>
      <c r="AG166" s="30">
        <f>IF(AQ166="2",BI166,0)</f>
        <v>0</v>
      </c>
      <c r="AH166" s="30">
        <f>IF(AQ166="0",BJ166,0)</f>
        <v>0</v>
      </c>
      <c r="AI166" s="10" t="s">
        <v>50</v>
      </c>
      <c r="AJ166" s="30">
        <f>IF(AN166=0,J166,0)</f>
        <v>0</v>
      </c>
      <c r="AK166" s="30">
        <f>IF(AN166=12,J166,0)</f>
        <v>0</v>
      </c>
      <c r="AL166" s="30">
        <f>IF(AN166=21,J166,0)</f>
        <v>0</v>
      </c>
      <c r="AN166" s="30">
        <v>12</v>
      </c>
      <c r="AO166" s="30">
        <f>G166*0</f>
        <v>0</v>
      </c>
      <c r="AP166" s="30">
        <f>G166*(1-0)</f>
        <v>0</v>
      </c>
      <c r="AQ166" s="31" t="s">
        <v>80</v>
      </c>
      <c r="AV166" s="30">
        <f>AW166+AX166</f>
        <v>0</v>
      </c>
      <c r="AW166" s="30">
        <f>F166*AO166</f>
        <v>0</v>
      </c>
      <c r="AX166" s="30">
        <f>F166*AP166</f>
        <v>0</v>
      </c>
      <c r="AY166" s="31" t="s">
        <v>421</v>
      </c>
      <c r="AZ166" s="31" t="s">
        <v>422</v>
      </c>
      <c r="BA166" s="10" t="s">
        <v>60</v>
      </c>
      <c r="BC166" s="30">
        <f>AW166+AX166</f>
        <v>0</v>
      </c>
      <c r="BD166" s="30">
        <f>G166/(100-BE166)*100</f>
        <v>0</v>
      </c>
      <c r="BE166" s="30">
        <v>0</v>
      </c>
      <c r="BF166" s="30">
        <f>166</f>
        <v>166</v>
      </c>
      <c r="BH166" s="30">
        <f>F166*AO166</f>
        <v>0</v>
      </c>
      <c r="BI166" s="30">
        <f>F166*AP166</f>
        <v>0</v>
      </c>
      <c r="BJ166" s="30">
        <f>F166*G166</f>
        <v>0</v>
      </c>
      <c r="BK166" s="30"/>
      <c r="BL166" s="30">
        <v>771</v>
      </c>
      <c r="BW166" s="30">
        <v>12</v>
      </c>
      <c r="BX166" s="4" t="s">
        <v>484</v>
      </c>
    </row>
    <row r="167" spans="1:76" ht="13.5" customHeight="1" x14ac:dyDescent="0.25">
      <c r="A167" s="37"/>
      <c r="B167" s="38" t="s">
        <v>68</v>
      </c>
      <c r="C167" s="141" t="s">
        <v>485</v>
      </c>
      <c r="D167" s="142"/>
      <c r="E167" s="142"/>
      <c r="F167" s="142"/>
      <c r="G167" s="143"/>
      <c r="H167" s="142"/>
      <c r="I167" s="142"/>
      <c r="J167" s="142"/>
      <c r="K167" s="144"/>
    </row>
    <row r="168" spans="1:76" x14ac:dyDescent="0.25">
      <c r="A168" s="25" t="s">
        <v>486</v>
      </c>
      <c r="B168" s="26" t="s">
        <v>487</v>
      </c>
      <c r="C168" s="137" t="s">
        <v>488</v>
      </c>
      <c r="D168" s="138"/>
      <c r="E168" s="26" t="s">
        <v>64</v>
      </c>
      <c r="F168" s="27">
        <v>8.5030000000000001</v>
      </c>
      <c r="G168" s="28">
        <v>0</v>
      </c>
      <c r="H168" s="27">
        <f t="shared" ref="H168:H174" si="176">F168*AO168</f>
        <v>0</v>
      </c>
      <c r="I168" s="27">
        <f t="shared" ref="I168:I174" si="177">F168*AP168</f>
        <v>0</v>
      </c>
      <c r="J168" s="27">
        <f t="shared" ref="J168:J174" si="178">F168*G168</f>
        <v>0</v>
      </c>
      <c r="K168" s="29" t="s">
        <v>57</v>
      </c>
      <c r="Z168" s="30">
        <f t="shared" ref="Z168:Z174" si="179">IF(AQ168="5",BJ168,0)</f>
        <v>0</v>
      </c>
      <c r="AB168" s="30">
        <f t="shared" ref="AB168:AB174" si="180">IF(AQ168="1",BH168,0)</f>
        <v>0</v>
      </c>
      <c r="AC168" s="30">
        <f t="shared" ref="AC168:AC174" si="181">IF(AQ168="1",BI168,0)</f>
        <v>0</v>
      </c>
      <c r="AD168" s="30">
        <f t="shared" ref="AD168:AD174" si="182">IF(AQ168="7",BH168,0)</f>
        <v>0</v>
      </c>
      <c r="AE168" s="30">
        <f t="shared" ref="AE168:AE174" si="183">IF(AQ168="7",BI168,0)</f>
        <v>0</v>
      </c>
      <c r="AF168" s="30">
        <f t="shared" ref="AF168:AF174" si="184">IF(AQ168="2",BH168,0)</f>
        <v>0</v>
      </c>
      <c r="AG168" s="30">
        <f t="shared" ref="AG168:AG174" si="185">IF(AQ168="2",BI168,0)</f>
        <v>0</v>
      </c>
      <c r="AH168" s="30">
        <f t="shared" ref="AH168:AH174" si="186">IF(AQ168="0",BJ168,0)</f>
        <v>0</v>
      </c>
      <c r="AI168" s="10" t="s">
        <v>50</v>
      </c>
      <c r="AJ168" s="30">
        <f t="shared" ref="AJ168:AJ174" si="187">IF(AN168=0,J168,0)</f>
        <v>0</v>
      </c>
      <c r="AK168" s="30">
        <f t="shared" ref="AK168:AK174" si="188">IF(AN168=12,J168,0)</f>
        <v>0</v>
      </c>
      <c r="AL168" s="30">
        <f t="shared" ref="AL168:AL174" si="189">IF(AN168=21,J168,0)</f>
        <v>0</v>
      </c>
      <c r="AN168" s="30">
        <v>12</v>
      </c>
      <c r="AO168" s="30">
        <f>G168*1</f>
        <v>0</v>
      </c>
      <c r="AP168" s="30">
        <f>G168*(1-1)</f>
        <v>0</v>
      </c>
      <c r="AQ168" s="31" t="s">
        <v>80</v>
      </c>
      <c r="AV168" s="30">
        <f t="shared" ref="AV168:AV174" si="190">AW168+AX168</f>
        <v>0</v>
      </c>
      <c r="AW168" s="30">
        <f t="shared" ref="AW168:AW174" si="191">F168*AO168</f>
        <v>0</v>
      </c>
      <c r="AX168" s="30">
        <f t="shared" ref="AX168:AX174" si="192">F168*AP168</f>
        <v>0</v>
      </c>
      <c r="AY168" s="31" t="s">
        <v>421</v>
      </c>
      <c r="AZ168" s="31" t="s">
        <v>422</v>
      </c>
      <c r="BA168" s="10" t="s">
        <v>60</v>
      </c>
      <c r="BC168" s="30">
        <f t="shared" ref="BC168:BC174" si="193">AW168+AX168</f>
        <v>0</v>
      </c>
      <c r="BD168" s="30">
        <f t="shared" ref="BD168:BD174" si="194">G168/(100-BE168)*100</f>
        <v>0</v>
      </c>
      <c r="BE168" s="30">
        <v>0</v>
      </c>
      <c r="BF168" s="30">
        <f>168</f>
        <v>168</v>
      </c>
      <c r="BH168" s="30">
        <f t="shared" ref="BH168:BH174" si="195">F168*AO168</f>
        <v>0</v>
      </c>
      <c r="BI168" s="30">
        <f t="shared" ref="BI168:BI174" si="196">F168*AP168</f>
        <v>0</v>
      </c>
      <c r="BJ168" s="30">
        <f t="shared" ref="BJ168:BJ174" si="197">F168*G168</f>
        <v>0</v>
      </c>
      <c r="BK168" s="30"/>
      <c r="BL168" s="30">
        <v>771</v>
      </c>
      <c r="BW168" s="30">
        <v>12</v>
      </c>
      <c r="BX168" s="4" t="s">
        <v>488</v>
      </c>
    </row>
    <row r="169" spans="1:76" x14ac:dyDescent="0.25">
      <c r="A169" s="32" t="s">
        <v>489</v>
      </c>
      <c r="B169" s="33" t="s">
        <v>490</v>
      </c>
      <c r="C169" s="139" t="s">
        <v>491</v>
      </c>
      <c r="D169" s="140"/>
      <c r="E169" s="33" t="s">
        <v>64</v>
      </c>
      <c r="F169" s="34">
        <v>7.73</v>
      </c>
      <c r="G169" s="35">
        <v>0</v>
      </c>
      <c r="H169" s="34">
        <f t="shared" si="176"/>
        <v>0</v>
      </c>
      <c r="I169" s="34">
        <f t="shared" si="177"/>
        <v>0</v>
      </c>
      <c r="J169" s="34">
        <f t="shared" si="178"/>
        <v>0</v>
      </c>
      <c r="K169" s="36" t="s">
        <v>57</v>
      </c>
      <c r="Z169" s="30">
        <f t="shared" si="179"/>
        <v>0</v>
      </c>
      <c r="AB169" s="30">
        <f t="shared" si="180"/>
        <v>0</v>
      </c>
      <c r="AC169" s="30">
        <f t="shared" si="181"/>
        <v>0</v>
      </c>
      <c r="AD169" s="30">
        <f t="shared" si="182"/>
        <v>0</v>
      </c>
      <c r="AE169" s="30">
        <f t="shared" si="183"/>
        <v>0</v>
      </c>
      <c r="AF169" s="30">
        <f t="shared" si="184"/>
        <v>0</v>
      </c>
      <c r="AG169" s="30">
        <f t="shared" si="185"/>
        <v>0</v>
      </c>
      <c r="AH169" s="30">
        <f t="shared" si="186"/>
        <v>0</v>
      </c>
      <c r="AI169" s="10" t="s">
        <v>50</v>
      </c>
      <c r="AJ169" s="30">
        <f t="shared" si="187"/>
        <v>0</v>
      </c>
      <c r="AK169" s="30">
        <f t="shared" si="188"/>
        <v>0</v>
      </c>
      <c r="AL169" s="30">
        <f t="shared" si="189"/>
        <v>0</v>
      </c>
      <c r="AN169" s="30">
        <v>12</v>
      </c>
      <c r="AO169" s="30">
        <f>G169*0.921369863</f>
        <v>0</v>
      </c>
      <c r="AP169" s="30">
        <f>G169*(1-0.921369863)</f>
        <v>0</v>
      </c>
      <c r="AQ169" s="31" t="s">
        <v>80</v>
      </c>
      <c r="AV169" s="30">
        <f t="shared" si="190"/>
        <v>0</v>
      </c>
      <c r="AW169" s="30">
        <f t="shared" si="191"/>
        <v>0</v>
      </c>
      <c r="AX169" s="30">
        <f t="shared" si="192"/>
        <v>0</v>
      </c>
      <c r="AY169" s="31" t="s">
        <v>421</v>
      </c>
      <c r="AZ169" s="31" t="s">
        <v>422</v>
      </c>
      <c r="BA169" s="10" t="s">
        <v>60</v>
      </c>
      <c r="BC169" s="30">
        <f t="shared" si="193"/>
        <v>0</v>
      </c>
      <c r="BD169" s="30">
        <f t="shared" si="194"/>
        <v>0</v>
      </c>
      <c r="BE169" s="30">
        <v>0</v>
      </c>
      <c r="BF169" s="30">
        <f>169</f>
        <v>169</v>
      </c>
      <c r="BH169" s="30">
        <f t="shared" si="195"/>
        <v>0</v>
      </c>
      <c r="BI169" s="30">
        <f t="shared" si="196"/>
        <v>0</v>
      </c>
      <c r="BJ169" s="30">
        <f t="shared" si="197"/>
        <v>0</v>
      </c>
      <c r="BK169" s="30"/>
      <c r="BL169" s="30">
        <v>771</v>
      </c>
      <c r="BW169" s="30">
        <v>12</v>
      </c>
      <c r="BX169" s="4" t="s">
        <v>491</v>
      </c>
    </row>
    <row r="170" spans="1:76" x14ac:dyDescent="0.25">
      <c r="A170" s="32" t="s">
        <v>492</v>
      </c>
      <c r="B170" s="33" t="s">
        <v>493</v>
      </c>
      <c r="C170" s="139" t="s">
        <v>494</v>
      </c>
      <c r="D170" s="140"/>
      <c r="E170" s="33" t="s">
        <v>64</v>
      </c>
      <c r="F170" s="34">
        <v>7.73</v>
      </c>
      <c r="G170" s="35">
        <v>0</v>
      </c>
      <c r="H170" s="34">
        <f t="shared" si="176"/>
        <v>0</v>
      </c>
      <c r="I170" s="34">
        <f t="shared" si="177"/>
        <v>0</v>
      </c>
      <c r="J170" s="34">
        <f t="shared" si="178"/>
        <v>0</v>
      </c>
      <c r="K170" s="36" t="s">
        <v>57</v>
      </c>
      <c r="Z170" s="30">
        <f t="shared" si="179"/>
        <v>0</v>
      </c>
      <c r="AB170" s="30">
        <f t="shared" si="180"/>
        <v>0</v>
      </c>
      <c r="AC170" s="30">
        <f t="shared" si="181"/>
        <v>0</v>
      </c>
      <c r="AD170" s="30">
        <f t="shared" si="182"/>
        <v>0</v>
      </c>
      <c r="AE170" s="30">
        <f t="shared" si="183"/>
        <v>0</v>
      </c>
      <c r="AF170" s="30">
        <f t="shared" si="184"/>
        <v>0</v>
      </c>
      <c r="AG170" s="30">
        <f t="shared" si="185"/>
        <v>0</v>
      </c>
      <c r="AH170" s="30">
        <f t="shared" si="186"/>
        <v>0</v>
      </c>
      <c r="AI170" s="10" t="s">
        <v>50</v>
      </c>
      <c r="AJ170" s="30">
        <f t="shared" si="187"/>
        <v>0</v>
      </c>
      <c r="AK170" s="30">
        <f t="shared" si="188"/>
        <v>0</v>
      </c>
      <c r="AL170" s="30">
        <f t="shared" si="189"/>
        <v>0</v>
      </c>
      <c r="AN170" s="30">
        <v>12</v>
      </c>
      <c r="AO170" s="30">
        <f>G170*0.62827503</f>
        <v>0</v>
      </c>
      <c r="AP170" s="30">
        <f>G170*(1-0.62827503)</f>
        <v>0</v>
      </c>
      <c r="AQ170" s="31" t="s">
        <v>80</v>
      </c>
      <c r="AV170" s="30">
        <f t="shared" si="190"/>
        <v>0</v>
      </c>
      <c r="AW170" s="30">
        <f t="shared" si="191"/>
        <v>0</v>
      </c>
      <c r="AX170" s="30">
        <f t="shared" si="192"/>
        <v>0</v>
      </c>
      <c r="AY170" s="31" t="s">
        <v>421</v>
      </c>
      <c r="AZ170" s="31" t="s">
        <v>422</v>
      </c>
      <c r="BA170" s="10" t="s">
        <v>60</v>
      </c>
      <c r="BC170" s="30">
        <f t="shared" si="193"/>
        <v>0</v>
      </c>
      <c r="BD170" s="30">
        <f t="shared" si="194"/>
        <v>0</v>
      </c>
      <c r="BE170" s="30">
        <v>0</v>
      </c>
      <c r="BF170" s="30">
        <f>170</f>
        <v>170</v>
      </c>
      <c r="BH170" s="30">
        <f t="shared" si="195"/>
        <v>0</v>
      </c>
      <c r="BI170" s="30">
        <f t="shared" si="196"/>
        <v>0</v>
      </c>
      <c r="BJ170" s="30">
        <f t="shared" si="197"/>
        <v>0</v>
      </c>
      <c r="BK170" s="30"/>
      <c r="BL170" s="30">
        <v>771</v>
      </c>
      <c r="BW170" s="30">
        <v>12</v>
      </c>
      <c r="BX170" s="4" t="s">
        <v>494</v>
      </c>
    </row>
    <row r="171" spans="1:76" x14ac:dyDescent="0.25">
      <c r="A171" s="32" t="s">
        <v>495</v>
      </c>
      <c r="B171" s="33" t="s">
        <v>496</v>
      </c>
      <c r="C171" s="139" t="s">
        <v>497</v>
      </c>
      <c r="D171" s="140"/>
      <c r="E171" s="33" t="s">
        <v>56</v>
      </c>
      <c r="F171" s="34">
        <v>1</v>
      </c>
      <c r="G171" s="35">
        <v>0</v>
      </c>
      <c r="H171" s="34">
        <f t="shared" si="176"/>
        <v>0</v>
      </c>
      <c r="I171" s="34">
        <f t="shared" si="177"/>
        <v>0</v>
      </c>
      <c r="J171" s="34">
        <f t="shared" si="178"/>
        <v>0</v>
      </c>
      <c r="K171" s="36" t="s">
        <v>57</v>
      </c>
      <c r="Z171" s="30">
        <f t="shared" si="179"/>
        <v>0</v>
      </c>
      <c r="AB171" s="30">
        <f t="shared" si="180"/>
        <v>0</v>
      </c>
      <c r="AC171" s="30">
        <f t="shared" si="181"/>
        <v>0</v>
      </c>
      <c r="AD171" s="30">
        <f t="shared" si="182"/>
        <v>0</v>
      </c>
      <c r="AE171" s="30">
        <f t="shared" si="183"/>
        <v>0</v>
      </c>
      <c r="AF171" s="30">
        <f t="shared" si="184"/>
        <v>0</v>
      </c>
      <c r="AG171" s="30">
        <f t="shared" si="185"/>
        <v>0</v>
      </c>
      <c r="AH171" s="30">
        <f t="shared" si="186"/>
        <v>0</v>
      </c>
      <c r="AI171" s="10" t="s">
        <v>50</v>
      </c>
      <c r="AJ171" s="30">
        <f t="shared" si="187"/>
        <v>0</v>
      </c>
      <c r="AK171" s="30">
        <f t="shared" si="188"/>
        <v>0</v>
      </c>
      <c r="AL171" s="30">
        <f t="shared" si="189"/>
        <v>0</v>
      </c>
      <c r="AN171" s="30">
        <v>12</v>
      </c>
      <c r="AO171" s="30">
        <f>G171*0.799378641</f>
        <v>0</v>
      </c>
      <c r="AP171" s="30">
        <f>G171*(1-0.799378641)</f>
        <v>0</v>
      </c>
      <c r="AQ171" s="31" t="s">
        <v>80</v>
      </c>
      <c r="AV171" s="30">
        <f t="shared" si="190"/>
        <v>0</v>
      </c>
      <c r="AW171" s="30">
        <f t="shared" si="191"/>
        <v>0</v>
      </c>
      <c r="AX171" s="30">
        <f t="shared" si="192"/>
        <v>0</v>
      </c>
      <c r="AY171" s="31" t="s">
        <v>421</v>
      </c>
      <c r="AZ171" s="31" t="s">
        <v>422</v>
      </c>
      <c r="BA171" s="10" t="s">
        <v>60</v>
      </c>
      <c r="BC171" s="30">
        <f t="shared" si="193"/>
        <v>0</v>
      </c>
      <c r="BD171" s="30">
        <f t="shared" si="194"/>
        <v>0</v>
      </c>
      <c r="BE171" s="30">
        <v>0</v>
      </c>
      <c r="BF171" s="30">
        <f>171</f>
        <v>171</v>
      </c>
      <c r="BH171" s="30">
        <f t="shared" si="195"/>
        <v>0</v>
      </c>
      <c r="BI171" s="30">
        <f t="shared" si="196"/>
        <v>0</v>
      </c>
      <c r="BJ171" s="30">
        <f t="shared" si="197"/>
        <v>0</v>
      </c>
      <c r="BK171" s="30"/>
      <c r="BL171" s="30">
        <v>771</v>
      </c>
      <c r="BW171" s="30">
        <v>12</v>
      </c>
      <c r="BX171" s="4" t="s">
        <v>497</v>
      </c>
    </row>
    <row r="172" spans="1:76" x14ac:dyDescent="0.25">
      <c r="A172" s="32" t="s">
        <v>498</v>
      </c>
      <c r="B172" s="33" t="s">
        <v>499</v>
      </c>
      <c r="C172" s="139" t="s">
        <v>500</v>
      </c>
      <c r="D172" s="140"/>
      <c r="E172" s="33" t="s">
        <v>76</v>
      </c>
      <c r="F172" s="34">
        <v>14.46</v>
      </c>
      <c r="G172" s="35">
        <v>0</v>
      </c>
      <c r="H172" s="34">
        <f t="shared" si="176"/>
        <v>0</v>
      </c>
      <c r="I172" s="34">
        <f t="shared" si="177"/>
        <v>0</v>
      </c>
      <c r="J172" s="34">
        <f t="shared" si="178"/>
        <v>0</v>
      </c>
      <c r="K172" s="36" t="s">
        <v>57</v>
      </c>
      <c r="Z172" s="30">
        <f t="shared" si="179"/>
        <v>0</v>
      </c>
      <c r="AB172" s="30">
        <f t="shared" si="180"/>
        <v>0</v>
      </c>
      <c r="AC172" s="30">
        <f t="shared" si="181"/>
        <v>0</v>
      </c>
      <c r="AD172" s="30">
        <f t="shared" si="182"/>
        <v>0</v>
      </c>
      <c r="AE172" s="30">
        <f t="shared" si="183"/>
        <v>0</v>
      </c>
      <c r="AF172" s="30">
        <f t="shared" si="184"/>
        <v>0</v>
      </c>
      <c r="AG172" s="30">
        <f t="shared" si="185"/>
        <v>0</v>
      </c>
      <c r="AH172" s="30">
        <f t="shared" si="186"/>
        <v>0</v>
      </c>
      <c r="AI172" s="10" t="s">
        <v>50</v>
      </c>
      <c r="AJ172" s="30">
        <f t="shared" si="187"/>
        <v>0</v>
      </c>
      <c r="AK172" s="30">
        <f t="shared" si="188"/>
        <v>0</v>
      </c>
      <c r="AL172" s="30">
        <f t="shared" si="189"/>
        <v>0</v>
      </c>
      <c r="AN172" s="30">
        <v>12</v>
      </c>
      <c r="AO172" s="30">
        <f>G172*0.692</f>
        <v>0</v>
      </c>
      <c r="AP172" s="30">
        <f>G172*(1-0.692)</f>
        <v>0</v>
      </c>
      <c r="AQ172" s="31" t="s">
        <v>80</v>
      </c>
      <c r="AV172" s="30">
        <f t="shared" si="190"/>
        <v>0</v>
      </c>
      <c r="AW172" s="30">
        <f t="shared" si="191"/>
        <v>0</v>
      </c>
      <c r="AX172" s="30">
        <f t="shared" si="192"/>
        <v>0</v>
      </c>
      <c r="AY172" s="31" t="s">
        <v>421</v>
      </c>
      <c r="AZ172" s="31" t="s">
        <v>422</v>
      </c>
      <c r="BA172" s="10" t="s">
        <v>60</v>
      </c>
      <c r="BC172" s="30">
        <f t="shared" si="193"/>
        <v>0</v>
      </c>
      <c r="BD172" s="30">
        <f t="shared" si="194"/>
        <v>0</v>
      </c>
      <c r="BE172" s="30">
        <v>0</v>
      </c>
      <c r="BF172" s="30">
        <f>172</f>
        <v>172</v>
      </c>
      <c r="BH172" s="30">
        <f t="shared" si="195"/>
        <v>0</v>
      </c>
      <c r="BI172" s="30">
        <f t="shared" si="196"/>
        <v>0</v>
      </c>
      <c r="BJ172" s="30">
        <f t="shared" si="197"/>
        <v>0</v>
      </c>
      <c r="BK172" s="30"/>
      <c r="BL172" s="30">
        <v>771</v>
      </c>
      <c r="BW172" s="30">
        <v>12</v>
      </c>
      <c r="BX172" s="4" t="s">
        <v>500</v>
      </c>
    </row>
    <row r="173" spans="1:76" x14ac:dyDescent="0.25">
      <c r="A173" s="32" t="s">
        <v>501</v>
      </c>
      <c r="B173" s="33" t="s">
        <v>502</v>
      </c>
      <c r="C173" s="139" t="s">
        <v>503</v>
      </c>
      <c r="D173" s="140"/>
      <c r="E173" s="33" t="s">
        <v>64</v>
      </c>
      <c r="F173" s="34">
        <v>7.73</v>
      </c>
      <c r="G173" s="35">
        <v>0</v>
      </c>
      <c r="H173" s="34">
        <f t="shared" si="176"/>
        <v>0</v>
      </c>
      <c r="I173" s="34">
        <f t="shared" si="177"/>
        <v>0</v>
      </c>
      <c r="J173" s="34">
        <f t="shared" si="178"/>
        <v>0</v>
      </c>
      <c r="K173" s="36" t="s">
        <v>57</v>
      </c>
      <c r="Z173" s="30">
        <f t="shared" si="179"/>
        <v>0</v>
      </c>
      <c r="AB173" s="30">
        <f t="shared" si="180"/>
        <v>0</v>
      </c>
      <c r="AC173" s="30">
        <f t="shared" si="181"/>
        <v>0</v>
      </c>
      <c r="AD173" s="30">
        <f t="shared" si="182"/>
        <v>0</v>
      </c>
      <c r="AE173" s="30">
        <f t="shared" si="183"/>
        <v>0</v>
      </c>
      <c r="AF173" s="30">
        <f t="shared" si="184"/>
        <v>0</v>
      </c>
      <c r="AG173" s="30">
        <f t="shared" si="185"/>
        <v>0</v>
      </c>
      <c r="AH173" s="30">
        <f t="shared" si="186"/>
        <v>0</v>
      </c>
      <c r="AI173" s="10" t="s">
        <v>50</v>
      </c>
      <c r="AJ173" s="30">
        <f t="shared" si="187"/>
        <v>0</v>
      </c>
      <c r="AK173" s="30">
        <f t="shared" si="188"/>
        <v>0</v>
      </c>
      <c r="AL173" s="30">
        <f t="shared" si="189"/>
        <v>0</v>
      </c>
      <c r="AN173" s="30">
        <v>12</v>
      </c>
      <c r="AO173" s="30">
        <f>G173*0.518159559</f>
        <v>0</v>
      </c>
      <c r="AP173" s="30">
        <f>G173*(1-0.518159559)</f>
        <v>0</v>
      </c>
      <c r="AQ173" s="31" t="s">
        <v>80</v>
      </c>
      <c r="AV173" s="30">
        <f t="shared" si="190"/>
        <v>0</v>
      </c>
      <c r="AW173" s="30">
        <f t="shared" si="191"/>
        <v>0</v>
      </c>
      <c r="AX173" s="30">
        <f t="shared" si="192"/>
        <v>0</v>
      </c>
      <c r="AY173" s="31" t="s">
        <v>421</v>
      </c>
      <c r="AZ173" s="31" t="s">
        <v>422</v>
      </c>
      <c r="BA173" s="10" t="s">
        <v>60</v>
      </c>
      <c r="BC173" s="30">
        <f t="shared" si="193"/>
        <v>0</v>
      </c>
      <c r="BD173" s="30">
        <f t="shared" si="194"/>
        <v>0</v>
      </c>
      <c r="BE173" s="30">
        <v>0</v>
      </c>
      <c r="BF173" s="30">
        <f>173</f>
        <v>173</v>
      </c>
      <c r="BH173" s="30">
        <f t="shared" si="195"/>
        <v>0</v>
      </c>
      <c r="BI173" s="30">
        <f t="shared" si="196"/>
        <v>0</v>
      </c>
      <c r="BJ173" s="30">
        <f t="shared" si="197"/>
        <v>0</v>
      </c>
      <c r="BK173" s="30"/>
      <c r="BL173" s="30">
        <v>771</v>
      </c>
      <c r="BW173" s="30">
        <v>12</v>
      </c>
      <c r="BX173" s="4" t="s">
        <v>503</v>
      </c>
    </row>
    <row r="174" spans="1:76" x14ac:dyDescent="0.25">
      <c r="A174" s="32" t="s">
        <v>504</v>
      </c>
      <c r="B174" s="33" t="s">
        <v>505</v>
      </c>
      <c r="C174" s="139" t="s">
        <v>506</v>
      </c>
      <c r="D174" s="140"/>
      <c r="E174" s="33" t="s">
        <v>86</v>
      </c>
      <c r="F174" s="34">
        <v>9.2196999999999996</v>
      </c>
      <c r="G174" s="35">
        <v>0</v>
      </c>
      <c r="H174" s="34">
        <f t="shared" si="176"/>
        <v>0</v>
      </c>
      <c r="I174" s="34">
        <f t="shared" si="177"/>
        <v>0</v>
      </c>
      <c r="J174" s="34">
        <f t="shared" si="178"/>
        <v>0</v>
      </c>
      <c r="K174" s="36" t="s">
        <v>57</v>
      </c>
      <c r="Z174" s="30">
        <f t="shared" si="179"/>
        <v>0</v>
      </c>
      <c r="AB174" s="30">
        <f t="shared" si="180"/>
        <v>0</v>
      </c>
      <c r="AC174" s="30">
        <f t="shared" si="181"/>
        <v>0</v>
      </c>
      <c r="AD174" s="30">
        <f t="shared" si="182"/>
        <v>0</v>
      </c>
      <c r="AE174" s="30">
        <f t="shared" si="183"/>
        <v>0</v>
      </c>
      <c r="AF174" s="30">
        <f t="shared" si="184"/>
        <v>0</v>
      </c>
      <c r="AG174" s="30">
        <f t="shared" si="185"/>
        <v>0</v>
      </c>
      <c r="AH174" s="30">
        <f t="shared" si="186"/>
        <v>0</v>
      </c>
      <c r="AI174" s="10" t="s">
        <v>50</v>
      </c>
      <c r="AJ174" s="30">
        <f t="shared" si="187"/>
        <v>0</v>
      </c>
      <c r="AK174" s="30">
        <f t="shared" si="188"/>
        <v>0</v>
      </c>
      <c r="AL174" s="30">
        <f t="shared" si="189"/>
        <v>0</v>
      </c>
      <c r="AN174" s="30">
        <v>12</v>
      </c>
      <c r="AO174" s="30">
        <f>G174*0</f>
        <v>0</v>
      </c>
      <c r="AP174" s="30">
        <f>G174*(1-0)</f>
        <v>0</v>
      </c>
      <c r="AQ174" s="31" t="s">
        <v>73</v>
      </c>
      <c r="AV174" s="30">
        <f t="shared" si="190"/>
        <v>0</v>
      </c>
      <c r="AW174" s="30">
        <f t="shared" si="191"/>
        <v>0</v>
      </c>
      <c r="AX174" s="30">
        <f t="shared" si="192"/>
        <v>0</v>
      </c>
      <c r="AY174" s="31" t="s">
        <v>421</v>
      </c>
      <c r="AZ174" s="31" t="s">
        <v>422</v>
      </c>
      <c r="BA174" s="10" t="s">
        <v>60</v>
      </c>
      <c r="BC174" s="30">
        <f t="shared" si="193"/>
        <v>0</v>
      </c>
      <c r="BD174" s="30">
        <f t="shared" si="194"/>
        <v>0</v>
      </c>
      <c r="BE174" s="30">
        <v>0</v>
      </c>
      <c r="BF174" s="30">
        <f>174</f>
        <v>174</v>
      </c>
      <c r="BH174" s="30">
        <f t="shared" si="195"/>
        <v>0</v>
      </c>
      <c r="BI174" s="30">
        <f t="shared" si="196"/>
        <v>0</v>
      </c>
      <c r="BJ174" s="30">
        <f t="shared" si="197"/>
        <v>0</v>
      </c>
      <c r="BK174" s="30"/>
      <c r="BL174" s="30">
        <v>771</v>
      </c>
      <c r="BW174" s="30">
        <v>12</v>
      </c>
      <c r="BX174" s="4" t="s">
        <v>506</v>
      </c>
    </row>
    <row r="175" spans="1:76" x14ac:dyDescent="0.25">
      <c r="A175" s="39" t="s">
        <v>50</v>
      </c>
      <c r="B175" s="40" t="s">
        <v>507</v>
      </c>
      <c r="C175" s="145" t="s">
        <v>508</v>
      </c>
      <c r="D175" s="146"/>
      <c r="E175" s="41" t="s">
        <v>4</v>
      </c>
      <c r="F175" s="41" t="s">
        <v>4</v>
      </c>
      <c r="G175" s="42" t="s">
        <v>4</v>
      </c>
      <c r="H175" s="43">
        <f>SUM(H176:H179)</f>
        <v>0</v>
      </c>
      <c r="I175" s="43">
        <f>SUM(I176:I179)</f>
        <v>0</v>
      </c>
      <c r="J175" s="43">
        <f>SUM(J176:J179)</f>
        <v>0</v>
      </c>
      <c r="K175" s="44" t="s">
        <v>50</v>
      </c>
      <c r="AI175" s="10" t="s">
        <v>50</v>
      </c>
      <c r="AS175" s="1">
        <f>SUM(AJ176:AJ179)</f>
        <v>0</v>
      </c>
      <c r="AT175" s="1">
        <f>SUM(AK176:AK179)</f>
        <v>0</v>
      </c>
      <c r="AU175" s="1">
        <f>SUM(AL176:AL179)</f>
        <v>0</v>
      </c>
    </row>
    <row r="176" spans="1:76" x14ac:dyDescent="0.25">
      <c r="A176" s="25" t="s">
        <v>509</v>
      </c>
      <c r="B176" s="26" t="s">
        <v>510</v>
      </c>
      <c r="C176" s="137" t="s">
        <v>511</v>
      </c>
      <c r="D176" s="138"/>
      <c r="E176" s="26" t="s">
        <v>64</v>
      </c>
      <c r="F176" s="27">
        <v>45.2</v>
      </c>
      <c r="G176" s="28">
        <v>0</v>
      </c>
      <c r="H176" s="27">
        <f>F176*AO176</f>
        <v>0</v>
      </c>
      <c r="I176" s="27">
        <f>F176*AP176</f>
        <v>0</v>
      </c>
      <c r="J176" s="27">
        <f>F176*G176</f>
        <v>0</v>
      </c>
      <c r="K176" s="29" t="s">
        <v>57</v>
      </c>
      <c r="Z176" s="30">
        <f>IF(AQ176="5",BJ176,0)</f>
        <v>0</v>
      </c>
      <c r="AB176" s="30">
        <f>IF(AQ176="1",BH176,0)</f>
        <v>0</v>
      </c>
      <c r="AC176" s="30">
        <f>IF(AQ176="1",BI176,0)</f>
        <v>0</v>
      </c>
      <c r="AD176" s="30">
        <f>IF(AQ176="7",BH176,0)</f>
        <v>0</v>
      </c>
      <c r="AE176" s="30">
        <f>IF(AQ176="7",BI176,0)</f>
        <v>0</v>
      </c>
      <c r="AF176" s="30">
        <f>IF(AQ176="2",BH176,0)</f>
        <v>0</v>
      </c>
      <c r="AG176" s="30">
        <f>IF(AQ176="2",BI176,0)</f>
        <v>0</v>
      </c>
      <c r="AH176" s="30">
        <f>IF(AQ176="0",BJ176,0)</f>
        <v>0</v>
      </c>
      <c r="AI176" s="10" t="s">
        <v>50</v>
      </c>
      <c r="AJ176" s="30">
        <f>IF(AN176=0,J176,0)</f>
        <v>0</v>
      </c>
      <c r="AK176" s="30">
        <f>IF(AN176=12,J176,0)</f>
        <v>0</v>
      </c>
      <c r="AL176" s="30">
        <f>IF(AN176=21,J176,0)</f>
        <v>0</v>
      </c>
      <c r="AN176" s="30">
        <v>12</v>
      </c>
      <c r="AO176" s="30">
        <f>G176*0.130410512</f>
        <v>0</v>
      </c>
      <c r="AP176" s="30">
        <f>G176*(1-0.130410512)</f>
        <v>0</v>
      </c>
      <c r="AQ176" s="31" t="s">
        <v>80</v>
      </c>
      <c r="AV176" s="30">
        <f>AW176+AX176</f>
        <v>0</v>
      </c>
      <c r="AW176" s="30">
        <f>F176*AO176</f>
        <v>0</v>
      </c>
      <c r="AX176" s="30">
        <f>F176*AP176</f>
        <v>0</v>
      </c>
      <c r="AY176" s="31" t="s">
        <v>512</v>
      </c>
      <c r="AZ176" s="31" t="s">
        <v>513</v>
      </c>
      <c r="BA176" s="10" t="s">
        <v>60</v>
      </c>
      <c r="BC176" s="30">
        <f>AW176+AX176</f>
        <v>0</v>
      </c>
      <c r="BD176" s="30">
        <f>G176/(100-BE176)*100</f>
        <v>0</v>
      </c>
      <c r="BE176" s="30">
        <v>0</v>
      </c>
      <c r="BF176" s="30">
        <f>176</f>
        <v>176</v>
      </c>
      <c r="BH176" s="30">
        <f>F176*AO176</f>
        <v>0</v>
      </c>
      <c r="BI176" s="30">
        <f>F176*AP176</f>
        <v>0</v>
      </c>
      <c r="BJ176" s="30">
        <f>F176*G176</f>
        <v>0</v>
      </c>
      <c r="BK176" s="30"/>
      <c r="BL176" s="30">
        <v>783</v>
      </c>
      <c r="BW176" s="30">
        <v>12</v>
      </c>
      <c r="BX176" s="4" t="s">
        <v>511</v>
      </c>
    </row>
    <row r="177" spans="1:76" ht="13.5" customHeight="1" x14ac:dyDescent="0.25">
      <c r="A177" s="37"/>
      <c r="B177" s="38" t="s">
        <v>68</v>
      </c>
      <c r="C177" s="141" t="s">
        <v>514</v>
      </c>
      <c r="D177" s="142"/>
      <c r="E177" s="142"/>
      <c r="F177" s="142"/>
      <c r="G177" s="143"/>
      <c r="H177" s="142"/>
      <c r="I177" s="142"/>
      <c r="J177" s="142"/>
      <c r="K177" s="144"/>
    </row>
    <row r="178" spans="1:76" x14ac:dyDescent="0.25">
      <c r="A178" s="25" t="s">
        <v>515</v>
      </c>
      <c r="B178" s="26" t="s">
        <v>516</v>
      </c>
      <c r="C178" s="137" t="s">
        <v>517</v>
      </c>
      <c r="D178" s="138"/>
      <c r="E178" s="26" t="s">
        <v>64</v>
      </c>
      <c r="F178" s="27">
        <v>45.2</v>
      </c>
      <c r="G178" s="28">
        <v>0</v>
      </c>
      <c r="H178" s="27">
        <f>F178*AO178</f>
        <v>0</v>
      </c>
      <c r="I178" s="27">
        <f>F178*AP178</f>
        <v>0</v>
      </c>
      <c r="J178" s="27">
        <f>F178*G178</f>
        <v>0</v>
      </c>
      <c r="K178" s="29" t="s">
        <v>57</v>
      </c>
      <c r="Z178" s="30">
        <f>IF(AQ178="5",BJ178,0)</f>
        <v>0</v>
      </c>
      <c r="AB178" s="30">
        <f>IF(AQ178="1",BH178,0)</f>
        <v>0</v>
      </c>
      <c r="AC178" s="30">
        <f>IF(AQ178="1",BI178,0)</f>
        <v>0</v>
      </c>
      <c r="AD178" s="30">
        <f>IF(AQ178="7",BH178,0)</f>
        <v>0</v>
      </c>
      <c r="AE178" s="30">
        <f>IF(AQ178="7",BI178,0)</f>
        <v>0</v>
      </c>
      <c r="AF178" s="30">
        <f>IF(AQ178="2",BH178,0)</f>
        <v>0</v>
      </c>
      <c r="AG178" s="30">
        <f>IF(AQ178="2",BI178,0)</f>
        <v>0</v>
      </c>
      <c r="AH178" s="30">
        <f>IF(AQ178="0",BJ178,0)</f>
        <v>0</v>
      </c>
      <c r="AI178" s="10" t="s">
        <v>50</v>
      </c>
      <c r="AJ178" s="30">
        <f>IF(AN178=0,J178,0)</f>
        <v>0</v>
      </c>
      <c r="AK178" s="30">
        <f>IF(AN178=12,J178,0)</f>
        <v>0</v>
      </c>
      <c r="AL178" s="30">
        <f>IF(AN178=21,J178,0)</f>
        <v>0</v>
      </c>
      <c r="AN178" s="30">
        <v>12</v>
      </c>
      <c r="AO178" s="30">
        <f>G178*0.220028011</f>
        <v>0</v>
      </c>
      <c r="AP178" s="30">
        <f>G178*(1-0.220028011)</f>
        <v>0</v>
      </c>
      <c r="AQ178" s="31" t="s">
        <v>80</v>
      </c>
      <c r="AV178" s="30">
        <f>AW178+AX178</f>
        <v>0</v>
      </c>
      <c r="AW178" s="30">
        <f>F178*AO178</f>
        <v>0</v>
      </c>
      <c r="AX178" s="30">
        <f>F178*AP178</f>
        <v>0</v>
      </c>
      <c r="AY178" s="31" t="s">
        <v>512</v>
      </c>
      <c r="AZ178" s="31" t="s">
        <v>513</v>
      </c>
      <c r="BA178" s="10" t="s">
        <v>60</v>
      </c>
      <c r="BC178" s="30">
        <f>AW178+AX178</f>
        <v>0</v>
      </c>
      <c r="BD178" s="30">
        <f>G178/(100-BE178)*100</f>
        <v>0</v>
      </c>
      <c r="BE178" s="30">
        <v>0</v>
      </c>
      <c r="BF178" s="30">
        <f>178</f>
        <v>178</v>
      </c>
      <c r="BH178" s="30">
        <f>F178*AO178</f>
        <v>0</v>
      </c>
      <c r="BI178" s="30">
        <f>F178*AP178</f>
        <v>0</v>
      </c>
      <c r="BJ178" s="30">
        <f>F178*G178</f>
        <v>0</v>
      </c>
      <c r="BK178" s="30"/>
      <c r="BL178" s="30">
        <v>783</v>
      </c>
      <c r="BW178" s="30">
        <v>12</v>
      </c>
      <c r="BX178" s="4" t="s">
        <v>517</v>
      </c>
    </row>
    <row r="179" spans="1:76" x14ac:dyDescent="0.25">
      <c r="A179" s="32" t="s">
        <v>518</v>
      </c>
      <c r="B179" s="33" t="s">
        <v>519</v>
      </c>
      <c r="C179" s="139" t="s">
        <v>520</v>
      </c>
      <c r="D179" s="140"/>
      <c r="E179" s="33" t="s">
        <v>64</v>
      </c>
      <c r="F179" s="34">
        <v>5.25</v>
      </c>
      <c r="G179" s="35">
        <v>0</v>
      </c>
      <c r="H179" s="34">
        <f>F179*AO179</f>
        <v>0</v>
      </c>
      <c r="I179" s="34">
        <f>F179*AP179</f>
        <v>0</v>
      </c>
      <c r="J179" s="34">
        <f>F179*G179</f>
        <v>0</v>
      </c>
      <c r="K179" s="36" t="s">
        <v>57</v>
      </c>
      <c r="Z179" s="30">
        <f>IF(AQ179="5",BJ179,0)</f>
        <v>0</v>
      </c>
      <c r="AB179" s="30">
        <f>IF(AQ179="1",BH179,0)</f>
        <v>0</v>
      </c>
      <c r="AC179" s="30">
        <f>IF(AQ179="1",BI179,0)</f>
        <v>0</v>
      </c>
      <c r="AD179" s="30">
        <f>IF(AQ179="7",BH179,0)</f>
        <v>0</v>
      </c>
      <c r="AE179" s="30">
        <f>IF(AQ179="7",BI179,0)</f>
        <v>0</v>
      </c>
      <c r="AF179" s="30">
        <f>IF(AQ179="2",BH179,0)</f>
        <v>0</v>
      </c>
      <c r="AG179" s="30">
        <f>IF(AQ179="2",BI179,0)</f>
        <v>0</v>
      </c>
      <c r="AH179" s="30">
        <f>IF(AQ179="0",BJ179,0)</f>
        <v>0</v>
      </c>
      <c r="AI179" s="10" t="s">
        <v>50</v>
      </c>
      <c r="AJ179" s="30">
        <f>IF(AN179=0,J179,0)</f>
        <v>0</v>
      </c>
      <c r="AK179" s="30">
        <f>IF(AN179=12,J179,0)</f>
        <v>0</v>
      </c>
      <c r="AL179" s="30">
        <f>IF(AN179=21,J179,0)</f>
        <v>0</v>
      </c>
      <c r="AN179" s="30">
        <v>12</v>
      </c>
      <c r="AO179" s="30">
        <f>G179*0.178659315</f>
        <v>0</v>
      </c>
      <c r="AP179" s="30">
        <f>G179*(1-0.178659315)</f>
        <v>0</v>
      </c>
      <c r="AQ179" s="31" t="s">
        <v>80</v>
      </c>
      <c r="AV179" s="30">
        <f>AW179+AX179</f>
        <v>0</v>
      </c>
      <c r="AW179" s="30">
        <f>F179*AO179</f>
        <v>0</v>
      </c>
      <c r="AX179" s="30">
        <f>F179*AP179</f>
        <v>0</v>
      </c>
      <c r="AY179" s="31" t="s">
        <v>512</v>
      </c>
      <c r="AZ179" s="31" t="s">
        <v>513</v>
      </c>
      <c r="BA179" s="10" t="s">
        <v>60</v>
      </c>
      <c r="BC179" s="30">
        <f>AW179+AX179</f>
        <v>0</v>
      </c>
      <c r="BD179" s="30">
        <f>G179/(100-BE179)*100</f>
        <v>0</v>
      </c>
      <c r="BE179" s="30">
        <v>0</v>
      </c>
      <c r="BF179" s="30">
        <f>179</f>
        <v>179</v>
      </c>
      <c r="BH179" s="30">
        <f>F179*AO179</f>
        <v>0</v>
      </c>
      <c r="BI179" s="30">
        <f>F179*AP179</f>
        <v>0</v>
      </c>
      <c r="BJ179" s="30">
        <f>F179*G179</f>
        <v>0</v>
      </c>
      <c r="BK179" s="30"/>
      <c r="BL179" s="30">
        <v>783</v>
      </c>
      <c r="BW179" s="30">
        <v>12</v>
      </c>
      <c r="BX179" s="4" t="s">
        <v>520</v>
      </c>
    </row>
    <row r="180" spans="1:76" ht="13.5" customHeight="1" x14ac:dyDescent="0.25">
      <c r="A180" s="51"/>
      <c r="B180" s="52" t="s">
        <v>68</v>
      </c>
      <c r="C180" s="149" t="s">
        <v>521</v>
      </c>
      <c r="D180" s="150"/>
      <c r="E180" s="150"/>
      <c r="F180" s="150"/>
      <c r="G180" s="151"/>
      <c r="H180" s="150"/>
      <c r="I180" s="150"/>
      <c r="J180" s="150"/>
      <c r="K180" s="152"/>
    </row>
    <row r="181" spans="1:76" x14ac:dyDescent="0.25">
      <c r="A181" s="53" t="s">
        <v>50</v>
      </c>
      <c r="B181" s="54" t="s">
        <v>522</v>
      </c>
      <c r="C181" s="153" t="s">
        <v>523</v>
      </c>
      <c r="D181" s="154"/>
      <c r="E181" s="55" t="s">
        <v>4</v>
      </c>
      <c r="F181" s="55" t="s">
        <v>4</v>
      </c>
      <c r="G181" s="56" t="s">
        <v>4</v>
      </c>
      <c r="H181" s="57">
        <f>SUM(H182:H182)</f>
        <v>0</v>
      </c>
      <c r="I181" s="57">
        <f>SUM(I182:I182)</f>
        <v>0</v>
      </c>
      <c r="J181" s="57">
        <f>SUM(J182:J182)</f>
        <v>0</v>
      </c>
      <c r="K181" s="58" t="s">
        <v>50</v>
      </c>
      <c r="AI181" s="10" t="s">
        <v>50</v>
      </c>
      <c r="AS181" s="1">
        <f>SUM(AJ182:AJ182)</f>
        <v>0</v>
      </c>
      <c r="AT181" s="1">
        <f>SUM(AK182:AK182)</f>
        <v>0</v>
      </c>
      <c r="AU181" s="1">
        <f>SUM(AL182:AL182)</f>
        <v>0</v>
      </c>
    </row>
    <row r="182" spans="1:76" x14ac:dyDescent="0.25">
      <c r="A182" s="25" t="s">
        <v>524</v>
      </c>
      <c r="B182" s="26" t="s">
        <v>525</v>
      </c>
      <c r="C182" s="137" t="s">
        <v>526</v>
      </c>
      <c r="D182" s="138"/>
      <c r="E182" s="26" t="s">
        <v>64</v>
      </c>
      <c r="F182" s="27">
        <v>303.67230999999998</v>
      </c>
      <c r="G182" s="28">
        <v>0</v>
      </c>
      <c r="H182" s="27">
        <f>F182*AO182</f>
        <v>0</v>
      </c>
      <c r="I182" s="27">
        <f>F182*AP182</f>
        <v>0</v>
      </c>
      <c r="J182" s="27">
        <f>F182*G182</f>
        <v>0</v>
      </c>
      <c r="K182" s="29" t="s">
        <v>57</v>
      </c>
      <c r="Z182" s="30">
        <f>IF(AQ182="5",BJ182,0)</f>
        <v>0</v>
      </c>
      <c r="AB182" s="30">
        <f>IF(AQ182="1",BH182,0)</f>
        <v>0</v>
      </c>
      <c r="AC182" s="30">
        <f>IF(AQ182="1",BI182,0)</f>
        <v>0</v>
      </c>
      <c r="AD182" s="30">
        <f>IF(AQ182="7",BH182,0)</f>
        <v>0</v>
      </c>
      <c r="AE182" s="30">
        <f>IF(AQ182="7",BI182,0)</f>
        <v>0</v>
      </c>
      <c r="AF182" s="30">
        <f>IF(AQ182="2",BH182,0)</f>
        <v>0</v>
      </c>
      <c r="AG182" s="30">
        <f>IF(AQ182="2",BI182,0)</f>
        <v>0</v>
      </c>
      <c r="AH182" s="30">
        <f>IF(AQ182="0",BJ182,0)</f>
        <v>0</v>
      </c>
      <c r="AI182" s="10" t="s">
        <v>50</v>
      </c>
      <c r="AJ182" s="30">
        <f>IF(AN182=0,J182,0)</f>
        <v>0</v>
      </c>
      <c r="AK182" s="30">
        <f>IF(AN182=12,J182,0)</f>
        <v>0</v>
      </c>
      <c r="AL182" s="30">
        <f>IF(AN182=21,J182,0)</f>
        <v>0</v>
      </c>
      <c r="AN182" s="30">
        <v>12</v>
      </c>
      <c r="AO182" s="30">
        <f>G182*0.249417459</f>
        <v>0</v>
      </c>
      <c r="AP182" s="30">
        <f>G182*(1-0.249417459)</f>
        <v>0</v>
      </c>
      <c r="AQ182" s="31" t="s">
        <v>80</v>
      </c>
      <c r="AV182" s="30">
        <f>AW182+AX182</f>
        <v>0</v>
      </c>
      <c r="AW182" s="30">
        <f>F182*AO182</f>
        <v>0</v>
      </c>
      <c r="AX182" s="30">
        <f>F182*AP182</f>
        <v>0</v>
      </c>
      <c r="AY182" s="31" t="s">
        <v>527</v>
      </c>
      <c r="AZ182" s="31" t="s">
        <v>513</v>
      </c>
      <c r="BA182" s="10" t="s">
        <v>60</v>
      </c>
      <c r="BC182" s="30">
        <f>AW182+AX182</f>
        <v>0</v>
      </c>
      <c r="BD182" s="30">
        <f>G182/(100-BE182)*100</f>
        <v>0</v>
      </c>
      <c r="BE182" s="30">
        <v>0</v>
      </c>
      <c r="BF182" s="30">
        <f>182</f>
        <v>182</v>
      </c>
      <c r="BH182" s="30">
        <f>F182*AO182</f>
        <v>0</v>
      </c>
      <c r="BI182" s="30">
        <f>F182*AP182</f>
        <v>0</v>
      </c>
      <c r="BJ182" s="30">
        <f>F182*G182</f>
        <v>0</v>
      </c>
      <c r="BK182" s="30"/>
      <c r="BL182" s="30">
        <v>784</v>
      </c>
      <c r="BW182" s="30">
        <v>12</v>
      </c>
      <c r="BX182" s="4" t="s">
        <v>526</v>
      </c>
    </row>
    <row r="183" spans="1:76" x14ac:dyDescent="0.25">
      <c r="A183" s="39" t="s">
        <v>50</v>
      </c>
      <c r="B183" s="40" t="s">
        <v>390</v>
      </c>
      <c r="C183" s="145" t="s">
        <v>528</v>
      </c>
      <c r="D183" s="146"/>
      <c r="E183" s="41" t="s">
        <v>4</v>
      </c>
      <c r="F183" s="41" t="s">
        <v>4</v>
      </c>
      <c r="G183" s="42" t="s">
        <v>4</v>
      </c>
      <c r="H183" s="43">
        <f>SUM(H184:H187)</f>
        <v>0</v>
      </c>
      <c r="I183" s="43">
        <f>SUM(I184:I187)</f>
        <v>0</v>
      </c>
      <c r="J183" s="43">
        <f>SUM(J184:J187)</f>
        <v>0</v>
      </c>
      <c r="K183" s="44" t="s">
        <v>50</v>
      </c>
      <c r="AI183" s="10" t="s">
        <v>50</v>
      </c>
      <c r="AS183" s="1">
        <f>SUM(AJ184:AJ187)</f>
        <v>0</v>
      </c>
      <c r="AT183" s="1">
        <f>SUM(AK184:AK187)</f>
        <v>0</v>
      </c>
      <c r="AU183" s="1">
        <f>SUM(AL184:AL187)</f>
        <v>0</v>
      </c>
    </row>
    <row r="184" spans="1:76" x14ac:dyDescent="0.25">
      <c r="A184" s="25" t="s">
        <v>529</v>
      </c>
      <c r="B184" s="26" t="s">
        <v>530</v>
      </c>
      <c r="C184" s="137" t="s">
        <v>531</v>
      </c>
      <c r="D184" s="138"/>
      <c r="E184" s="26" t="s">
        <v>56</v>
      </c>
      <c r="F184" s="27">
        <v>1</v>
      </c>
      <c r="G184" s="28">
        <v>0</v>
      </c>
      <c r="H184" s="27">
        <f>F184*AO184</f>
        <v>0</v>
      </c>
      <c r="I184" s="27">
        <f>F184*AP184</f>
        <v>0</v>
      </c>
      <c r="J184" s="27">
        <f>F184*G184</f>
        <v>0</v>
      </c>
      <c r="K184" s="29" t="s">
        <v>57</v>
      </c>
      <c r="Z184" s="30">
        <f>IF(AQ184="5",BJ184,0)</f>
        <v>0</v>
      </c>
      <c r="AB184" s="30">
        <f>IF(AQ184="1",BH184,0)</f>
        <v>0</v>
      </c>
      <c r="AC184" s="30">
        <f>IF(AQ184="1",BI184,0)</f>
        <v>0</v>
      </c>
      <c r="AD184" s="30">
        <f>IF(AQ184="7",BH184,0)</f>
        <v>0</v>
      </c>
      <c r="AE184" s="30">
        <f>IF(AQ184="7",BI184,0)</f>
        <v>0</v>
      </c>
      <c r="AF184" s="30">
        <f>IF(AQ184="2",BH184,0)</f>
        <v>0</v>
      </c>
      <c r="AG184" s="30">
        <f>IF(AQ184="2",BI184,0)</f>
        <v>0</v>
      </c>
      <c r="AH184" s="30">
        <f>IF(AQ184="0",BJ184,0)</f>
        <v>0</v>
      </c>
      <c r="AI184" s="10" t="s">
        <v>50</v>
      </c>
      <c r="AJ184" s="30">
        <f>IF(AN184=0,J184,0)</f>
        <v>0</v>
      </c>
      <c r="AK184" s="30">
        <f>IF(AN184=12,J184,0)</f>
        <v>0</v>
      </c>
      <c r="AL184" s="30">
        <f>IF(AN184=21,J184,0)</f>
        <v>0</v>
      </c>
      <c r="AN184" s="30">
        <v>12</v>
      </c>
      <c r="AO184" s="30">
        <f>G184*0</f>
        <v>0</v>
      </c>
      <c r="AP184" s="30">
        <f>G184*(1-0)</f>
        <v>0</v>
      </c>
      <c r="AQ184" s="31" t="s">
        <v>53</v>
      </c>
      <c r="AV184" s="30">
        <f>AW184+AX184</f>
        <v>0</v>
      </c>
      <c r="AW184" s="30">
        <f>F184*AO184</f>
        <v>0</v>
      </c>
      <c r="AX184" s="30">
        <f>F184*AP184</f>
        <v>0</v>
      </c>
      <c r="AY184" s="31" t="s">
        <v>532</v>
      </c>
      <c r="AZ184" s="31" t="s">
        <v>533</v>
      </c>
      <c r="BA184" s="10" t="s">
        <v>60</v>
      </c>
      <c r="BC184" s="30">
        <f>AW184+AX184</f>
        <v>0</v>
      </c>
      <c r="BD184" s="30">
        <f>G184/(100-BE184)*100</f>
        <v>0</v>
      </c>
      <c r="BE184" s="30">
        <v>0</v>
      </c>
      <c r="BF184" s="30">
        <f>184</f>
        <v>184</v>
      </c>
      <c r="BH184" s="30">
        <f>F184*AO184</f>
        <v>0</v>
      </c>
      <c r="BI184" s="30">
        <f>F184*AP184</f>
        <v>0</v>
      </c>
      <c r="BJ184" s="30">
        <f>F184*G184</f>
        <v>0</v>
      </c>
      <c r="BK184" s="30"/>
      <c r="BL184" s="30">
        <v>95</v>
      </c>
      <c r="BW184" s="30">
        <v>12</v>
      </c>
      <c r="BX184" s="4" t="s">
        <v>531</v>
      </c>
    </row>
    <row r="185" spans="1:76" x14ac:dyDescent="0.25">
      <c r="A185" s="32" t="s">
        <v>534</v>
      </c>
      <c r="B185" s="33" t="s">
        <v>535</v>
      </c>
      <c r="C185" s="139" t="s">
        <v>536</v>
      </c>
      <c r="D185" s="140"/>
      <c r="E185" s="33" t="s">
        <v>56</v>
      </c>
      <c r="F185" s="34">
        <v>1</v>
      </c>
      <c r="G185" s="35">
        <v>0</v>
      </c>
      <c r="H185" s="34">
        <f>F185*AO185</f>
        <v>0</v>
      </c>
      <c r="I185" s="34">
        <f>F185*AP185</f>
        <v>0</v>
      </c>
      <c r="J185" s="34">
        <f>F185*G185</f>
        <v>0</v>
      </c>
      <c r="K185" s="36" t="s">
        <v>57</v>
      </c>
      <c r="Z185" s="30">
        <f>IF(AQ185="5",BJ185,0)</f>
        <v>0</v>
      </c>
      <c r="AB185" s="30">
        <f>IF(AQ185="1",BH185,0)</f>
        <v>0</v>
      </c>
      <c r="AC185" s="30">
        <f>IF(AQ185="1",BI185,0)</f>
        <v>0</v>
      </c>
      <c r="AD185" s="30">
        <f>IF(AQ185="7",BH185,0)</f>
        <v>0</v>
      </c>
      <c r="AE185" s="30">
        <f>IF(AQ185="7",BI185,0)</f>
        <v>0</v>
      </c>
      <c r="AF185" s="30">
        <f>IF(AQ185="2",BH185,0)</f>
        <v>0</v>
      </c>
      <c r="AG185" s="30">
        <f>IF(AQ185="2",BI185,0)</f>
        <v>0</v>
      </c>
      <c r="AH185" s="30">
        <f>IF(AQ185="0",BJ185,0)</f>
        <v>0</v>
      </c>
      <c r="AI185" s="10" t="s">
        <v>50</v>
      </c>
      <c r="AJ185" s="30">
        <f>IF(AN185=0,J185,0)</f>
        <v>0</v>
      </c>
      <c r="AK185" s="30">
        <f>IF(AN185=12,J185,0)</f>
        <v>0</v>
      </c>
      <c r="AL185" s="30">
        <f>IF(AN185=21,J185,0)</f>
        <v>0</v>
      </c>
      <c r="AN185" s="30">
        <v>12</v>
      </c>
      <c r="AO185" s="30">
        <f>G185*0.16970339</f>
        <v>0</v>
      </c>
      <c r="AP185" s="30">
        <f>G185*(1-0.16970339)</f>
        <v>0</v>
      </c>
      <c r="AQ185" s="31" t="s">
        <v>53</v>
      </c>
      <c r="AV185" s="30">
        <f>AW185+AX185</f>
        <v>0</v>
      </c>
      <c r="AW185" s="30">
        <f>F185*AO185</f>
        <v>0</v>
      </c>
      <c r="AX185" s="30">
        <f>F185*AP185</f>
        <v>0</v>
      </c>
      <c r="AY185" s="31" t="s">
        <v>532</v>
      </c>
      <c r="AZ185" s="31" t="s">
        <v>533</v>
      </c>
      <c r="BA185" s="10" t="s">
        <v>60</v>
      </c>
      <c r="BC185" s="30">
        <f>AW185+AX185</f>
        <v>0</v>
      </c>
      <c r="BD185" s="30">
        <f>G185/(100-BE185)*100</f>
        <v>0</v>
      </c>
      <c r="BE185" s="30">
        <v>0</v>
      </c>
      <c r="BF185" s="30">
        <f>185</f>
        <v>185</v>
      </c>
      <c r="BH185" s="30">
        <f>F185*AO185</f>
        <v>0</v>
      </c>
      <c r="BI185" s="30">
        <f>F185*AP185</f>
        <v>0</v>
      </c>
      <c r="BJ185" s="30">
        <f>F185*G185</f>
        <v>0</v>
      </c>
      <c r="BK185" s="30"/>
      <c r="BL185" s="30">
        <v>95</v>
      </c>
      <c r="BW185" s="30">
        <v>12</v>
      </c>
      <c r="BX185" s="4" t="s">
        <v>536</v>
      </c>
    </row>
    <row r="186" spans="1:76" x14ac:dyDescent="0.25">
      <c r="A186" s="32" t="s">
        <v>537</v>
      </c>
      <c r="B186" s="33" t="s">
        <v>538</v>
      </c>
      <c r="C186" s="139" t="s">
        <v>539</v>
      </c>
      <c r="D186" s="140"/>
      <c r="E186" s="33" t="s">
        <v>56</v>
      </c>
      <c r="F186" s="34">
        <v>1</v>
      </c>
      <c r="G186" s="35">
        <v>0</v>
      </c>
      <c r="H186" s="34">
        <f>F186*AO186</f>
        <v>0</v>
      </c>
      <c r="I186" s="34">
        <f>F186*AP186</f>
        <v>0</v>
      </c>
      <c r="J186" s="34">
        <f>F186*G186</f>
        <v>0</v>
      </c>
      <c r="K186" s="36" t="s">
        <v>57</v>
      </c>
      <c r="Z186" s="30">
        <f>IF(AQ186="5",BJ186,0)</f>
        <v>0</v>
      </c>
      <c r="AB186" s="30">
        <f>IF(AQ186="1",BH186,0)</f>
        <v>0</v>
      </c>
      <c r="AC186" s="30">
        <f>IF(AQ186="1",BI186,0)</f>
        <v>0</v>
      </c>
      <c r="AD186" s="30">
        <f>IF(AQ186="7",BH186,0)</f>
        <v>0</v>
      </c>
      <c r="AE186" s="30">
        <f>IF(AQ186="7",BI186,0)</f>
        <v>0</v>
      </c>
      <c r="AF186" s="30">
        <f>IF(AQ186="2",BH186,0)</f>
        <v>0</v>
      </c>
      <c r="AG186" s="30">
        <f>IF(AQ186="2",BI186,0)</f>
        <v>0</v>
      </c>
      <c r="AH186" s="30">
        <f>IF(AQ186="0",BJ186,0)</f>
        <v>0</v>
      </c>
      <c r="AI186" s="10" t="s">
        <v>50</v>
      </c>
      <c r="AJ186" s="30">
        <f>IF(AN186=0,J186,0)</f>
        <v>0</v>
      </c>
      <c r="AK186" s="30">
        <f>IF(AN186=12,J186,0)</f>
        <v>0</v>
      </c>
      <c r="AL186" s="30">
        <f>IF(AN186=21,J186,0)</f>
        <v>0</v>
      </c>
      <c r="AN186" s="30">
        <v>12</v>
      </c>
      <c r="AO186" s="30">
        <f>G186*1</f>
        <v>0</v>
      </c>
      <c r="AP186" s="30">
        <f>G186*(1-1)</f>
        <v>0</v>
      </c>
      <c r="AQ186" s="31" t="s">
        <v>53</v>
      </c>
      <c r="AV186" s="30">
        <f>AW186+AX186</f>
        <v>0</v>
      </c>
      <c r="AW186" s="30">
        <f>F186*AO186</f>
        <v>0</v>
      </c>
      <c r="AX186" s="30">
        <f>F186*AP186</f>
        <v>0</v>
      </c>
      <c r="AY186" s="31" t="s">
        <v>532</v>
      </c>
      <c r="AZ186" s="31" t="s">
        <v>533</v>
      </c>
      <c r="BA186" s="10" t="s">
        <v>60</v>
      </c>
      <c r="BC186" s="30">
        <f>AW186+AX186</f>
        <v>0</v>
      </c>
      <c r="BD186" s="30">
        <f>G186/(100-BE186)*100</f>
        <v>0</v>
      </c>
      <c r="BE186" s="30">
        <v>0</v>
      </c>
      <c r="BF186" s="30">
        <f>186</f>
        <v>186</v>
      </c>
      <c r="BH186" s="30">
        <f>F186*AO186</f>
        <v>0</v>
      </c>
      <c r="BI186" s="30">
        <f>F186*AP186</f>
        <v>0</v>
      </c>
      <c r="BJ186" s="30">
        <f>F186*G186</f>
        <v>0</v>
      </c>
      <c r="BK186" s="30"/>
      <c r="BL186" s="30">
        <v>95</v>
      </c>
      <c r="BW186" s="30">
        <v>12</v>
      </c>
      <c r="BX186" s="4" t="s">
        <v>539</v>
      </c>
    </row>
    <row r="187" spans="1:76" x14ac:dyDescent="0.25">
      <c r="A187" s="32" t="s">
        <v>540</v>
      </c>
      <c r="B187" s="33" t="s">
        <v>541</v>
      </c>
      <c r="C187" s="139" t="s">
        <v>542</v>
      </c>
      <c r="D187" s="140"/>
      <c r="E187" s="33" t="s">
        <v>56</v>
      </c>
      <c r="F187" s="34">
        <v>1</v>
      </c>
      <c r="G187" s="35">
        <v>0</v>
      </c>
      <c r="H187" s="34">
        <f>F187*AO187</f>
        <v>0</v>
      </c>
      <c r="I187" s="34">
        <f>F187*AP187</f>
        <v>0</v>
      </c>
      <c r="J187" s="34">
        <f>F187*G187</f>
        <v>0</v>
      </c>
      <c r="K187" s="36" t="s">
        <v>57</v>
      </c>
      <c r="Z187" s="30">
        <f>IF(AQ187="5",BJ187,0)</f>
        <v>0</v>
      </c>
      <c r="AB187" s="30">
        <f>IF(AQ187="1",BH187,0)</f>
        <v>0</v>
      </c>
      <c r="AC187" s="30">
        <f>IF(AQ187="1",BI187,0)</f>
        <v>0</v>
      </c>
      <c r="AD187" s="30">
        <f>IF(AQ187="7",BH187,0)</f>
        <v>0</v>
      </c>
      <c r="AE187" s="30">
        <f>IF(AQ187="7",BI187,0)</f>
        <v>0</v>
      </c>
      <c r="AF187" s="30">
        <f>IF(AQ187="2",BH187,0)</f>
        <v>0</v>
      </c>
      <c r="AG187" s="30">
        <f>IF(AQ187="2",BI187,0)</f>
        <v>0</v>
      </c>
      <c r="AH187" s="30">
        <f>IF(AQ187="0",BJ187,0)</f>
        <v>0</v>
      </c>
      <c r="AI187" s="10" t="s">
        <v>50</v>
      </c>
      <c r="AJ187" s="30">
        <f>IF(AN187=0,J187,0)</f>
        <v>0</v>
      </c>
      <c r="AK187" s="30">
        <f>IF(AN187=12,J187,0)</f>
        <v>0</v>
      </c>
      <c r="AL187" s="30">
        <f>IF(AN187=21,J187,0)</f>
        <v>0</v>
      </c>
      <c r="AN187" s="30">
        <v>12</v>
      </c>
      <c r="AO187" s="30">
        <f>G187*0</f>
        <v>0</v>
      </c>
      <c r="AP187" s="30">
        <f>G187*(1-0)</f>
        <v>0</v>
      </c>
      <c r="AQ187" s="31" t="s">
        <v>61</v>
      </c>
      <c r="AV187" s="30">
        <f>AW187+AX187</f>
        <v>0</v>
      </c>
      <c r="AW187" s="30">
        <f>F187*AO187</f>
        <v>0</v>
      </c>
      <c r="AX187" s="30">
        <f>F187*AP187</f>
        <v>0</v>
      </c>
      <c r="AY187" s="31" t="s">
        <v>532</v>
      </c>
      <c r="AZ187" s="31" t="s">
        <v>533</v>
      </c>
      <c r="BA187" s="10" t="s">
        <v>60</v>
      </c>
      <c r="BC187" s="30">
        <f>AW187+AX187</f>
        <v>0</v>
      </c>
      <c r="BD187" s="30">
        <f>G187/(100-BE187)*100</f>
        <v>0</v>
      </c>
      <c r="BE187" s="30">
        <v>0</v>
      </c>
      <c r="BF187" s="30">
        <f>187</f>
        <v>187</v>
      </c>
      <c r="BH187" s="30">
        <f>F187*AO187</f>
        <v>0</v>
      </c>
      <c r="BI187" s="30">
        <f>F187*AP187</f>
        <v>0</v>
      </c>
      <c r="BJ187" s="30">
        <f>F187*G187</f>
        <v>0</v>
      </c>
      <c r="BK187" s="30"/>
      <c r="BL187" s="30">
        <v>95</v>
      </c>
      <c r="BW187" s="30">
        <v>12</v>
      </c>
      <c r="BX187" s="4" t="s">
        <v>542</v>
      </c>
    </row>
    <row r="188" spans="1:76" x14ac:dyDescent="0.25">
      <c r="A188" s="39" t="s">
        <v>50</v>
      </c>
      <c r="B188" s="40" t="s">
        <v>543</v>
      </c>
      <c r="C188" s="145" t="s">
        <v>544</v>
      </c>
      <c r="D188" s="146"/>
      <c r="E188" s="41" t="s">
        <v>4</v>
      </c>
      <c r="F188" s="41" t="s">
        <v>4</v>
      </c>
      <c r="G188" s="42" t="s">
        <v>4</v>
      </c>
      <c r="H188" s="43">
        <f>SUM(H189:H227)</f>
        <v>0</v>
      </c>
      <c r="I188" s="43">
        <f>SUM(I189:I227)</f>
        <v>0</v>
      </c>
      <c r="J188" s="43">
        <f>SUM(J189:J227)</f>
        <v>0</v>
      </c>
      <c r="K188" s="44" t="s">
        <v>50</v>
      </c>
      <c r="AI188" s="10" t="s">
        <v>50</v>
      </c>
      <c r="AS188" s="1">
        <f>SUM(AJ189:AJ227)</f>
        <v>0</v>
      </c>
      <c r="AT188" s="1">
        <f>SUM(AK189:AK227)</f>
        <v>0</v>
      </c>
      <c r="AU188" s="1">
        <f>SUM(AL189:AL227)</f>
        <v>0</v>
      </c>
    </row>
    <row r="189" spans="1:76" x14ac:dyDescent="0.25">
      <c r="A189" s="25" t="s">
        <v>545</v>
      </c>
      <c r="B189" s="26" t="s">
        <v>546</v>
      </c>
      <c r="C189" s="137" t="s">
        <v>547</v>
      </c>
      <c r="D189" s="138"/>
      <c r="E189" s="26" t="s">
        <v>548</v>
      </c>
      <c r="F189" s="27">
        <v>1</v>
      </c>
      <c r="G189" s="28">
        <v>0</v>
      </c>
      <c r="H189" s="27">
        <f t="shared" ref="H189:H203" si="198">F189*AO189</f>
        <v>0</v>
      </c>
      <c r="I189" s="27">
        <f t="shared" ref="I189:I203" si="199">F189*AP189</f>
        <v>0</v>
      </c>
      <c r="J189" s="27">
        <f t="shared" ref="J189:J203" si="200">F189*G189</f>
        <v>0</v>
      </c>
      <c r="K189" s="29" t="s">
        <v>57</v>
      </c>
      <c r="Z189" s="30">
        <f t="shared" ref="Z189:Z203" si="201">IF(AQ189="5",BJ189,0)</f>
        <v>0</v>
      </c>
      <c r="AB189" s="30">
        <f t="shared" ref="AB189:AB203" si="202">IF(AQ189="1",BH189,0)</f>
        <v>0</v>
      </c>
      <c r="AC189" s="30">
        <f t="shared" ref="AC189:AC203" si="203">IF(AQ189="1",BI189,0)</f>
        <v>0</v>
      </c>
      <c r="AD189" s="30">
        <f t="shared" ref="AD189:AD203" si="204">IF(AQ189="7",BH189,0)</f>
        <v>0</v>
      </c>
      <c r="AE189" s="30">
        <f t="shared" ref="AE189:AE203" si="205">IF(AQ189="7",BI189,0)</f>
        <v>0</v>
      </c>
      <c r="AF189" s="30">
        <f t="shared" ref="AF189:AF203" si="206">IF(AQ189="2",BH189,0)</f>
        <v>0</v>
      </c>
      <c r="AG189" s="30">
        <f t="shared" ref="AG189:AG203" si="207">IF(AQ189="2",BI189,0)</f>
        <v>0</v>
      </c>
      <c r="AH189" s="30">
        <f t="shared" ref="AH189:AH203" si="208">IF(AQ189="0",BJ189,0)</f>
        <v>0</v>
      </c>
      <c r="AI189" s="10" t="s">
        <v>50</v>
      </c>
      <c r="AJ189" s="30">
        <f t="shared" ref="AJ189:AJ203" si="209">IF(AN189=0,J189,0)</f>
        <v>0</v>
      </c>
      <c r="AK189" s="30">
        <f t="shared" ref="AK189:AK203" si="210">IF(AN189=12,J189,0)</f>
        <v>0</v>
      </c>
      <c r="AL189" s="30">
        <f t="shared" ref="AL189:AL203" si="211">IF(AN189=21,J189,0)</f>
        <v>0</v>
      </c>
      <c r="AN189" s="30">
        <v>12</v>
      </c>
      <c r="AO189" s="30">
        <f>G189*0.064178968</f>
        <v>0</v>
      </c>
      <c r="AP189" s="30">
        <f>G189*(1-0.064178968)</f>
        <v>0</v>
      </c>
      <c r="AQ189" s="31" t="s">
        <v>61</v>
      </c>
      <c r="AV189" s="30">
        <f t="shared" ref="AV189:AV203" si="212">AW189+AX189</f>
        <v>0</v>
      </c>
      <c r="AW189" s="30">
        <f t="shared" ref="AW189:AW203" si="213">F189*AO189</f>
        <v>0</v>
      </c>
      <c r="AX189" s="30">
        <f t="shared" ref="AX189:AX203" si="214">F189*AP189</f>
        <v>0</v>
      </c>
      <c r="AY189" s="31" t="s">
        <v>549</v>
      </c>
      <c r="AZ189" s="31" t="s">
        <v>533</v>
      </c>
      <c r="BA189" s="10" t="s">
        <v>60</v>
      </c>
      <c r="BC189" s="30">
        <f t="shared" ref="BC189:BC203" si="215">AW189+AX189</f>
        <v>0</v>
      </c>
      <c r="BD189" s="30">
        <f t="shared" ref="BD189:BD203" si="216">G189/(100-BE189)*100</f>
        <v>0</v>
      </c>
      <c r="BE189" s="30">
        <v>0</v>
      </c>
      <c r="BF189" s="30">
        <f>189</f>
        <v>189</v>
      </c>
      <c r="BH189" s="30">
        <f t="shared" ref="BH189:BH203" si="217">F189*AO189</f>
        <v>0</v>
      </c>
      <c r="BI189" s="30">
        <f t="shared" ref="BI189:BI203" si="218">F189*AP189</f>
        <v>0</v>
      </c>
      <c r="BJ189" s="30">
        <f t="shared" ref="BJ189:BJ203" si="219">F189*G189</f>
        <v>0</v>
      </c>
      <c r="BK189" s="30"/>
      <c r="BL189" s="30"/>
      <c r="BW189" s="30">
        <v>12</v>
      </c>
      <c r="BX189" s="4" t="s">
        <v>547</v>
      </c>
    </row>
    <row r="190" spans="1:76" x14ac:dyDescent="0.25">
      <c r="A190" s="32" t="s">
        <v>550</v>
      </c>
      <c r="B190" s="33" t="s">
        <v>551</v>
      </c>
      <c r="C190" s="139" t="s">
        <v>552</v>
      </c>
      <c r="D190" s="140"/>
      <c r="E190" s="33" t="s">
        <v>56</v>
      </c>
      <c r="F190" s="34">
        <v>1</v>
      </c>
      <c r="G190" s="35">
        <v>0</v>
      </c>
      <c r="H190" s="34">
        <f t="shared" si="198"/>
        <v>0</v>
      </c>
      <c r="I190" s="34">
        <f t="shared" si="199"/>
        <v>0</v>
      </c>
      <c r="J190" s="34">
        <f t="shared" si="200"/>
        <v>0</v>
      </c>
      <c r="K190" s="36" t="s">
        <v>57</v>
      </c>
      <c r="Z190" s="30">
        <f t="shared" si="201"/>
        <v>0</v>
      </c>
      <c r="AB190" s="30">
        <f t="shared" si="202"/>
        <v>0</v>
      </c>
      <c r="AC190" s="30">
        <f t="shared" si="203"/>
        <v>0</v>
      </c>
      <c r="AD190" s="30">
        <f t="shared" si="204"/>
        <v>0</v>
      </c>
      <c r="AE190" s="30">
        <f t="shared" si="205"/>
        <v>0</v>
      </c>
      <c r="AF190" s="30">
        <f t="shared" si="206"/>
        <v>0</v>
      </c>
      <c r="AG190" s="30">
        <f t="shared" si="207"/>
        <v>0</v>
      </c>
      <c r="AH190" s="30">
        <f t="shared" si="208"/>
        <v>0</v>
      </c>
      <c r="AI190" s="10" t="s">
        <v>50</v>
      </c>
      <c r="AJ190" s="30">
        <f t="shared" si="209"/>
        <v>0</v>
      </c>
      <c r="AK190" s="30">
        <f t="shared" si="210"/>
        <v>0</v>
      </c>
      <c r="AL190" s="30">
        <f t="shared" si="211"/>
        <v>0</v>
      </c>
      <c r="AN190" s="30">
        <v>12</v>
      </c>
      <c r="AO190" s="30">
        <f>G190*0</f>
        <v>0</v>
      </c>
      <c r="AP190" s="30">
        <f>G190*(1-0)</f>
        <v>0</v>
      </c>
      <c r="AQ190" s="31" t="s">
        <v>61</v>
      </c>
      <c r="AV190" s="30">
        <f t="shared" si="212"/>
        <v>0</v>
      </c>
      <c r="AW190" s="30">
        <f t="shared" si="213"/>
        <v>0</v>
      </c>
      <c r="AX190" s="30">
        <f t="shared" si="214"/>
        <v>0</v>
      </c>
      <c r="AY190" s="31" t="s">
        <v>549</v>
      </c>
      <c r="AZ190" s="31" t="s">
        <v>533</v>
      </c>
      <c r="BA190" s="10" t="s">
        <v>60</v>
      </c>
      <c r="BC190" s="30">
        <f t="shared" si="215"/>
        <v>0</v>
      </c>
      <c r="BD190" s="30">
        <f t="shared" si="216"/>
        <v>0</v>
      </c>
      <c r="BE190" s="30">
        <v>0</v>
      </c>
      <c r="BF190" s="30">
        <f>190</f>
        <v>190</v>
      </c>
      <c r="BH190" s="30">
        <f t="shared" si="217"/>
        <v>0</v>
      </c>
      <c r="BI190" s="30">
        <f t="shared" si="218"/>
        <v>0</v>
      </c>
      <c r="BJ190" s="30">
        <f t="shared" si="219"/>
        <v>0</v>
      </c>
      <c r="BK190" s="30"/>
      <c r="BL190" s="30"/>
      <c r="BW190" s="30">
        <v>12</v>
      </c>
      <c r="BX190" s="4" t="s">
        <v>552</v>
      </c>
    </row>
    <row r="191" spans="1:76" x14ac:dyDescent="0.25">
      <c r="A191" s="32" t="s">
        <v>553</v>
      </c>
      <c r="B191" s="33" t="s">
        <v>554</v>
      </c>
      <c r="C191" s="139" t="s">
        <v>555</v>
      </c>
      <c r="D191" s="140"/>
      <c r="E191" s="33" t="s">
        <v>56</v>
      </c>
      <c r="F191" s="34">
        <v>1</v>
      </c>
      <c r="G191" s="35">
        <v>0</v>
      </c>
      <c r="H191" s="34">
        <f t="shared" si="198"/>
        <v>0</v>
      </c>
      <c r="I191" s="34">
        <f t="shared" si="199"/>
        <v>0</v>
      </c>
      <c r="J191" s="34">
        <f t="shared" si="200"/>
        <v>0</v>
      </c>
      <c r="K191" s="36" t="s">
        <v>57</v>
      </c>
      <c r="Z191" s="30">
        <f t="shared" si="201"/>
        <v>0</v>
      </c>
      <c r="AB191" s="30">
        <f t="shared" si="202"/>
        <v>0</v>
      </c>
      <c r="AC191" s="30">
        <f t="shared" si="203"/>
        <v>0</v>
      </c>
      <c r="AD191" s="30">
        <f t="shared" si="204"/>
        <v>0</v>
      </c>
      <c r="AE191" s="30">
        <f t="shared" si="205"/>
        <v>0</v>
      </c>
      <c r="AF191" s="30">
        <f t="shared" si="206"/>
        <v>0</v>
      </c>
      <c r="AG191" s="30">
        <f t="shared" si="207"/>
        <v>0</v>
      </c>
      <c r="AH191" s="30">
        <f t="shared" si="208"/>
        <v>0</v>
      </c>
      <c r="AI191" s="10" t="s">
        <v>50</v>
      </c>
      <c r="AJ191" s="30">
        <f t="shared" si="209"/>
        <v>0</v>
      </c>
      <c r="AK191" s="30">
        <f t="shared" si="210"/>
        <v>0</v>
      </c>
      <c r="AL191" s="30">
        <f t="shared" si="211"/>
        <v>0</v>
      </c>
      <c r="AN191" s="30">
        <v>12</v>
      </c>
      <c r="AO191" s="30">
        <f>G191*1</f>
        <v>0</v>
      </c>
      <c r="AP191" s="30">
        <f>G191*(1-1)</f>
        <v>0</v>
      </c>
      <c r="AQ191" s="31" t="s">
        <v>53</v>
      </c>
      <c r="AV191" s="30">
        <f t="shared" si="212"/>
        <v>0</v>
      </c>
      <c r="AW191" s="30">
        <f t="shared" si="213"/>
        <v>0</v>
      </c>
      <c r="AX191" s="30">
        <f t="shared" si="214"/>
        <v>0</v>
      </c>
      <c r="AY191" s="31" t="s">
        <v>549</v>
      </c>
      <c r="AZ191" s="31" t="s">
        <v>533</v>
      </c>
      <c r="BA191" s="10" t="s">
        <v>60</v>
      </c>
      <c r="BC191" s="30">
        <f t="shared" si="215"/>
        <v>0</v>
      </c>
      <c r="BD191" s="30">
        <f t="shared" si="216"/>
        <v>0</v>
      </c>
      <c r="BE191" s="30">
        <v>0</v>
      </c>
      <c r="BF191" s="30">
        <f>191</f>
        <v>191</v>
      </c>
      <c r="BH191" s="30">
        <f t="shared" si="217"/>
        <v>0</v>
      </c>
      <c r="BI191" s="30">
        <f t="shared" si="218"/>
        <v>0</v>
      </c>
      <c r="BJ191" s="30">
        <f t="shared" si="219"/>
        <v>0</v>
      </c>
      <c r="BK191" s="30"/>
      <c r="BL191" s="30"/>
      <c r="BW191" s="30">
        <v>12</v>
      </c>
      <c r="BX191" s="4" t="s">
        <v>555</v>
      </c>
    </row>
    <row r="192" spans="1:76" x14ac:dyDescent="0.25">
      <c r="A192" s="32" t="s">
        <v>556</v>
      </c>
      <c r="B192" s="33" t="s">
        <v>557</v>
      </c>
      <c r="C192" s="139" t="s">
        <v>558</v>
      </c>
      <c r="D192" s="140"/>
      <c r="E192" s="33" t="s">
        <v>56</v>
      </c>
      <c r="F192" s="34">
        <v>1</v>
      </c>
      <c r="G192" s="35">
        <v>0</v>
      </c>
      <c r="H192" s="34">
        <f t="shared" si="198"/>
        <v>0</v>
      </c>
      <c r="I192" s="34">
        <f t="shared" si="199"/>
        <v>0</v>
      </c>
      <c r="J192" s="34">
        <f t="shared" si="200"/>
        <v>0</v>
      </c>
      <c r="K192" s="36" t="s">
        <v>57</v>
      </c>
      <c r="Z192" s="30">
        <f t="shared" si="201"/>
        <v>0</v>
      </c>
      <c r="AB192" s="30">
        <f t="shared" si="202"/>
        <v>0</v>
      </c>
      <c r="AC192" s="30">
        <f t="shared" si="203"/>
        <v>0</v>
      </c>
      <c r="AD192" s="30">
        <f t="shared" si="204"/>
        <v>0</v>
      </c>
      <c r="AE192" s="30">
        <f t="shared" si="205"/>
        <v>0</v>
      </c>
      <c r="AF192" s="30">
        <f t="shared" si="206"/>
        <v>0</v>
      </c>
      <c r="AG192" s="30">
        <f t="shared" si="207"/>
        <v>0</v>
      </c>
      <c r="AH192" s="30">
        <f t="shared" si="208"/>
        <v>0</v>
      </c>
      <c r="AI192" s="10" t="s">
        <v>50</v>
      </c>
      <c r="AJ192" s="30">
        <f t="shared" si="209"/>
        <v>0</v>
      </c>
      <c r="AK192" s="30">
        <f t="shared" si="210"/>
        <v>0</v>
      </c>
      <c r="AL192" s="30">
        <f t="shared" si="211"/>
        <v>0</v>
      </c>
      <c r="AN192" s="30">
        <v>12</v>
      </c>
      <c r="AO192" s="30">
        <f>G192*0</f>
        <v>0</v>
      </c>
      <c r="AP192" s="30">
        <f>G192*(1-0)</f>
        <v>0</v>
      </c>
      <c r="AQ192" s="31" t="s">
        <v>61</v>
      </c>
      <c r="AV192" s="30">
        <f t="shared" si="212"/>
        <v>0</v>
      </c>
      <c r="AW192" s="30">
        <f t="shared" si="213"/>
        <v>0</v>
      </c>
      <c r="AX192" s="30">
        <f t="shared" si="214"/>
        <v>0</v>
      </c>
      <c r="AY192" s="31" t="s">
        <v>549</v>
      </c>
      <c r="AZ192" s="31" t="s">
        <v>533</v>
      </c>
      <c r="BA192" s="10" t="s">
        <v>60</v>
      </c>
      <c r="BC192" s="30">
        <f t="shared" si="215"/>
        <v>0</v>
      </c>
      <c r="BD192" s="30">
        <f t="shared" si="216"/>
        <v>0</v>
      </c>
      <c r="BE192" s="30">
        <v>0</v>
      </c>
      <c r="BF192" s="30">
        <f>192</f>
        <v>192</v>
      </c>
      <c r="BH192" s="30">
        <f t="shared" si="217"/>
        <v>0</v>
      </c>
      <c r="BI192" s="30">
        <f t="shared" si="218"/>
        <v>0</v>
      </c>
      <c r="BJ192" s="30">
        <f t="shared" si="219"/>
        <v>0</v>
      </c>
      <c r="BK192" s="30"/>
      <c r="BL192" s="30"/>
      <c r="BW192" s="30">
        <v>12</v>
      </c>
      <c r="BX192" s="4" t="s">
        <v>558</v>
      </c>
    </row>
    <row r="193" spans="1:76" x14ac:dyDescent="0.25">
      <c r="A193" s="32" t="s">
        <v>559</v>
      </c>
      <c r="B193" s="33" t="s">
        <v>560</v>
      </c>
      <c r="C193" s="139" t="s">
        <v>561</v>
      </c>
      <c r="D193" s="140"/>
      <c r="E193" s="33" t="s">
        <v>56</v>
      </c>
      <c r="F193" s="34">
        <v>1</v>
      </c>
      <c r="G193" s="35">
        <v>0</v>
      </c>
      <c r="H193" s="34">
        <f t="shared" si="198"/>
        <v>0</v>
      </c>
      <c r="I193" s="34">
        <f t="shared" si="199"/>
        <v>0</v>
      </c>
      <c r="J193" s="34">
        <f t="shared" si="200"/>
        <v>0</v>
      </c>
      <c r="K193" s="36" t="s">
        <v>57</v>
      </c>
      <c r="Z193" s="30">
        <f t="shared" si="201"/>
        <v>0</v>
      </c>
      <c r="AB193" s="30">
        <f t="shared" si="202"/>
        <v>0</v>
      </c>
      <c r="AC193" s="30">
        <f t="shared" si="203"/>
        <v>0</v>
      </c>
      <c r="AD193" s="30">
        <f t="shared" si="204"/>
        <v>0</v>
      </c>
      <c r="AE193" s="30">
        <f t="shared" si="205"/>
        <v>0</v>
      </c>
      <c r="AF193" s="30">
        <f t="shared" si="206"/>
        <v>0</v>
      </c>
      <c r="AG193" s="30">
        <f t="shared" si="207"/>
        <v>0</v>
      </c>
      <c r="AH193" s="30">
        <f t="shared" si="208"/>
        <v>0</v>
      </c>
      <c r="AI193" s="10" t="s">
        <v>50</v>
      </c>
      <c r="AJ193" s="30">
        <f t="shared" si="209"/>
        <v>0</v>
      </c>
      <c r="AK193" s="30">
        <f t="shared" si="210"/>
        <v>0</v>
      </c>
      <c r="AL193" s="30">
        <f t="shared" si="211"/>
        <v>0</v>
      </c>
      <c r="AN193" s="30">
        <v>12</v>
      </c>
      <c r="AO193" s="30">
        <f>G193*1</f>
        <v>0</v>
      </c>
      <c r="AP193" s="30">
        <f>G193*(1-1)</f>
        <v>0</v>
      </c>
      <c r="AQ193" s="31" t="s">
        <v>53</v>
      </c>
      <c r="AV193" s="30">
        <f t="shared" si="212"/>
        <v>0</v>
      </c>
      <c r="AW193" s="30">
        <f t="shared" si="213"/>
        <v>0</v>
      </c>
      <c r="AX193" s="30">
        <f t="shared" si="214"/>
        <v>0</v>
      </c>
      <c r="AY193" s="31" t="s">
        <v>549</v>
      </c>
      <c r="AZ193" s="31" t="s">
        <v>533</v>
      </c>
      <c r="BA193" s="10" t="s">
        <v>60</v>
      </c>
      <c r="BC193" s="30">
        <f t="shared" si="215"/>
        <v>0</v>
      </c>
      <c r="BD193" s="30">
        <f t="shared" si="216"/>
        <v>0</v>
      </c>
      <c r="BE193" s="30">
        <v>0</v>
      </c>
      <c r="BF193" s="30">
        <f>193</f>
        <v>193</v>
      </c>
      <c r="BH193" s="30">
        <f t="shared" si="217"/>
        <v>0</v>
      </c>
      <c r="BI193" s="30">
        <f t="shared" si="218"/>
        <v>0</v>
      </c>
      <c r="BJ193" s="30">
        <f t="shared" si="219"/>
        <v>0</v>
      </c>
      <c r="BK193" s="30"/>
      <c r="BL193" s="30"/>
      <c r="BW193" s="30">
        <v>12</v>
      </c>
      <c r="BX193" s="4" t="s">
        <v>561</v>
      </c>
    </row>
    <row r="194" spans="1:76" x14ac:dyDescent="0.25">
      <c r="A194" s="32" t="s">
        <v>562</v>
      </c>
      <c r="B194" s="33" t="s">
        <v>563</v>
      </c>
      <c r="C194" s="139" t="s">
        <v>564</v>
      </c>
      <c r="D194" s="140"/>
      <c r="E194" s="33" t="s">
        <v>56</v>
      </c>
      <c r="F194" s="34">
        <v>1</v>
      </c>
      <c r="G194" s="35">
        <v>0</v>
      </c>
      <c r="H194" s="34">
        <f t="shared" si="198"/>
        <v>0</v>
      </c>
      <c r="I194" s="34">
        <f t="shared" si="199"/>
        <v>0</v>
      </c>
      <c r="J194" s="34">
        <f t="shared" si="200"/>
        <v>0</v>
      </c>
      <c r="K194" s="36" t="s">
        <v>57</v>
      </c>
      <c r="Z194" s="30">
        <f t="shared" si="201"/>
        <v>0</v>
      </c>
      <c r="AB194" s="30">
        <f t="shared" si="202"/>
        <v>0</v>
      </c>
      <c r="AC194" s="30">
        <f t="shared" si="203"/>
        <v>0</v>
      </c>
      <c r="AD194" s="30">
        <f t="shared" si="204"/>
        <v>0</v>
      </c>
      <c r="AE194" s="30">
        <f t="shared" si="205"/>
        <v>0</v>
      </c>
      <c r="AF194" s="30">
        <f t="shared" si="206"/>
        <v>0</v>
      </c>
      <c r="AG194" s="30">
        <f t="shared" si="207"/>
        <v>0</v>
      </c>
      <c r="AH194" s="30">
        <f t="shared" si="208"/>
        <v>0</v>
      </c>
      <c r="AI194" s="10" t="s">
        <v>50</v>
      </c>
      <c r="AJ194" s="30">
        <f t="shared" si="209"/>
        <v>0</v>
      </c>
      <c r="AK194" s="30">
        <f t="shared" si="210"/>
        <v>0</v>
      </c>
      <c r="AL194" s="30">
        <f t="shared" si="211"/>
        <v>0</v>
      </c>
      <c r="AN194" s="30">
        <v>12</v>
      </c>
      <c r="AO194" s="30">
        <f>G194*0</f>
        <v>0</v>
      </c>
      <c r="AP194" s="30">
        <f>G194*(1-0)</f>
        <v>0</v>
      </c>
      <c r="AQ194" s="31" t="s">
        <v>61</v>
      </c>
      <c r="AV194" s="30">
        <f t="shared" si="212"/>
        <v>0</v>
      </c>
      <c r="AW194" s="30">
        <f t="shared" si="213"/>
        <v>0</v>
      </c>
      <c r="AX194" s="30">
        <f t="shared" si="214"/>
        <v>0</v>
      </c>
      <c r="AY194" s="31" t="s">
        <v>549</v>
      </c>
      <c r="AZ194" s="31" t="s">
        <v>533</v>
      </c>
      <c r="BA194" s="10" t="s">
        <v>60</v>
      </c>
      <c r="BC194" s="30">
        <f t="shared" si="215"/>
        <v>0</v>
      </c>
      <c r="BD194" s="30">
        <f t="shared" si="216"/>
        <v>0</v>
      </c>
      <c r="BE194" s="30">
        <v>0</v>
      </c>
      <c r="BF194" s="30">
        <f>194</f>
        <v>194</v>
      </c>
      <c r="BH194" s="30">
        <f t="shared" si="217"/>
        <v>0</v>
      </c>
      <c r="BI194" s="30">
        <f t="shared" si="218"/>
        <v>0</v>
      </c>
      <c r="BJ194" s="30">
        <f t="shared" si="219"/>
        <v>0</v>
      </c>
      <c r="BK194" s="30"/>
      <c r="BL194" s="30"/>
      <c r="BW194" s="30">
        <v>12</v>
      </c>
      <c r="BX194" s="4" t="s">
        <v>564</v>
      </c>
    </row>
    <row r="195" spans="1:76" x14ac:dyDescent="0.25">
      <c r="A195" s="32" t="s">
        <v>565</v>
      </c>
      <c r="B195" s="33" t="s">
        <v>566</v>
      </c>
      <c r="C195" s="139" t="s">
        <v>567</v>
      </c>
      <c r="D195" s="140"/>
      <c r="E195" s="33" t="s">
        <v>56</v>
      </c>
      <c r="F195" s="34">
        <v>1</v>
      </c>
      <c r="G195" s="35">
        <v>0</v>
      </c>
      <c r="H195" s="34">
        <f t="shared" si="198"/>
        <v>0</v>
      </c>
      <c r="I195" s="34">
        <f t="shared" si="199"/>
        <v>0</v>
      </c>
      <c r="J195" s="34">
        <f t="shared" si="200"/>
        <v>0</v>
      </c>
      <c r="K195" s="36" t="s">
        <v>57</v>
      </c>
      <c r="Z195" s="30">
        <f t="shared" si="201"/>
        <v>0</v>
      </c>
      <c r="AB195" s="30">
        <f t="shared" si="202"/>
        <v>0</v>
      </c>
      <c r="AC195" s="30">
        <f t="shared" si="203"/>
        <v>0</v>
      </c>
      <c r="AD195" s="30">
        <f t="shared" si="204"/>
        <v>0</v>
      </c>
      <c r="AE195" s="30">
        <f t="shared" si="205"/>
        <v>0</v>
      </c>
      <c r="AF195" s="30">
        <f t="shared" si="206"/>
        <v>0</v>
      </c>
      <c r="AG195" s="30">
        <f t="shared" si="207"/>
        <v>0</v>
      </c>
      <c r="AH195" s="30">
        <f t="shared" si="208"/>
        <v>0</v>
      </c>
      <c r="AI195" s="10" t="s">
        <v>50</v>
      </c>
      <c r="AJ195" s="30">
        <f t="shared" si="209"/>
        <v>0</v>
      </c>
      <c r="AK195" s="30">
        <f t="shared" si="210"/>
        <v>0</v>
      </c>
      <c r="AL195" s="30">
        <f t="shared" si="211"/>
        <v>0</v>
      </c>
      <c r="AN195" s="30">
        <v>12</v>
      </c>
      <c r="AO195" s="30">
        <f>G195*1</f>
        <v>0</v>
      </c>
      <c r="AP195" s="30">
        <f>G195*(1-1)</f>
        <v>0</v>
      </c>
      <c r="AQ195" s="31" t="s">
        <v>53</v>
      </c>
      <c r="AV195" s="30">
        <f t="shared" si="212"/>
        <v>0</v>
      </c>
      <c r="AW195" s="30">
        <f t="shared" si="213"/>
        <v>0</v>
      </c>
      <c r="AX195" s="30">
        <f t="shared" si="214"/>
        <v>0</v>
      </c>
      <c r="AY195" s="31" t="s">
        <v>549</v>
      </c>
      <c r="AZ195" s="31" t="s">
        <v>533</v>
      </c>
      <c r="BA195" s="10" t="s">
        <v>60</v>
      </c>
      <c r="BC195" s="30">
        <f t="shared" si="215"/>
        <v>0</v>
      </c>
      <c r="BD195" s="30">
        <f t="shared" si="216"/>
        <v>0</v>
      </c>
      <c r="BE195" s="30">
        <v>0</v>
      </c>
      <c r="BF195" s="30">
        <f>195</f>
        <v>195</v>
      </c>
      <c r="BH195" s="30">
        <f t="shared" si="217"/>
        <v>0</v>
      </c>
      <c r="BI195" s="30">
        <f t="shared" si="218"/>
        <v>0</v>
      </c>
      <c r="BJ195" s="30">
        <f t="shared" si="219"/>
        <v>0</v>
      </c>
      <c r="BK195" s="30"/>
      <c r="BL195" s="30"/>
      <c r="BW195" s="30">
        <v>12</v>
      </c>
      <c r="BX195" s="4" t="s">
        <v>567</v>
      </c>
    </row>
    <row r="196" spans="1:76" x14ac:dyDescent="0.25">
      <c r="A196" s="32" t="s">
        <v>568</v>
      </c>
      <c r="B196" s="33" t="s">
        <v>569</v>
      </c>
      <c r="C196" s="139" t="s">
        <v>570</v>
      </c>
      <c r="D196" s="140"/>
      <c r="E196" s="33" t="s">
        <v>56</v>
      </c>
      <c r="F196" s="34">
        <v>14</v>
      </c>
      <c r="G196" s="35">
        <v>0</v>
      </c>
      <c r="H196" s="34">
        <f t="shared" si="198"/>
        <v>0</v>
      </c>
      <c r="I196" s="34">
        <f t="shared" si="199"/>
        <v>0</v>
      </c>
      <c r="J196" s="34">
        <f t="shared" si="200"/>
        <v>0</v>
      </c>
      <c r="K196" s="36" t="s">
        <v>57</v>
      </c>
      <c r="Z196" s="30">
        <f t="shared" si="201"/>
        <v>0</v>
      </c>
      <c r="AB196" s="30">
        <f t="shared" si="202"/>
        <v>0</v>
      </c>
      <c r="AC196" s="30">
        <f t="shared" si="203"/>
        <v>0</v>
      </c>
      <c r="AD196" s="30">
        <f t="shared" si="204"/>
        <v>0</v>
      </c>
      <c r="AE196" s="30">
        <f t="shared" si="205"/>
        <v>0</v>
      </c>
      <c r="AF196" s="30">
        <f t="shared" si="206"/>
        <v>0</v>
      </c>
      <c r="AG196" s="30">
        <f t="shared" si="207"/>
        <v>0</v>
      </c>
      <c r="AH196" s="30">
        <f t="shared" si="208"/>
        <v>0</v>
      </c>
      <c r="AI196" s="10" t="s">
        <v>50</v>
      </c>
      <c r="AJ196" s="30">
        <f t="shared" si="209"/>
        <v>0</v>
      </c>
      <c r="AK196" s="30">
        <f t="shared" si="210"/>
        <v>0</v>
      </c>
      <c r="AL196" s="30">
        <f t="shared" si="211"/>
        <v>0</v>
      </c>
      <c r="AN196" s="30">
        <v>12</v>
      </c>
      <c r="AO196" s="30">
        <f>G196*0</f>
        <v>0</v>
      </c>
      <c r="AP196" s="30">
        <f>G196*(1-0)</f>
        <v>0</v>
      </c>
      <c r="AQ196" s="31" t="s">
        <v>61</v>
      </c>
      <c r="AV196" s="30">
        <f t="shared" si="212"/>
        <v>0</v>
      </c>
      <c r="AW196" s="30">
        <f t="shared" si="213"/>
        <v>0</v>
      </c>
      <c r="AX196" s="30">
        <f t="shared" si="214"/>
        <v>0</v>
      </c>
      <c r="AY196" s="31" t="s">
        <v>549</v>
      </c>
      <c r="AZ196" s="31" t="s">
        <v>533</v>
      </c>
      <c r="BA196" s="10" t="s">
        <v>60</v>
      </c>
      <c r="BC196" s="30">
        <f t="shared" si="215"/>
        <v>0</v>
      </c>
      <c r="BD196" s="30">
        <f t="shared" si="216"/>
        <v>0</v>
      </c>
      <c r="BE196" s="30">
        <v>0</v>
      </c>
      <c r="BF196" s="30">
        <f>196</f>
        <v>196</v>
      </c>
      <c r="BH196" s="30">
        <f t="shared" si="217"/>
        <v>0</v>
      </c>
      <c r="BI196" s="30">
        <f t="shared" si="218"/>
        <v>0</v>
      </c>
      <c r="BJ196" s="30">
        <f t="shared" si="219"/>
        <v>0</v>
      </c>
      <c r="BK196" s="30"/>
      <c r="BL196" s="30"/>
      <c r="BW196" s="30">
        <v>12</v>
      </c>
      <c r="BX196" s="4" t="s">
        <v>570</v>
      </c>
    </row>
    <row r="197" spans="1:76" x14ac:dyDescent="0.25">
      <c r="A197" s="32" t="s">
        <v>571</v>
      </c>
      <c r="B197" s="33" t="s">
        <v>572</v>
      </c>
      <c r="C197" s="139" t="s">
        <v>573</v>
      </c>
      <c r="D197" s="140"/>
      <c r="E197" s="33" t="s">
        <v>56</v>
      </c>
      <c r="F197" s="34">
        <v>2</v>
      </c>
      <c r="G197" s="35">
        <v>0</v>
      </c>
      <c r="H197" s="34">
        <f t="shared" si="198"/>
        <v>0</v>
      </c>
      <c r="I197" s="34">
        <f t="shared" si="199"/>
        <v>0</v>
      </c>
      <c r="J197" s="34">
        <f t="shared" si="200"/>
        <v>0</v>
      </c>
      <c r="K197" s="36" t="s">
        <v>57</v>
      </c>
      <c r="Z197" s="30">
        <f t="shared" si="201"/>
        <v>0</v>
      </c>
      <c r="AB197" s="30">
        <f t="shared" si="202"/>
        <v>0</v>
      </c>
      <c r="AC197" s="30">
        <f t="shared" si="203"/>
        <v>0</v>
      </c>
      <c r="AD197" s="30">
        <f t="shared" si="204"/>
        <v>0</v>
      </c>
      <c r="AE197" s="30">
        <f t="shared" si="205"/>
        <v>0</v>
      </c>
      <c r="AF197" s="30">
        <f t="shared" si="206"/>
        <v>0</v>
      </c>
      <c r="AG197" s="30">
        <f t="shared" si="207"/>
        <v>0</v>
      </c>
      <c r="AH197" s="30">
        <f t="shared" si="208"/>
        <v>0</v>
      </c>
      <c r="AI197" s="10" t="s">
        <v>50</v>
      </c>
      <c r="AJ197" s="30">
        <f t="shared" si="209"/>
        <v>0</v>
      </c>
      <c r="AK197" s="30">
        <f t="shared" si="210"/>
        <v>0</v>
      </c>
      <c r="AL197" s="30">
        <f t="shared" si="211"/>
        <v>0</v>
      </c>
      <c r="AN197" s="30">
        <v>12</v>
      </c>
      <c r="AO197" s="30">
        <f>G197*1</f>
        <v>0</v>
      </c>
      <c r="AP197" s="30">
        <f>G197*(1-1)</f>
        <v>0</v>
      </c>
      <c r="AQ197" s="31" t="s">
        <v>53</v>
      </c>
      <c r="AV197" s="30">
        <f t="shared" si="212"/>
        <v>0</v>
      </c>
      <c r="AW197" s="30">
        <f t="shared" si="213"/>
        <v>0</v>
      </c>
      <c r="AX197" s="30">
        <f t="shared" si="214"/>
        <v>0</v>
      </c>
      <c r="AY197" s="31" t="s">
        <v>549</v>
      </c>
      <c r="AZ197" s="31" t="s">
        <v>533</v>
      </c>
      <c r="BA197" s="10" t="s">
        <v>60</v>
      </c>
      <c r="BC197" s="30">
        <f t="shared" si="215"/>
        <v>0</v>
      </c>
      <c r="BD197" s="30">
        <f t="shared" si="216"/>
        <v>0</v>
      </c>
      <c r="BE197" s="30">
        <v>0</v>
      </c>
      <c r="BF197" s="30">
        <f>197</f>
        <v>197</v>
      </c>
      <c r="BH197" s="30">
        <f t="shared" si="217"/>
        <v>0</v>
      </c>
      <c r="BI197" s="30">
        <f t="shared" si="218"/>
        <v>0</v>
      </c>
      <c r="BJ197" s="30">
        <f t="shared" si="219"/>
        <v>0</v>
      </c>
      <c r="BK197" s="30"/>
      <c r="BL197" s="30"/>
      <c r="BW197" s="30">
        <v>12</v>
      </c>
      <c r="BX197" s="4" t="s">
        <v>573</v>
      </c>
    </row>
    <row r="198" spans="1:76" x14ac:dyDescent="0.25">
      <c r="A198" s="32" t="s">
        <v>574</v>
      </c>
      <c r="B198" s="33" t="s">
        <v>575</v>
      </c>
      <c r="C198" s="139" t="s">
        <v>576</v>
      </c>
      <c r="D198" s="140"/>
      <c r="E198" s="33" t="s">
        <v>56</v>
      </c>
      <c r="F198" s="34">
        <v>10</v>
      </c>
      <c r="G198" s="35">
        <v>0</v>
      </c>
      <c r="H198" s="34">
        <f t="shared" si="198"/>
        <v>0</v>
      </c>
      <c r="I198" s="34">
        <f t="shared" si="199"/>
        <v>0</v>
      </c>
      <c r="J198" s="34">
        <f t="shared" si="200"/>
        <v>0</v>
      </c>
      <c r="K198" s="36" t="s">
        <v>57</v>
      </c>
      <c r="Z198" s="30">
        <f t="shared" si="201"/>
        <v>0</v>
      </c>
      <c r="AB198" s="30">
        <f t="shared" si="202"/>
        <v>0</v>
      </c>
      <c r="AC198" s="30">
        <f t="shared" si="203"/>
        <v>0</v>
      </c>
      <c r="AD198" s="30">
        <f t="shared" si="204"/>
        <v>0</v>
      </c>
      <c r="AE198" s="30">
        <f t="shared" si="205"/>
        <v>0</v>
      </c>
      <c r="AF198" s="30">
        <f t="shared" si="206"/>
        <v>0</v>
      </c>
      <c r="AG198" s="30">
        <f t="shared" si="207"/>
        <v>0</v>
      </c>
      <c r="AH198" s="30">
        <f t="shared" si="208"/>
        <v>0</v>
      </c>
      <c r="AI198" s="10" t="s">
        <v>50</v>
      </c>
      <c r="AJ198" s="30">
        <f t="shared" si="209"/>
        <v>0</v>
      </c>
      <c r="AK198" s="30">
        <f t="shared" si="210"/>
        <v>0</v>
      </c>
      <c r="AL198" s="30">
        <f t="shared" si="211"/>
        <v>0</v>
      </c>
      <c r="AN198" s="30">
        <v>12</v>
      </c>
      <c r="AO198" s="30">
        <f>G198*1</f>
        <v>0</v>
      </c>
      <c r="AP198" s="30">
        <f>G198*(1-1)</f>
        <v>0</v>
      </c>
      <c r="AQ198" s="31" t="s">
        <v>53</v>
      </c>
      <c r="AV198" s="30">
        <f t="shared" si="212"/>
        <v>0</v>
      </c>
      <c r="AW198" s="30">
        <f t="shared" si="213"/>
        <v>0</v>
      </c>
      <c r="AX198" s="30">
        <f t="shared" si="214"/>
        <v>0</v>
      </c>
      <c r="AY198" s="31" t="s">
        <v>549</v>
      </c>
      <c r="AZ198" s="31" t="s">
        <v>533</v>
      </c>
      <c r="BA198" s="10" t="s">
        <v>60</v>
      </c>
      <c r="BC198" s="30">
        <f t="shared" si="215"/>
        <v>0</v>
      </c>
      <c r="BD198" s="30">
        <f t="shared" si="216"/>
        <v>0</v>
      </c>
      <c r="BE198" s="30">
        <v>0</v>
      </c>
      <c r="BF198" s="30">
        <f>198</f>
        <v>198</v>
      </c>
      <c r="BH198" s="30">
        <f t="shared" si="217"/>
        <v>0</v>
      </c>
      <c r="BI198" s="30">
        <f t="shared" si="218"/>
        <v>0</v>
      </c>
      <c r="BJ198" s="30">
        <f t="shared" si="219"/>
        <v>0</v>
      </c>
      <c r="BK198" s="30"/>
      <c r="BL198" s="30"/>
      <c r="BW198" s="30">
        <v>12</v>
      </c>
      <c r="BX198" s="4" t="s">
        <v>576</v>
      </c>
    </row>
    <row r="199" spans="1:76" x14ac:dyDescent="0.25">
      <c r="A199" s="32" t="s">
        <v>577</v>
      </c>
      <c r="B199" s="33" t="s">
        <v>578</v>
      </c>
      <c r="C199" s="139" t="s">
        <v>579</v>
      </c>
      <c r="D199" s="140"/>
      <c r="E199" s="33" t="s">
        <v>56</v>
      </c>
      <c r="F199" s="34">
        <v>1</v>
      </c>
      <c r="G199" s="35">
        <v>0</v>
      </c>
      <c r="H199" s="34">
        <f t="shared" si="198"/>
        <v>0</v>
      </c>
      <c r="I199" s="34">
        <f t="shared" si="199"/>
        <v>0</v>
      </c>
      <c r="J199" s="34">
        <f t="shared" si="200"/>
        <v>0</v>
      </c>
      <c r="K199" s="36" t="s">
        <v>57</v>
      </c>
      <c r="Z199" s="30">
        <f t="shared" si="201"/>
        <v>0</v>
      </c>
      <c r="AB199" s="30">
        <f t="shared" si="202"/>
        <v>0</v>
      </c>
      <c r="AC199" s="30">
        <f t="shared" si="203"/>
        <v>0</v>
      </c>
      <c r="AD199" s="30">
        <f t="shared" si="204"/>
        <v>0</v>
      </c>
      <c r="AE199" s="30">
        <f t="shared" si="205"/>
        <v>0</v>
      </c>
      <c r="AF199" s="30">
        <f t="shared" si="206"/>
        <v>0</v>
      </c>
      <c r="AG199" s="30">
        <f t="shared" si="207"/>
        <v>0</v>
      </c>
      <c r="AH199" s="30">
        <f t="shared" si="208"/>
        <v>0</v>
      </c>
      <c r="AI199" s="10" t="s">
        <v>50</v>
      </c>
      <c r="AJ199" s="30">
        <f t="shared" si="209"/>
        <v>0</v>
      </c>
      <c r="AK199" s="30">
        <f t="shared" si="210"/>
        <v>0</v>
      </c>
      <c r="AL199" s="30">
        <f t="shared" si="211"/>
        <v>0</v>
      </c>
      <c r="AN199" s="30">
        <v>12</v>
      </c>
      <c r="AO199" s="30">
        <f>G199*1</f>
        <v>0</v>
      </c>
      <c r="AP199" s="30">
        <f>G199*(1-1)</f>
        <v>0</v>
      </c>
      <c r="AQ199" s="31" t="s">
        <v>53</v>
      </c>
      <c r="AV199" s="30">
        <f t="shared" si="212"/>
        <v>0</v>
      </c>
      <c r="AW199" s="30">
        <f t="shared" si="213"/>
        <v>0</v>
      </c>
      <c r="AX199" s="30">
        <f t="shared" si="214"/>
        <v>0</v>
      </c>
      <c r="AY199" s="31" t="s">
        <v>549</v>
      </c>
      <c r="AZ199" s="31" t="s">
        <v>533</v>
      </c>
      <c r="BA199" s="10" t="s">
        <v>60</v>
      </c>
      <c r="BC199" s="30">
        <f t="shared" si="215"/>
        <v>0</v>
      </c>
      <c r="BD199" s="30">
        <f t="shared" si="216"/>
        <v>0</v>
      </c>
      <c r="BE199" s="30">
        <v>0</v>
      </c>
      <c r="BF199" s="30">
        <f>199</f>
        <v>199</v>
      </c>
      <c r="BH199" s="30">
        <f t="shared" si="217"/>
        <v>0</v>
      </c>
      <c r="BI199" s="30">
        <f t="shared" si="218"/>
        <v>0</v>
      </c>
      <c r="BJ199" s="30">
        <f t="shared" si="219"/>
        <v>0</v>
      </c>
      <c r="BK199" s="30"/>
      <c r="BL199" s="30"/>
      <c r="BW199" s="30">
        <v>12</v>
      </c>
      <c r="BX199" s="4" t="s">
        <v>579</v>
      </c>
    </row>
    <row r="200" spans="1:76" x14ac:dyDescent="0.25">
      <c r="A200" s="32" t="s">
        <v>580</v>
      </c>
      <c r="B200" s="33" t="s">
        <v>581</v>
      </c>
      <c r="C200" s="139" t="s">
        <v>582</v>
      </c>
      <c r="D200" s="140"/>
      <c r="E200" s="33" t="s">
        <v>56</v>
      </c>
      <c r="F200" s="34">
        <v>1</v>
      </c>
      <c r="G200" s="35">
        <v>0</v>
      </c>
      <c r="H200" s="34">
        <f t="shared" si="198"/>
        <v>0</v>
      </c>
      <c r="I200" s="34">
        <f t="shared" si="199"/>
        <v>0</v>
      </c>
      <c r="J200" s="34">
        <f t="shared" si="200"/>
        <v>0</v>
      </c>
      <c r="K200" s="36" t="s">
        <v>57</v>
      </c>
      <c r="Z200" s="30">
        <f t="shared" si="201"/>
        <v>0</v>
      </c>
      <c r="AB200" s="30">
        <f t="shared" si="202"/>
        <v>0</v>
      </c>
      <c r="AC200" s="30">
        <f t="shared" si="203"/>
        <v>0</v>
      </c>
      <c r="AD200" s="30">
        <f t="shared" si="204"/>
        <v>0</v>
      </c>
      <c r="AE200" s="30">
        <f t="shared" si="205"/>
        <v>0</v>
      </c>
      <c r="AF200" s="30">
        <f t="shared" si="206"/>
        <v>0</v>
      </c>
      <c r="AG200" s="30">
        <f t="shared" si="207"/>
        <v>0</v>
      </c>
      <c r="AH200" s="30">
        <f t="shared" si="208"/>
        <v>0</v>
      </c>
      <c r="AI200" s="10" t="s">
        <v>50</v>
      </c>
      <c r="AJ200" s="30">
        <f t="shared" si="209"/>
        <v>0</v>
      </c>
      <c r="AK200" s="30">
        <f t="shared" si="210"/>
        <v>0</v>
      </c>
      <c r="AL200" s="30">
        <f t="shared" si="211"/>
        <v>0</v>
      </c>
      <c r="AN200" s="30">
        <v>12</v>
      </c>
      <c r="AO200" s="30">
        <f>G200*1</f>
        <v>0</v>
      </c>
      <c r="AP200" s="30">
        <f>G200*(1-1)</f>
        <v>0</v>
      </c>
      <c r="AQ200" s="31" t="s">
        <v>53</v>
      </c>
      <c r="AV200" s="30">
        <f t="shared" si="212"/>
        <v>0</v>
      </c>
      <c r="AW200" s="30">
        <f t="shared" si="213"/>
        <v>0</v>
      </c>
      <c r="AX200" s="30">
        <f t="shared" si="214"/>
        <v>0</v>
      </c>
      <c r="AY200" s="31" t="s">
        <v>549</v>
      </c>
      <c r="AZ200" s="31" t="s">
        <v>533</v>
      </c>
      <c r="BA200" s="10" t="s">
        <v>60</v>
      </c>
      <c r="BC200" s="30">
        <f t="shared" si="215"/>
        <v>0</v>
      </c>
      <c r="BD200" s="30">
        <f t="shared" si="216"/>
        <v>0</v>
      </c>
      <c r="BE200" s="30">
        <v>0</v>
      </c>
      <c r="BF200" s="30">
        <f>200</f>
        <v>200</v>
      </c>
      <c r="BH200" s="30">
        <f t="shared" si="217"/>
        <v>0</v>
      </c>
      <c r="BI200" s="30">
        <f t="shared" si="218"/>
        <v>0</v>
      </c>
      <c r="BJ200" s="30">
        <f t="shared" si="219"/>
        <v>0</v>
      </c>
      <c r="BK200" s="30"/>
      <c r="BL200" s="30"/>
      <c r="BW200" s="30">
        <v>12</v>
      </c>
      <c r="BX200" s="4" t="s">
        <v>582</v>
      </c>
    </row>
    <row r="201" spans="1:76" x14ac:dyDescent="0.25">
      <c r="A201" s="32" t="s">
        <v>583</v>
      </c>
      <c r="B201" s="33" t="s">
        <v>584</v>
      </c>
      <c r="C201" s="139" t="s">
        <v>585</v>
      </c>
      <c r="D201" s="140"/>
      <c r="E201" s="33" t="s">
        <v>56</v>
      </c>
      <c r="F201" s="34">
        <v>1</v>
      </c>
      <c r="G201" s="35">
        <v>0</v>
      </c>
      <c r="H201" s="34">
        <f t="shared" si="198"/>
        <v>0</v>
      </c>
      <c r="I201" s="34">
        <f t="shared" si="199"/>
        <v>0</v>
      </c>
      <c r="J201" s="34">
        <f t="shared" si="200"/>
        <v>0</v>
      </c>
      <c r="K201" s="36" t="s">
        <v>57</v>
      </c>
      <c r="Z201" s="30">
        <f t="shared" si="201"/>
        <v>0</v>
      </c>
      <c r="AB201" s="30">
        <f t="shared" si="202"/>
        <v>0</v>
      </c>
      <c r="AC201" s="30">
        <f t="shared" si="203"/>
        <v>0</v>
      </c>
      <c r="AD201" s="30">
        <f t="shared" si="204"/>
        <v>0</v>
      </c>
      <c r="AE201" s="30">
        <f t="shared" si="205"/>
        <v>0</v>
      </c>
      <c r="AF201" s="30">
        <f t="shared" si="206"/>
        <v>0</v>
      </c>
      <c r="AG201" s="30">
        <f t="shared" si="207"/>
        <v>0</v>
      </c>
      <c r="AH201" s="30">
        <f t="shared" si="208"/>
        <v>0</v>
      </c>
      <c r="AI201" s="10" t="s">
        <v>50</v>
      </c>
      <c r="AJ201" s="30">
        <f t="shared" si="209"/>
        <v>0</v>
      </c>
      <c r="AK201" s="30">
        <f t="shared" si="210"/>
        <v>0</v>
      </c>
      <c r="AL201" s="30">
        <f t="shared" si="211"/>
        <v>0</v>
      </c>
      <c r="AN201" s="30">
        <v>12</v>
      </c>
      <c r="AO201" s="30">
        <f>G201*0</f>
        <v>0</v>
      </c>
      <c r="AP201" s="30">
        <f>G201*(1-0)</f>
        <v>0</v>
      </c>
      <c r="AQ201" s="31" t="s">
        <v>61</v>
      </c>
      <c r="AV201" s="30">
        <f t="shared" si="212"/>
        <v>0</v>
      </c>
      <c r="AW201" s="30">
        <f t="shared" si="213"/>
        <v>0</v>
      </c>
      <c r="AX201" s="30">
        <f t="shared" si="214"/>
        <v>0</v>
      </c>
      <c r="AY201" s="31" t="s">
        <v>549</v>
      </c>
      <c r="AZ201" s="31" t="s">
        <v>533</v>
      </c>
      <c r="BA201" s="10" t="s">
        <v>60</v>
      </c>
      <c r="BC201" s="30">
        <f t="shared" si="215"/>
        <v>0</v>
      </c>
      <c r="BD201" s="30">
        <f t="shared" si="216"/>
        <v>0</v>
      </c>
      <c r="BE201" s="30">
        <v>0</v>
      </c>
      <c r="BF201" s="30">
        <f>201</f>
        <v>201</v>
      </c>
      <c r="BH201" s="30">
        <f t="shared" si="217"/>
        <v>0</v>
      </c>
      <c r="BI201" s="30">
        <f t="shared" si="218"/>
        <v>0</v>
      </c>
      <c r="BJ201" s="30">
        <f t="shared" si="219"/>
        <v>0</v>
      </c>
      <c r="BK201" s="30"/>
      <c r="BL201" s="30"/>
      <c r="BW201" s="30">
        <v>12</v>
      </c>
      <c r="BX201" s="4" t="s">
        <v>585</v>
      </c>
    </row>
    <row r="202" spans="1:76" x14ac:dyDescent="0.25">
      <c r="A202" s="32" t="s">
        <v>586</v>
      </c>
      <c r="B202" s="33" t="s">
        <v>587</v>
      </c>
      <c r="C202" s="139" t="s">
        <v>588</v>
      </c>
      <c r="D202" s="140"/>
      <c r="E202" s="33" t="s">
        <v>56</v>
      </c>
      <c r="F202" s="34">
        <v>1</v>
      </c>
      <c r="G202" s="35">
        <v>0</v>
      </c>
      <c r="H202" s="34">
        <f t="shared" si="198"/>
        <v>0</v>
      </c>
      <c r="I202" s="34">
        <f t="shared" si="199"/>
        <v>0</v>
      </c>
      <c r="J202" s="34">
        <f t="shared" si="200"/>
        <v>0</v>
      </c>
      <c r="K202" s="36" t="s">
        <v>57</v>
      </c>
      <c r="Z202" s="30">
        <f t="shared" si="201"/>
        <v>0</v>
      </c>
      <c r="AB202" s="30">
        <f t="shared" si="202"/>
        <v>0</v>
      </c>
      <c r="AC202" s="30">
        <f t="shared" si="203"/>
        <v>0</v>
      </c>
      <c r="AD202" s="30">
        <f t="shared" si="204"/>
        <v>0</v>
      </c>
      <c r="AE202" s="30">
        <f t="shared" si="205"/>
        <v>0</v>
      </c>
      <c r="AF202" s="30">
        <f t="shared" si="206"/>
        <v>0</v>
      </c>
      <c r="AG202" s="30">
        <f t="shared" si="207"/>
        <v>0</v>
      </c>
      <c r="AH202" s="30">
        <f t="shared" si="208"/>
        <v>0</v>
      </c>
      <c r="AI202" s="10" t="s">
        <v>50</v>
      </c>
      <c r="AJ202" s="30">
        <f t="shared" si="209"/>
        <v>0</v>
      </c>
      <c r="AK202" s="30">
        <f t="shared" si="210"/>
        <v>0</v>
      </c>
      <c r="AL202" s="30">
        <f t="shared" si="211"/>
        <v>0</v>
      </c>
      <c r="AN202" s="30">
        <v>12</v>
      </c>
      <c r="AO202" s="30">
        <f>G202*1</f>
        <v>0</v>
      </c>
      <c r="AP202" s="30">
        <f>G202*(1-1)</f>
        <v>0</v>
      </c>
      <c r="AQ202" s="31" t="s">
        <v>53</v>
      </c>
      <c r="AV202" s="30">
        <f t="shared" si="212"/>
        <v>0</v>
      </c>
      <c r="AW202" s="30">
        <f t="shared" si="213"/>
        <v>0</v>
      </c>
      <c r="AX202" s="30">
        <f t="shared" si="214"/>
        <v>0</v>
      </c>
      <c r="AY202" s="31" t="s">
        <v>549</v>
      </c>
      <c r="AZ202" s="31" t="s">
        <v>533</v>
      </c>
      <c r="BA202" s="10" t="s">
        <v>60</v>
      </c>
      <c r="BC202" s="30">
        <f t="shared" si="215"/>
        <v>0</v>
      </c>
      <c r="BD202" s="30">
        <f t="shared" si="216"/>
        <v>0</v>
      </c>
      <c r="BE202" s="30">
        <v>0</v>
      </c>
      <c r="BF202" s="30">
        <f>202</f>
        <v>202</v>
      </c>
      <c r="BH202" s="30">
        <f t="shared" si="217"/>
        <v>0</v>
      </c>
      <c r="BI202" s="30">
        <f t="shared" si="218"/>
        <v>0</v>
      </c>
      <c r="BJ202" s="30">
        <f t="shared" si="219"/>
        <v>0</v>
      </c>
      <c r="BK202" s="30"/>
      <c r="BL202" s="30"/>
      <c r="BW202" s="30">
        <v>12</v>
      </c>
      <c r="BX202" s="4" t="s">
        <v>588</v>
      </c>
    </row>
    <row r="203" spans="1:76" x14ac:dyDescent="0.25">
      <c r="A203" s="32" t="s">
        <v>589</v>
      </c>
      <c r="B203" s="33" t="s">
        <v>590</v>
      </c>
      <c r="C203" s="139" t="s">
        <v>591</v>
      </c>
      <c r="D203" s="140"/>
      <c r="E203" s="33" t="s">
        <v>56</v>
      </c>
      <c r="F203" s="34">
        <v>9</v>
      </c>
      <c r="G203" s="35">
        <v>0</v>
      </c>
      <c r="H203" s="34">
        <f t="shared" si="198"/>
        <v>0</v>
      </c>
      <c r="I203" s="34">
        <f t="shared" si="199"/>
        <v>0</v>
      </c>
      <c r="J203" s="34">
        <f t="shared" si="200"/>
        <v>0</v>
      </c>
      <c r="K203" s="36" t="s">
        <v>57</v>
      </c>
      <c r="Z203" s="30">
        <f t="shared" si="201"/>
        <v>0</v>
      </c>
      <c r="AB203" s="30">
        <f t="shared" si="202"/>
        <v>0</v>
      </c>
      <c r="AC203" s="30">
        <f t="shared" si="203"/>
        <v>0</v>
      </c>
      <c r="AD203" s="30">
        <f t="shared" si="204"/>
        <v>0</v>
      </c>
      <c r="AE203" s="30">
        <f t="shared" si="205"/>
        <v>0</v>
      </c>
      <c r="AF203" s="30">
        <f t="shared" si="206"/>
        <v>0</v>
      </c>
      <c r="AG203" s="30">
        <f t="shared" si="207"/>
        <v>0</v>
      </c>
      <c r="AH203" s="30">
        <f t="shared" si="208"/>
        <v>0</v>
      </c>
      <c r="AI203" s="10" t="s">
        <v>50</v>
      </c>
      <c r="AJ203" s="30">
        <f t="shared" si="209"/>
        <v>0</v>
      </c>
      <c r="AK203" s="30">
        <f t="shared" si="210"/>
        <v>0</v>
      </c>
      <c r="AL203" s="30">
        <f t="shared" si="211"/>
        <v>0</v>
      </c>
      <c r="AN203" s="30">
        <v>12</v>
      </c>
      <c r="AO203" s="30">
        <f>G203*0.567125382</f>
        <v>0</v>
      </c>
      <c r="AP203" s="30">
        <f>G203*(1-0.567125382)</f>
        <v>0</v>
      </c>
      <c r="AQ203" s="31" t="s">
        <v>61</v>
      </c>
      <c r="AV203" s="30">
        <f t="shared" si="212"/>
        <v>0</v>
      </c>
      <c r="AW203" s="30">
        <f t="shared" si="213"/>
        <v>0</v>
      </c>
      <c r="AX203" s="30">
        <f t="shared" si="214"/>
        <v>0</v>
      </c>
      <c r="AY203" s="31" t="s">
        <v>549</v>
      </c>
      <c r="AZ203" s="31" t="s">
        <v>533</v>
      </c>
      <c r="BA203" s="10" t="s">
        <v>60</v>
      </c>
      <c r="BC203" s="30">
        <f t="shared" si="215"/>
        <v>0</v>
      </c>
      <c r="BD203" s="30">
        <f t="shared" si="216"/>
        <v>0</v>
      </c>
      <c r="BE203" s="30">
        <v>0</v>
      </c>
      <c r="BF203" s="30">
        <f>203</f>
        <v>203</v>
      </c>
      <c r="BH203" s="30">
        <f t="shared" si="217"/>
        <v>0</v>
      </c>
      <c r="BI203" s="30">
        <f t="shared" si="218"/>
        <v>0</v>
      </c>
      <c r="BJ203" s="30">
        <f t="shared" si="219"/>
        <v>0</v>
      </c>
      <c r="BK203" s="30"/>
      <c r="BL203" s="30"/>
      <c r="BW203" s="30">
        <v>12</v>
      </c>
      <c r="BX203" s="4" t="s">
        <v>591</v>
      </c>
    </row>
    <row r="204" spans="1:76" ht="13.5" customHeight="1" x14ac:dyDescent="0.25">
      <c r="A204" s="37"/>
      <c r="B204" s="38" t="s">
        <v>68</v>
      </c>
      <c r="C204" s="141" t="s">
        <v>592</v>
      </c>
      <c r="D204" s="142"/>
      <c r="E204" s="142"/>
      <c r="F204" s="142"/>
      <c r="G204" s="143"/>
      <c r="H204" s="142"/>
      <c r="I204" s="142"/>
      <c r="J204" s="142"/>
      <c r="K204" s="144"/>
    </row>
    <row r="205" spans="1:76" x14ac:dyDescent="0.25">
      <c r="A205" s="25" t="s">
        <v>593</v>
      </c>
      <c r="B205" s="26" t="s">
        <v>594</v>
      </c>
      <c r="C205" s="137" t="s">
        <v>595</v>
      </c>
      <c r="D205" s="138"/>
      <c r="E205" s="26" t="s">
        <v>56</v>
      </c>
      <c r="F205" s="27">
        <v>6</v>
      </c>
      <c r="G205" s="28">
        <v>0</v>
      </c>
      <c r="H205" s="27">
        <f>F205*AO205</f>
        <v>0</v>
      </c>
      <c r="I205" s="27">
        <f>F205*AP205</f>
        <v>0</v>
      </c>
      <c r="J205" s="27">
        <f>F205*G205</f>
        <v>0</v>
      </c>
      <c r="K205" s="29" t="s">
        <v>57</v>
      </c>
      <c r="Z205" s="30">
        <f>IF(AQ205="5",BJ205,0)</f>
        <v>0</v>
      </c>
      <c r="AB205" s="30">
        <f>IF(AQ205="1",BH205,0)</f>
        <v>0</v>
      </c>
      <c r="AC205" s="30">
        <f>IF(AQ205="1",BI205,0)</f>
        <v>0</v>
      </c>
      <c r="AD205" s="30">
        <f>IF(AQ205="7",BH205,0)</f>
        <v>0</v>
      </c>
      <c r="AE205" s="30">
        <f>IF(AQ205="7",BI205,0)</f>
        <v>0</v>
      </c>
      <c r="AF205" s="30">
        <f>IF(AQ205="2",BH205,0)</f>
        <v>0</v>
      </c>
      <c r="AG205" s="30">
        <f>IF(AQ205="2",BI205,0)</f>
        <v>0</v>
      </c>
      <c r="AH205" s="30">
        <f>IF(AQ205="0",BJ205,0)</f>
        <v>0</v>
      </c>
      <c r="AI205" s="10" t="s">
        <v>50</v>
      </c>
      <c r="AJ205" s="30">
        <f>IF(AN205=0,J205,0)</f>
        <v>0</v>
      </c>
      <c r="AK205" s="30">
        <f>IF(AN205=12,J205,0)</f>
        <v>0</v>
      </c>
      <c r="AL205" s="30">
        <f>IF(AN205=21,J205,0)</f>
        <v>0</v>
      </c>
      <c r="AN205" s="30">
        <v>12</v>
      </c>
      <c r="AO205" s="30">
        <f>G205*0.766569338</f>
        <v>0</v>
      </c>
      <c r="AP205" s="30">
        <f>G205*(1-0.766569338)</f>
        <v>0</v>
      </c>
      <c r="AQ205" s="31" t="s">
        <v>61</v>
      </c>
      <c r="AV205" s="30">
        <f>AW205+AX205</f>
        <v>0</v>
      </c>
      <c r="AW205" s="30">
        <f>F205*AO205</f>
        <v>0</v>
      </c>
      <c r="AX205" s="30">
        <f>F205*AP205</f>
        <v>0</v>
      </c>
      <c r="AY205" s="31" t="s">
        <v>549</v>
      </c>
      <c r="AZ205" s="31" t="s">
        <v>533</v>
      </c>
      <c r="BA205" s="10" t="s">
        <v>60</v>
      </c>
      <c r="BC205" s="30">
        <f>AW205+AX205</f>
        <v>0</v>
      </c>
      <c r="BD205" s="30">
        <f>G205/(100-BE205)*100</f>
        <v>0</v>
      </c>
      <c r="BE205" s="30">
        <v>0</v>
      </c>
      <c r="BF205" s="30">
        <f>205</f>
        <v>205</v>
      </c>
      <c r="BH205" s="30">
        <f>F205*AO205</f>
        <v>0</v>
      </c>
      <c r="BI205" s="30">
        <f>F205*AP205</f>
        <v>0</v>
      </c>
      <c r="BJ205" s="30">
        <f>F205*G205</f>
        <v>0</v>
      </c>
      <c r="BK205" s="30"/>
      <c r="BL205" s="30"/>
      <c r="BW205" s="30">
        <v>12</v>
      </c>
      <c r="BX205" s="4" t="s">
        <v>595</v>
      </c>
    </row>
    <row r="206" spans="1:76" ht="13.5" customHeight="1" x14ac:dyDescent="0.25">
      <c r="A206" s="37"/>
      <c r="B206" s="38" t="s">
        <v>68</v>
      </c>
      <c r="C206" s="141" t="s">
        <v>596</v>
      </c>
      <c r="D206" s="142"/>
      <c r="E206" s="142"/>
      <c r="F206" s="142"/>
      <c r="G206" s="143"/>
      <c r="H206" s="142"/>
      <c r="I206" s="142"/>
      <c r="J206" s="142"/>
      <c r="K206" s="144"/>
    </row>
    <row r="207" spans="1:76" x14ac:dyDescent="0.25">
      <c r="A207" s="25" t="s">
        <v>597</v>
      </c>
      <c r="B207" s="26" t="s">
        <v>598</v>
      </c>
      <c r="C207" s="137" t="s">
        <v>599</v>
      </c>
      <c r="D207" s="138"/>
      <c r="E207" s="26" t="s">
        <v>56</v>
      </c>
      <c r="F207" s="27">
        <v>4</v>
      </c>
      <c r="G207" s="28">
        <v>0</v>
      </c>
      <c r="H207" s="27">
        <f>F207*AO207</f>
        <v>0</v>
      </c>
      <c r="I207" s="27">
        <f>F207*AP207</f>
        <v>0</v>
      </c>
      <c r="J207" s="27">
        <f>F207*G207</f>
        <v>0</v>
      </c>
      <c r="K207" s="29" t="s">
        <v>57</v>
      </c>
      <c r="Z207" s="30">
        <f>IF(AQ207="5",BJ207,0)</f>
        <v>0</v>
      </c>
      <c r="AB207" s="30">
        <f>IF(AQ207="1",BH207,0)</f>
        <v>0</v>
      </c>
      <c r="AC207" s="30">
        <f>IF(AQ207="1",BI207,0)</f>
        <v>0</v>
      </c>
      <c r="AD207" s="30">
        <f>IF(AQ207="7",BH207,0)</f>
        <v>0</v>
      </c>
      <c r="AE207" s="30">
        <f>IF(AQ207="7",BI207,0)</f>
        <v>0</v>
      </c>
      <c r="AF207" s="30">
        <f>IF(AQ207="2",BH207,0)</f>
        <v>0</v>
      </c>
      <c r="AG207" s="30">
        <f>IF(AQ207="2",BI207,0)</f>
        <v>0</v>
      </c>
      <c r="AH207" s="30">
        <f>IF(AQ207="0",BJ207,0)</f>
        <v>0</v>
      </c>
      <c r="AI207" s="10" t="s">
        <v>50</v>
      </c>
      <c r="AJ207" s="30">
        <f>IF(AN207=0,J207,0)</f>
        <v>0</v>
      </c>
      <c r="AK207" s="30">
        <f>IF(AN207=12,J207,0)</f>
        <v>0</v>
      </c>
      <c r="AL207" s="30">
        <f>IF(AN207=21,J207,0)</f>
        <v>0</v>
      </c>
      <c r="AN207" s="30">
        <v>12</v>
      </c>
      <c r="AO207" s="30">
        <f>G207*0.720341612</f>
        <v>0</v>
      </c>
      <c r="AP207" s="30">
        <f>G207*(1-0.720341612)</f>
        <v>0</v>
      </c>
      <c r="AQ207" s="31" t="s">
        <v>61</v>
      </c>
      <c r="AV207" s="30">
        <f>AW207+AX207</f>
        <v>0</v>
      </c>
      <c r="AW207" s="30">
        <f>F207*AO207</f>
        <v>0</v>
      </c>
      <c r="AX207" s="30">
        <f>F207*AP207</f>
        <v>0</v>
      </c>
      <c r="AY207" s="31" t="s">
        <v>549</v>
      </c>
      <c r="AZ207" s="31" t="s">
        <v>533</v>
      </c>
      <c r="BA207" s="10" t="s">
        <v>60</v>
      </c>
      <c r="BC207" s="30">
        <f>AW207+AX207</f>
        <v>0</v>
      </c>
      <c r="BD207" s="30">
        <f>G207/(100-BE207)*100</f>
        <v>0</v>
      </c>
      <c r="BE207" s="30">
        <v>0</v>
      </c>
      <c r="BF207" s="30">
        <f>207</f>
        <v>207</v>
      </c>
      <c r="BH207" s="30">
        <f>F207*AO207</f>
        <v>0</v>
      </c>
      <c r="BI207" s="30">
        <f>F207*AP207</f>
        <v>0</v>
      </c>
      <c r="BJ207" s="30">
        <f>F207*G207</f>
        <v>0</v>
      </c>
      <c r="BK207" s="30"/>
      <c r="BL207" s="30"/>
      <c r="BW207" s="30">
        <v>12</v>
      </c>
      <c r="BX207" s="4" t="s">
        <v>599</v>
      </c>
    </row>
    <row r="208" spans="1:76" ht="13.5" customHeight="1" x14ac:dyDescent="0.25">
      <c r="A208" s="37"/>
      <c r="B208" s="38" t="s">
        <v>68</v>
      </c>
      <c r="C208" s="141" t="s">
        <v>596</v>
      </c>
      <c r="D208" s="142"/>
      <c r="E208" s="142"/>
      <c r="F208" s="142"/>
      <c r="G208" s="143"/>
      <c r="H208" s="142"/>
      <c r="I208" s="142"/>
      <c r="J208" s="142"/>
      <c r="K208" s="144"/>
    </row>
    <row r="209" spans="1:76" x14ac:dyDescent="0.25">
      <c r="A209" s="25" t="s">
        <v>600</v>
      </c>
      <c r="B209" s="26" t="s">
        <v>601</v>
      </c>
      <c r="C209" s="137" t="s">
        <v>602</v>
      </c>
      <c r="D209" s="138"/>
      <c r="E209" s="26" t="s">
        <v>56</v>
      </c>
      <c r="F209" s="27">
        <v>1</v>
      </c>
      <c r="G209" s="28">
        <v>0</v>
      </c>
      <c r="H209" s="27">
        <f>F209*AO209</f>
        <v>0</v>
      </c>
      <c r="I209" s="27">
        <f>F209*AP209</f>
        <v>0</v>
      </c>
      <c r="J209" s="27">
        <f>F209*G209</f>
        <v>0</v>
      </c>
      <c r="K209" s="29" t="s">
        <v>57</v>
      </c>
      <c r="Z209" s="30">
        <f>IF(AQ209="5",BJ209,0)</f>
        <v>0</v>
      </c>
      <c r="AB209" s="30">
        <f>IF(AQ209="1",BH209,0)</f>
        <v>0</v>
      </c>
      <c r="AC209" s="30">
        <f>IF(AQ209="1",BI209,0)</f>
        <v>0</v>
      </c>
      <c r="AD209" s="30">
        <f>IF(AQ209="7",BH209,0)</f>
        <v>0</v>
      </c>
      <c r="AE209" s="30">
        <f>IF(AQ209="7",BI209,0)</f>
        <v>0</v>
      </c>
      <c r="AF209" s="30">
        <f>IF(AQ209="2",BH209,0)</f>
        <v>0</v>
      </c>
      <c r="AG209" s="30">
        <f>IF(AQ209="2",BI209,0)</f>
        <v>0</v>
      </c>
      <c r="AH209" s="30">
        <f>IF(AQ209="0",BJ209,0)</f>
        <v>0</v>
      </c>
      <c r="AI209" s="10" t="s">
        <v>50</v>
      </c>
      <c r="AJ209" s="30">
        <f>IF(AN209=0,J209,0)</f>
        <v>0</v>
      </c>
      <c r="AK209" s="30">
        <f>IF(AN209=12,J209,0)</f>
        <v>0</v>
      </c>
      <c r="AL209" s="30">
        <f>IF(AN209=21,J209,0)</f>
        <v>0</v>
      </c>
      <c r="AN209" s="30">
        <v>12</v>
      </c>
      <c r="AO209" s="30">
        <f>G209*0.7767</f>
        <v>0</v>
      </c>
      <c r="AP209" s="30">
        <f>G209*(1-0.7767)</f>
        <v>0</v>
      </c>
      <c r="AQ209" s="31" t="s">
        <v>61</v>
      </c>
      <c r="AV209" s="30">
        <f>AW209+AX209</f>
        <v>0</v>
      </c>
      <c r="AW209" s="30">
        <f>F209*AO209</f>
        <v>0</v>
      </c>
      <c r="AX209" s="30">
        <f>F209*AP209</f>
        <v>0</v>
      </c>
      <c r="AY209" s="31" t="s">
        <v>549</v>
      </c>
      <c r="AZ209" s="31" t="s">
        <v>533</v>
      </c>
      <c r="BA209" s="10" t="s">
        <v>60</v>
      </c>
      <c r="BC209" s="30">
        <f>AW209+AX209</f>
        <v>0</v>
      </c>
      <c r="BD209" s="30">
        <f>G209/(100-BE209)*100</f>
        <v>0</v>
      </c>
      <c r="BE209" s="30">
        <v>0</v>
      </c>
      <c r="BF209" s="30">
        <f>209</f>
        <v>209</v>
      </c>
      <c r="BH209" s="30">
        <f>F209*AO209</f>
        <v>0</v>
      </c>
      <c r="BI209" s="30">
        <f>F209*AP209</f>
        <v>0</v>
      </c>
      <c r="BJ209" s="30">
        <f>F209*G209</f>
        <v>0</v>
      </c>
      <c r="BK209" s="30"/>
      <c r="BL209" s="30"/>
      <c r="BW209" s="30">
        <v>12</v>
      </c>
      <c r="BX209" s="4" t="s">
        <v>602</v>
      </c>
    </row>
    <row r="210" spans="1:76" ht="13.5" customHeight="1" x14ac:dyDescent="0.25">
      <c r="A210" s="37"/>
      <c r="B210" s="38" t="s">
        <v>68</v>
      </c>
      <c r="C210" s="141" t="s">
        <v>596</v>
      </c>
      <c r="D210" s="142"/>
      <c r="E210" s="142"/>
      <c r="F210" s="142"/>
      <c r="G210" s="143"/>
      <c r="H210" s="142"/>
      <c r="I210" s="142"/>
      <c r="J210" s="142"/>
      <c r="K210" s="144"/>
    </row>
    <row r="211" spans="1:76" x14ac:dyDescent="0.25">
      <c r="A211" s="25" t="s">
        <v>603</v>
      </c>
      <c r="B211" s="26" t="s">
        <v>604</v>
      </c>
      <c r="C211" s="137" t="s">
        <v>605</v>
      </c>
      <c r="D211" s="138"/>
      <c r="E211" s="26" t="s">
        <v>56</v>
      </c>
      <c r="F211" s="27">
        <v>1</v>
      </c>
      <c r="G211" s="28">
        <v>0</v>
      </c>
      <c r="H211" s="27">
        <f t="shared" ref="H211:H223" si="220">F211*AO211</f>
        <v>0</v>
      </c>
      <c r="I211" s="27">
        <f t="shared" ref="I211:I223" si="221">F211*AP211</f>
        <v>0</v>
      </c>
      <c r="J211" s="27">
        <f t="shared" ref="J211:J223" si="222">F211*G211</f>
        <v>0</v>
      </c>
      <c r="K211" s="29" t="s">
        <v>57</v>
      </c>
      <c r="Z211" s="30">
        <f t="shared" ref="Z211:Z223" si="223">IF(AQ211="5",BJ211,0)</f>
        <v>0</v>
      </c>
      <c r="AB211" s="30">
        <f t="shared" ref="AB211:AB223" si="224">IF(AQ211="1",BH211,0)</f>
        <v>0</v>
      </c>
      <c r="AC211" s="30">
        <f t="shared" ref="AC211:AC223" si="225">IF(AQ211="1",BI211,0)</f>
        <v>0</v>
      </c>
      <c r="AD211" s="30">
        <f t="shared" ref="AD211:AD223" si="226">IF(AQ211="7",BH211,0)</f>
        <v>0</v>
      </c>
      <c r="AE211" s="30">
        <f t="shared" ref="AE211:AE223" si="227">IF(AQ211="7",BI211,0)</f>
        <v>0</v>
      </c>
      <c r="AF211" s="30">
        <f t="shared" ref="AF211:AF223" si="228">IF(AQ211="2",BH211,0)</f>
        <v>0</v>
      </c>
      <c r="AG211" s="30">
        <f t="shared" ref="AG211:AG223" si="229">IF(AQ211="2",BI211,0)</f>
        <v>0</v>
      </c>
      <c r="AH211" s="30">
        <f t="shared" ref="AH211:AH223" si="230">IF(AQ211="0",BJ211,0)</f>
        <v>0</v>
      </c>
      <c r="AI211" s="10" t="s">
        <v>50</v>
      </c>
      <c r="AJ211" s="30">
        <f t="shared" ref="AJ211:AJ223" si="231">IF(AN211=0,J211,0)</f>
        <v>0</v>
      </c>
      <c r="AK211" s="30">
        <f t="shared" ref="AK211:AK223" si="232">IF(AN211=12,J211,0)</f>
        <v>0</v>
      </c>
      <c r="AL211" s="30">
        <f t="shared" ref="AL211:AL223" si="233">IF(AN211=21,J211,0)</f>
        <v>0</v>
      </c>
      <c r="AN211" s="30">
        <v>12</v>
      </c>
      <c r="AO211" s="30">
        <f>G211*0</f>
        <v>0</v>
      </c>
      <c r="AP211" s="30">
        <f>G211*(1-0)</f>
        <v>0</v>
      </c>
      <c r="AQ211" s="31" t="s">
        <v>61</v>
      </c>
      <c r="AV211" s="30">
        <f t="shared" ref="AV211:AV223" si="234">AW211+AX211</f>
        <v>0</v>
      </c>
      <c r="AW211" s="30">
        <f t="shared" ref="AW211:AW223" si="235">F211*AO211</f>
        <v>0</v>
      </c>
      <c r="AX211" s="30">
        <f t="shared" ref="AX211:AX223" si="236">F211*AP211</f>
        <v>0</v>
      </c>
      <c r="AY211" s="31" t="s">
        <v>549</v>
      </c>
      <c r="AZ211" s="31" t="s">
        <v>533</v>
      </c>
      <c r="BA211" s="10" t="s">
        <v>60</v>
      </c>
      <c r="BC211" s="30">
        <f t="shared" ref="BC211:BC223" si="237">AW211+AX211</f>
        <v>0</v>
      </c>
      <c r="BD211" s="30">
        <f t="shared" ref="BD211:BD223" si="238">G211/(100-BE211)*100</f>
        <v>0</v>
      </c>
      <c r="BE211" s="30">
        <v>0</v>
      </c>
      <c r="BF211" s="30">
        <f>211</f>
        <v>211</v>
      </c>
      <c r="BH211" s="30">
        <f t="shared" ref="BH211:BH223" si="239">F211*AO211</f>
        <v>0</v>
      </c>
      <c r="BI211" s="30">
        <f t="shared" ref="BI211:BI223" si="240">F211*AP211</f>
        <v>0</v>
      </c>
      <c r="BJ211" s="30">
        <f t="shared" ref="BJ211:BJ223" si="241">F211*G211</f>
        <v>0</v>
      </c>
      <c r="BK211" s="30"/>
      <c r="BL211" s="30"/>
      <c r="BW211" s="30">
        <v>12</v>
      </c>
      <c r="BX211" s="4" t="s">
        <v>605</v>
      </c>
    </row>
    <row r="212" spans="1:76" x14ac:dyDescent="0.25">
      <c r="A212" s="32" t="s">
        <v>606</v>
      </c>
      <c r="B212" s="33" t="s">
        <v>607</v>
      </c>
      <c r="C212" s="139" t="s">
        <v>608</v>
      </c>
      <c r="D212" s="140"/>
      <c r="E212" s="33" t="s">
        <v>56</v>
      </c>
      <c r="F212" s="34">
        <v>1</v>
      </c>
      <c r="G212" s="35">
        <v>0</v>
      </c>
      <c r="H212" s="34">
        <f t="shared" si="220"/>
        <v>0</v>
      </c>
      <c r="I212" s="34">
        <f t="shared" si="221"/>
        <v>0</v>
      </c>
      <c r="J212" s="34">
        <f t="shared" si="222"/>
        <v>0</v>
      </c>
      <c r="K212" s="36" t="s">
        <v>57</v>
      </c>
      <c r="Z212" s="30">
        <f t="shared" si="223"/>
        <v>0</v>
      </c>
      <c r="AB212" s="30">
        <f t="shared" si="224"/>
        <v>0</v>
      </c>
      <c r="AC212" s="30">
        <f t="shared" si="225"/>
        <v>0</v>
      </c>
      <c r="AD212" s="30">
        <f t="shared" si="226"/>
        <v>0</v>
      </c>
      <c r="AE212" s="30">
        <f t="shared" si="227"/>
        <v>0</v>
      </c>
      <c r="AF212" s="30">
        <f t="shared" si="228"/>
        <v>0</v>
      </c>
      <c r="AG212" s="30">
        <f t="shared" si="229"/>
        <v>0</v>
      </c>
      <c r="AH212" s="30">
        <f t="shared" si="230"/>
        <v>0</v>
      </c>
      <c r="AI212" s="10" t="s">
        <v>50</v>
      </c>
      <c r="AJ212" s="30">
        <f t="shared" si="231"/>
        <v>0</v>
      </c>
      <c r="AK212" s="30">
        <f t="shared" si="232"/>
        <v>0</v>
      </c>
      <c r="AL212" s="30">
        <f t="shared" si="233"/>
        <v>0</v>
      </c>
      <c r="AN212" s="30">
        <v>12</v>
      </c>
      <c r="AO212" s="30">
        <f>G212*1</f>
        <v>0</v>
      </c>
      <c r="AP212" s="30">
        <f>G212*(1-1)</f>
        <v>0</v>
      </c>
      <c r="AQ212" s="31" t="s">
        <v>53</v>
      </c>
      <c r="AV212" s="30">
        <f t="shared" si="234"/>
        <v>0</v>
      </c>
      <c r="AW212" s="30">
        <f t="shared" si="235"/>
        <v>0</v>
      </c>
      <c r="AX212" s="30">
        <f t="shared" si="236"/>
        <v>0</v>
      </c>
      <c r="AY212" s="31" t="s">
        <v>549</v>
      </c>
      <c r="AZ212" s="31" t="s">
        <v>533</v>
      </c>
      <c r="BA212" s="10" t="s">
        <v>60</v>
      </c>
      <c r="BC212" s="30">
        <f t="shared" si="237"/>
        <v>0</v>
      </c>
      <c r="BD212" s="30">
        <f t="shared" si="238"/>
        <v>0</v>
      </c>
      <c r="BE212" s="30">
        <v>0</v>
      </c>
      <c r="BF212" s="30">
        <f>212</f>
        <v>212</v>
      </c>
      <c r="BH212" s="30">
        <f t="shared" si="239"/>
        <v>0</v>
      </c>
      <c r="BI212" s="30">
        <f t="shared" si="240"/>
        <v>0</v>
      </c>
      <c r="BJ212" s="30">
        <f t="shared" si="241"/>
        <v>0</v>
      </c>
      <c r="BK212" s="30"/>
      <c r="BL212" s="30"/>
      <c r="BW212" s="30">
        <v>12</v>
      </c>
      <c r="BX212" s="4" t="s">
        <v>608</v>
      </c>
    </row>
    <row r="213" spans="1:76" x14ac:dyDescent="0.25">
      <c r="A213" s="32" t="s">
        <v>609</v>
      </c>
      <c r="B213" s="33" t="s">
        <v>610</v>
      </c>
      <c r="C213" s="139" t="s">
        <v>611</v>
      </c>
      <c r="D213" s="140"/>
      <c r="E213" s="33" t="s">
        <v>56</v>
      </c>
      <c r="F213" s="34">
        <v>4</v>
      </c>
      <c r="G213" s="35">
        <v>0</v>
      </c>
      <c r="H213" s="34">
        <f t="shared" si="220"/>
        <v>0</v>
      </c>
      <c r="I213" s="34">
        <f t="shared" si="221"/>
        <v>0</v>
      </c>
      <c r="J213" s="34">
        <f t="shared" si="222"/>
        <v>0</v>
      </c>
      <c r="K213" s="36" t="s">
        <v>57</v>
      </c>
      <c r="Z213" s="30">
        <f t="shared" si="223"/>
        <v>0</v>
      </c>
      <c r="AB213" s="30">
        <f t="shared" si="224"/>
        <v>0</v>
      </c>
      <c r="AC213" s="30">
        <f t="shared" si="225"/>
        <v>0</v>
      </c>
      <c r="AD213" s="30">
        <f t="shared" si="226"/>
        <v>0</v>
      </c>
      <c r="AE213" s="30">
        <f t="shared" si="227"/>
        <v>0</v>
      </c>
      <c r="AF213" s="30">
        <f t="shared" si="228"/>
        <v>0</v>
      </c>
      <c r="AG213" s="30">
        <f t="shared" si="229"/>
        <v>0</v>
      </c>
      <c r="AH213" s="30">
        <f t="shared" si="230"/>
        <v>0</v>
      </c>
      <c r="AI213" s="10" t="s">
        <v>50</v>
      </c>
      <c r="AJ213" s="30">
        <f t="shared" si="231"/>
        <v>0</v>
      </c>
      <c r="AK213" s="30">
        <f t="shared" si="232"/>
        <v>0</v>
      </c>
      <c r="AL213" s="30">
        <f t="shared" si="233"/>
        <v>0</v>
      </c>
      <c r="AN213" s="30">
        <v>12</v>
      </c>
      <c r="AO213" s="30">
        <f>G213*0</f>
        <v>0</v>
      </c>
      <c r="AP213" s="30">
        <f>G213*(1-0)</f>
        <v>0</v>
      </c>
      <c r="AQ213" s="31" t="s">
        <v>61</v>
      </c>
      <c r="AV213" s="30">
        <f t="shared" si="234"/>
        <v>0</v>
      </c>
      <c r="AW213" s="30">
        <f t="shared" si="235"/>
        <v>0</v>
      </c>
      <c r="AX213" s="30">
        <f t="shared" si="236"/>
        <v>0</v>
      </c>
      <c r="AY213" s="31" t="s">
        <v>549</v>
      </c>
      <c r="AZ213" s="31" t="s">
        <v>533</v>
      </c>
      <c r="BA213" s="10" t="s">
        <v>60</v>
      </c>
      <c r="BC213" s="30">
        <f t="shared" si="237"/>
        <v>0</v>
      </c>
      <c r="BD213" s="30">
        <f t="shared" si="238"/>
        <v>0</v>
      </c>
      <c r="BE213" s="30">
        <v>0</v>
      </c>
      <c r="BF213" s="30">
        <f>213</f>
        <v>213</v>
      </c>
      <c r="BH213" s="30">
        <f t="shared" si="239"/>
        <v>0</v>
      </c>
      <c r="BI213" s="30">
        <f t="shared" si="240"/>
        <v>0</v>
      </c>
      <c r="BJ213" s="30">
        <f t="shared" si="241"/>
        <v>0</v>
      </c>
      <c r="BK213" s="30"/>
      <c r="BL213" s="30"/>
      <c r="BW213" s="30">
        <v>12</v>
      </c>
      <c r="BX213" s="4" t="s">
        <v>611</v>
      </c>
    </row>
    <row r="214" spans="1:76" x14ac:dyDescent="0.25">
      <c r="A214" s="32" t="s">
        <v>612</v>
      </c>
      <c r="B214" s="33" t="s">
        <v>613</v>
      </c>
      <c r="C214" s="139" t="s">
        <v>614</v>
      </c>
      <c r="D214" s="140"/>
      <c r="E214" s="33" t="s">
        <v>56</v>
      </c>
      <c r="F214" s="34">
        <v>3</v>
      </c>
      <c r="G214" s="35">
        <v>0</v>
      </c>
      <c r="H214" s="34">
        <f t="shared" si="220"/>
        <v>0</v>
      </c>
      <c r="I214" s="34">
        <f t="shared" si="221"/>
        <v>0</v>
      </c>
      <c r="J214" s="34">
        <f t="shared" si="222"/>
        <v>0</v>
      </c>
      <c r="K214" s="36" t="s">
        <v>57</v>
      </c>
      <c r="Z214" s="30">
        <f t="shared" si="223"/>
        <v>0</v>
      </c>
      <c r="AB214" s="30">
        <f t="shared" si="224"/>
        <v>0</v>
      </c>
      <c r="AC214" s="30">
        <f t="shared" si="225"/>
        <v>0</v>
      </c>
      <c r="AD214" s="30">
        <f t="shared" si="226"/>
        <v>0</v>
      </c>
      <c r="AE214" s="30">
        <f t="shared" si="227"/>
        <v>0</v>
      </c>
      <c r="AF214" s="30">
        <f t="shared" si="228"/>
        <v>0</v>
      </c>
      <c r="AG214" s="30">
        <f t="shared" si="229"/>
        <v>0</v>
      </c>
      <c r="AH214" s="30">
        <f t="shared" si="230"/>
        <v>0</v>
      </c>
      <c r="AI214" s="10" t="s">
        <v>50</v>
      </c>
      <c r="AJ214" s="30">
        <f t="shared" si="231"/>
        <v>0</v>
      </c>
      <c r="AK214" s="30">
        <f t="shared" si="232"/>
        <v>0</v>
      </c>
      <c r="AL214" s="30">
        <f t="shared" si="233"/>
        <v>0</v>
      </c>
      <c r="AN214" s="30">
        <v>12</v>
      </c>
      <c r="AO214" s="30">
        <f>G214*1</f>
        <v>0</v>
      </c>
      <c r="AP214" s="30">
        <f>G214*(1-1)</f>
        <v>0</v>
      </c>
      <c r="AQ214" s="31" t="s">
        <v>53</v>
      </c>
      <c r="AV214" s="30">
        <f t="shared" si="234"/>
        <v>0</v>
      </c>
      <c r="AW214" s="30">
        <f t="shared" si="235"/>
        <v>0</v>
      </c>
      <c r="AX214" s="30">
        <f t="shared" si="236"/>
        <v>0</v>
      </c>
      <c r="AY214" s="31" t="s">
        <v>549</v>
      </c>
      <c r="AZ214" s="31" t="s">
        <v>533</v>
      </c>
      <c r="BA214" s="10" t="s">
        <v>60</v>
      </c>
      <c r="BC214" s="30">
        <f t="shared" si="237"/>
        <v>0</v>
      </c>
      <c r="BD214" s="30">
        <f t="shared" si="238"/>
        <v>0</v>
      </c>
      <c r="BE214" s="30">
        <v>0</v>
      </c>
      <c r="BF214" s="30">
        <f>214</f>
        <v>214</v>
      </c>
      <c r="BH214" s="30">
        <f t="shared" si="239"/>
        <v>0</v>
      </c>
      <c r="BI214" s="30">
        <f t="shared" si="240"/>
        <v>0</v>
      </c>
      <c r="BJ214" s="30">
        <f t="shared" si="241"/>
        <v>0</v>
      </c>
      <c r="BK214" s="30"/>
      <c r="BL214" s="30"/>
      <c r="BW214" s="30">
        <v>12</v>
      </c>
      <c r="BX214" s="4" t="s">
        <v>614</v>
      </c>
    </row>
    <row r="215" spans="1:76" x14ac:dyDescent="0.25">
      <c r="A215" s="32" t="s">
        <v>615</v>
      </c>
      <c r="B215" s="33" t="s">
        <v>616</v>
      </c>
      <c r="C215" s="139" t="s">
        <v>617</v>
      </c>
      <c r="D215" s="140"/>
      <c r="E215" s="33" t="s">
        <v>56</v>
      </c>
      <c r="F215" s="34">
        <v>1</v>
      </c>
      <c r="G215" s="35">
        <v>0</v>
      </c>
      <c r="H215" s="34">
        <f t="shared" si="220"/>
        <v>0</v>
      </c>
      <c r="I215" s="34">
        <f t="shared" si="221"/>
        <v>0</v>
      </c>
      <c r="J215" s="34">
        <f t="shared" si="222"/>
        <v>0</v>
      </c>
      <c r="K215" s="36" t="s">
        <v>57</v>
      </c>
      <c r="Z215" s="30">
        <f t="shared" si="223"/>
        <v>0</v>
      </c>
      <c r="AB215" s="30">
        <f t="shared" si="224"/>
        <v>0</v>
      </c>
      <c r="AC215" s="30">
        <f t="shared" si="225"/>
        <v>0</v>
      </c>
      <c r="AD215" s="30">
        <f t="shared" si="226"/>
        <v>0</v>
      </c>
      <c r="AE215" s="30">
        <f t="shared" si="227"/>
        <v>0</v>
      </c>
      <c r="AF215" s="30">
        <f t="shared" si="228"/>
        <v>0</v>
      </c>
      <c r="AG215" s="30">
        <f t="shared" si="229"/>
        <v>0</v>
      </c>
      <c r="AH215" s="30">
        <f t="shared" si="230"/>
        <v>0</v>
      </c>
      <c r="AI215" s="10" t="s">
        <v>50</v>
      </c>
      <c r="AJ215" s="30">
        <f t="shared" si="231"/>
        <v>0</v>
      </c>
      <c r="AK215" s="30">
        <f t="shared" si="232"/>
        <v>0</v>
      </c>
      <c r="AL215" s="30">
        <f t="shared" si="233"/>
        <v>0</v>
      </c>
      <c r="AN215" s="30">
        <v>12</v>
      </c>
      <c r="AO215" s="30">
        <f>G215*1</f>
        <v>0</v>
      </c>
      <c r="AP215" s="30">
        <f>G215*(1-1)</f>
        <v>0</v>
      </c>
      <c r="AQ215" s="31" t="s">
        <v>53</v>
      </c>
      <c r="AV215" s="30">
        <f t="shared" si="234"/>
        <v>0</v>
      </c>
      <c r="AW215" s="30">
        <f t="shared" si="235"/>
        <v>0</v>
      </c>
      <c r="AX215" s="30">
        <f t="shared" si="236"/>
        <v>0</v>
      </c>
      <c r="AY215" s="31" t="s">
        <v>549</v>
      </c>
      <c r="AZ215" s="31" t="s">
        <v>533</v>
      </c>
      <c r="BA215" s="10" t="s">
        <v>60</v>
      </c>
      <c r="BC215" s="30">
        <f t="shared" si="237"/>
        <v>0</v>
      </c>
      <c r="BD215" s="30">
        <f t="shared" si="238"/>
        <v>0</v>
      </c>
      <c r="BE215" s="30">
        <v>0</v>
      </c>
      <c r="BF215" s="30">
        <f>215</f>
        <v>215</v>
      </c>
      <c r="BH215" s="30">
        <f t="shared" si="239"/>
        <v>0</v>
      </c>
      <c r="BI215" s="30">
        <f t="shared" si="240"/>
        <v>0</v>
      </c>
      <c r="BJ215" s="30">
        <f t="shared" si="241"/>
        <v>0</v>
      </c>
      <c r="BK215" s="30"/>
      <c r="BL215" s="30"/>
      <c r="BW215" s="30">
        <v>12</v>
      </c>
      <c r="BX215" s="4" t="s">
        <v>617</v>
      </c>
    </row>
    <row r="216" spans="1:76" x14ac:dyDescent="0.25">
      <c r="A216" s="32" t="s">
        <v>618</v>
      </c>
      <c r="B216" s="33" t="s">
        <v>619</v>
      </c>
      <c r="C216" s="139" t="s">
        <v>620</v>
      </c>
      <c r="D216" s="140"/>
      <c r="E216" s="33" t="s">
        <v>56</v>
      </c>
      <c r="F216" s="34">
        <v>11</v>
      </c>
      <c r="G216" s="35">
        <v>0</v>
      </c>
      <c r="H216" s="34">
        <f t="shared" si="220"/>
        <v>0</v>
      </c>
      <c r="I216" s="34">
        <f t="shared" si="221"/>
        <v>0</v>
      </c>
      <c r="J216" s="34">
        <f t="shared" si="222"/>
        <v>0</v>
      </c>
      <c r="K216" s="36" t="s">
        <v>57</v>
      </c>
      <c r="Z216" s="30">
        <f t="shared" si="223"/>
        <v>0</v>
      </c>
      <c r="AB216" s="30">
        <f t="shared" si="224"/>
        <v>0</v>
      </c>
      <c r="AC216" s="30">
        <f t="shared" si="225"/>
        <v>0</v>
      </c>
      <c r="AD216" s="30">
        <f t="shared" si="226"/>
        <v>0</v>
      </c>
      <c r="AE216" s="30">
        <f t="shared" si="227"/>
        <v>0</v>
      </c>
      <c r="AF216" s="30">
        <f t="shared" si="228"/>
        <v>0</v>
      </c>
      <c r="AG216" s="30">
        <f t="shared" si="229"/>
        <v>0</v>
      </c>
      <c r="AH216" s="30">
        <f t="shared" si="230"/>
        <v>0</v>
      </c>
      <c r="AI216" s="10" t="s">
        <v>50</v>
      </c>
      <c r="AJ216" s="30">
        <f t="shared" si="231"/>
        <v>0</v>
      </c>
      <c r="AK216" s="30">
        <f t="shared" si="232"/>
        <v>0</v>
      </c>
      <c r="AL216" s="30">
        <f t="shared" si="233"/>
        <v>0</v>
      </c>
      <c r="AN216" s="30">
        <v>12</v>
      </c>
      <c r="AO216" s="30">
        <f>G216*1</f>
        <v>0</v>
      </c>
      <c r="AP216" s="30">
        <f>G216*(1-1)</f>
        <v>0</v>
      </c>
      <c r="AQ216" s="31" t="s">
        <v>53</v>
      </c>
      <c r="AV216" s="30">
        <f t="shared" si="234"/>
        <v>0</v>
      </c>
      <c r="AW216" s="30">
        <f t="shared" si="235"/>
        <v>0</v>
      </c>
      <c r="AX216" s="30">
        <f t="shared" si="236"/>
        <v>0</v>
      </c>
      <c r="AY216" s="31" t="s">
        <v>549</v>
      </c>
      <c r="AZ216" s="31" t="s">
        <v>533</v>
      </c>
      <c r="BA216" s="10" t="s">
        <v>60</v>
      </c>
      <c r="BC216" s="30">
        <f t="shared" si="237"/>
        <v>0</v>
      </c>
      <c r="BD216" s="30">
        <f t="shared" si="238"/>
        <v>0</v>
      </c>
      <c r="BE216" s="30">
        <v>0</v>
      </c>
      <c r="BF216" s="30">
        <f>216</f>
        <v>216</v>
      </c>
      <c r="BH216" s="30">
        <f t="shared" si="239"/>
        <v>0</v>
      </c>
      <c r="BI216" s="30">
        <f t="shared" si="240"/>
        <v>0</v>
      </c>
      <c r="BJ216" s="30">
        <f t="shared" si="241"/>
        <v>0</v>
      </c>
      <c r="BK216" s="30"/>
      <c r="BL216" s="30"/>
      <c r="BW216" s="30">
        <v>12</v>
      </c>
      <c r="BX216" s="4" t="s">
        <v>620</v>
      </c>
    </row>
    <row r="217" spans="1:76" x14ac:dyDescent="0.25">
      <c r="A217" s="32" t="s">
        <v>621</v>
      </c>
      <c r="B217" s="33" t="s">
        <v>622</v>
      </c>
      <c r="C217" s="139" t="s">
        <v>623</v>
      </c>
      <c r="D217" s="140"/>
      <c r="E217" s="33" t="s">
        <v>56</v>
      </c>
      <c r="F217" s="34">
        <v>7</v>
      </c>
      <c r="G217" s="35">
        <v>0</v>
      </c>
      <c r="H217" s="34">
        <f t="shared" si="220"/>
        <v>0</v>
      </c>
      <c r="I217" s="34">
        <f t="shared" si="221"/>
        <v>0</v>
      </c>
      <c r="J217" s="34">
        <f t="shared" si="222"/>
        <v>0</v>
      </c>
      <c r="K217" s="36" t="s">
        <v>57</v>
      </c>
      <c r="Z217" s="30">
        <f t="shared" si="223"/>
        <v>0</v>
      </c>
      <c r="AB217" s="30">
        <f t="shared" si="224"/>
        <v>0</v>
      </c>
      <c r="AC217" s="30">
        <f t="shared" si="225"/>
        <v>0</v>
      </c>
      <c r="AD217" s="30">
        <f t="shared" si="226"/>
        <v>0</v>
      </c>
      <c r="AE217" s="30">
        <f t="shared" si="227"/>
        <v>0</v>
      </c>
      <c r="AF217" s="30">
        <f t="shared" si="228"/>
        <v>0</v>
      </c>
      <c r="AG217" s="30">
        <f t="shared" si="229"/>
        <v>0</v>
      </c>
      <c r="AH217" s="30">
        <f t="shared" si="230"/>
        <v>0</v>
      </c>
      <c r="AI217" s="10" t="s">
        <v>50</v>
      </c>
      <c r="AJ217" s="30">
        <f t="shared" si="231"/>
        <v>0</v>
      </c>
      <c r="AK217" s="30">
        <f t="shared" si="232"/>
        <v>0</v>
      </c>
      <c r="AL217" s="30">
        <f t="shared" si="233"/>
        <v>0</v>
      </c>
      <c r="AN217" s="30">
        <v>12</v>
      </c>
      <c r="AO217" s="30">
        <f>G217*1</f>
        <v>0</v>
      </c>
      <c r="AP217" s="30">
        <f>G217*(1-1)</f>
        <v>0</v>
      </c>
      <c r="AQ217" s="31" t="s">
        <v>53</v>
      </c>
      <c r="AV217" s="30">
        <f t="shared" si="234"/>
        <v>0</v>
      </c>
      <c r="AW217" s="30">
        <f t="shared" si="235"/>
        <v>0</v>
      </c>
      <c r="AX217" s="30">
        <f t="shared" si="236"/>
        <v>0</v>
      </c>
      <c r="AY217" s="31" t="s">
        <v>549</v>
      </c>
      <c r="AZ217" s="31" t="s">
        <v>533</v>
      </c>
      <c r="BA217" s="10" t="s">
        <v>60</v>
      </c>
      <c r="BC217" s="30">
        <f t="shared" si="237"/>
        <v>0</v>
      </c>
      <c r="BD217" s="30">
        <f t="shared" si="238"/>
        <v>0</v>
      </c>
      <c r="BE217" s="30">
        <v>0</v>
      </c>
      <c r="BF217" s="30">
        <f>217</f>
        <v>217</v>
      </c>
      <c r="BH217" s="30">
        <f t="shared" si="239"/>
        <v>0</v>
      </c>
      <c r="BI217" s="30">
        <f t="shared" si="240"/>
        <v>0</v>
      </c>
      <c r="BJ217" s="30">
        <f t="shared" si="241"/>
        <v>0</v>
      </c>
      <c r="BK217" s="30"/>
      <c r="BL217" s="30"/>
      <c r="BW217" s="30">
        <v>12</v>
      </c>
      <c r="BX217" s="4" t="s">
        <v>623</v>
      </c>
    </row>
    <row r="218" spans="1:76" x14ac:dyDescent="0.25">
      <c r="A218" s="32" t="s">
        <v>624</v>
      </c>
      <c r="B218" s="33" t="s">
        <v>625</v>
      </c>
      <c r="C218" s="139" t="s">
        <v>626</v>
      </c>
      <c r="D218" s="140"/>
      <c r="E218" s="33" t="s">
        <v>56</v>
      </c>
      <c r="F218" s="34">
        <v>2</v>
      </c>
      <c r="G218" s="35">
        <v>0</v>
      </c>
      <c r="H218" s="34">
        <f t="shared" si="220"/>
        <v>0</v>
      </c>
      <c r="I218" s="34">
        <f t="shared" si="221"/>
        <v>0</v>
      </c>
      <c r="J218" s="34">
        <f t="shared" si="222"/>
        <v>0</v>
      </c>
      <c r="K218" s="36" t="s">
        <v>57</v>
      </c>
      <c r="Z218" s="30">
        <f t="shared" si="223"/>
        <v>0</v>
      </c>
      <c r="AB218" s="30">
        <f t="shared" si="224"/>
        <v>0</v>
      </c>
      <c r="AC218" s="30">
        <f t="shared" si="225"/>
        <v>0</v>
      </c>
      <c r="AD218" s="30">
        <f t="shared" si="226"/>
        <v>0</v>
      </c>
      <c r="AE218" s="30">
        <f t="shared" si="227"/>
        <v>0</v>
      </c>
      <c r="AF218" s="30">
        <f t="shared" si="228"/>
        <v>0</v>
      </c>
      <c r="AG218" s="30">
        <f t="shared" si="229"/>
        <v>0</v>
      </c>
      <c r="AH218" s="30">
        <f t="shared" si="230"/>
        <v>0</v>
      </c>
      <c r="AI218" s="10" t="s">
        <v>50</v>
      </c>
      <c r="AJ218" s="30">
        <f t="shared" si="231"/>
        <v>0</v>
      </c>
      <c r="AK218" s="30">
        <f t="shared" si="232"/>
        <v>0</v>
      </c>
      <c r="AL218" s="30">
        <f t="shared" si="233"/>
        <v>0</v>
      </c>
      <c r="AN218" s="30">
        <v>12</v>
      </c>
      <c r="AO218" s="30">
        <f>G218*0</f>
        <v>0</v>
      </c>
      <c r="AP218" s="30">
        <f>G218*(1-0)</f>
        <v>0</v>
      </c>
      <c r="AQ218" s="31" t="s">
        <v>61</v>
      </c>
      <c r="AV218" s="30">
        <f t="shared" si="234"/>
        <v>0</v>
      </c>
      <c r="AW218" s="30">
        <f t="shared" si="235"/>
        <v>0</v>
      </c>
      <c r="AX218" s="30">
        <f t="shared" si="236"/>
        <v>0</v>
      </c>
      <c r="AY218" s="31" t="s">
        <v>549</v>
      </c>
      <c r="AZ218" s="31" t="s">
        <v>533</v>
      </c>
      <c r="BA218" s="10" t="s">
        <v>60</v>
      </c>
      <c r="BC218" s="30">
        <f t="shared" si="237"/>
        <v>0</v>
      </c>
      <c r="BD218" s="30">
        <f t="shared" si="238"/>
        <v>0</v>
      </c>
      <c r="BE218" s="30">
        <v>0</v>
      </c>
      <c r="BF218" s="30">
        <f>218</f>
        <v>218</v>
      </c>
      <c r="BH218" s="30">
        <f t="shared" si="239"/>
        <v>0</v>
      </c>
      <c r="BI218" s="30">
        <f t="shared" si="240"/>
        <v>0</v>
      </c>
      <c r="BJ218" s="30">
        <f t="shared" si="241"/>
        <v>0</v>
      </c>
      <c r="BK218" s="30"/>
      <c r="BL218" s="30"/>
      <c r="BW218" s="30">
        <v>12</v>
      </c>
      <c r="BX218" s="4" t="s">
        <v>626</v>
      </c>
    </row>
    <row r="219" spans="1:76" x14ac:dyDescent="0.25">
      <c r="A219" s="32" t="s">
        <v>627</v>
      </c>
      <c r="B219" s="33" t="s">
        <v>628</v>
      </c>
      <c r="C219" s="139" t="s">
        <v>629</v>
      </c>
      <c r="D219" s="140"/>
      <c r="E219" s="33" t="s">
        <v>56</v>
      </c>
      <c r="F219" s="34">
        <v>1</v>
      </c>
      <c r="G219" s="35">
        <v>0</v>
      </c>
      <c r="H219" s="34">
        <f t="shared" si="220"/>
        <v>0</v>
      </c>
      <c r="I219" s="34">
        <f t="shared" si="221"/>
        <v>0</v>
      </c>
      <c r="J219" s="34">
        <f t="shared" si="222"/>
        <v>0</v>
      </c>
      <c r="K219" s="36" t="s">
        <v>57</v>
      </c>
      <c r="Z219" s="30">
        <f t="shared" si="223"/>
        <v>0</v>
      </c>
      <c r="AB219" s="30">
        <f t="shared" si="224"/>
        <v>0</v>
      </c>
      <c r="AC219" s="30">
        <f t="shared" si="225"/>
        <v>0</v>
      </c>
      <c r="AD219" s="30">
        <f t="shared" si="226"/>
        <v>0</v>
      </c>
      <c r="AE219" s="30">
        <f t="shared" si="227"/>
        <v>0</v>
      </c>
      <c r="AF219" s="30">
        <f t="shared" si="228"/>
        <v>0</v>
      </c>
      <c r="AG219" s="30">
        <f t="shared" si="229"/>
        <v>0</v>
      </c>
      <c r="AH219" s="30">
        <f t="shared" si="230"/>
        <v>0</v>
      </c>
      <c r="AI219" s="10" t="s">
        <v>50</v>
      </c>
      <c r="AJ219" s="30">
        <f t="shared" si="231"/>
        <v>0</v>
      </c>
      <c r="AK219" s="30">
        <f t="shared" si="232"/>
        <v>0</v>
      </c>
      <c r="AL219" s="30">
        <f t="shared" si="233"/>
        <v>0</v>
      </c>
      <c r="AN219" s="30">
        <v>12</v>
      </c>
      <c r="AO219" s="30">
        <f>G219*1</f>
        <v>0</v>
      </c>
      <c r="AP219" s="30">
        <f>G219*(1-1)</f>
        <v>0</v>
      </c>
      <c r="AQ219" s="31" t="s">
        <v>53</v>
      </c>
      <c r="AV219" s="30">
        <f t="shared" si="234"/>
        <v>0</v>
      </c>
      <c r="AW219" s="30">
        <f t="shared" si="235"/>
        <v>0</v>
      </c>
      <c r="AX219" s="30">
        <f t="shared" si="236"/>
        <v>0</v>
      </c>
      <c r="AY219" s="31" t="s">
        <v>549</v>
      </c>
      <c r="AZ219" s="31" t="s">
        <v>533</v>
      </c>
      <c r="BA219" s="10" t="s">
        <v>60</v>
      </c>
      <c r="BC219" s="30">
        <f t="shared" si="237"/>
        <v>0</v>
      </c>
      <c r="BD219" s="30">
        <f t="shared" si="238"/>
        <v>0</v>
      </c>
      <c r="BE219" s="30">
        <v>0</v>
      </c>
      <c r="BF219" s="30">
        <f>219</f>
        <v>219</v>
      </c>
      <c r="BH219" s="30">
        <f t="shared" si="239"/>
        <v>0</v>
      </c>
      <c r="BI219" s="30">
        <f t="shared" si="240"/>
        <v>0</v>
      </c>
      <c r="BJ219" s="30">
        <f t="shared" si="241"/>
        <v>0</v>
      </c>
      <c r="BK219" s="30"/>
      <c r="BL219" s="30"/>
      <c r="BW219" s="30">
        <v>12</v>
      </c>
      <c r="BX219" s="4" t="s">
        <v>629</v>
      </c>
    </row>
    <row r="220" spans="1:76" x14ac:dyDescent="0.25">
      <c r="A220" s="32" t="s">
        <v>630</v>
      </c>
      <c r="B220" s="33" t="s">
        <v>560</v>
      </c>
      <c r="C220" s="139" t="s">
        <v>631</v>
      </c>
      <c r="D220" s="140"/>
      <c r="E220" s="33" t="s">
        <v>56</v>
      </c>
      <c r="F220" s="34">
        <v>1</v>
      </c>
      <c r="G220" s="35">
        <v>0</v>
      </c>
      <c r="H220" s="34">
        <f t="shared" si="220"/>
        <v>0</v>
      </c>
      <c r="I220" s="34">
        <f t="shared" si="221"/>
        <v>0</v>
      </c>
      <c r="J220" s="34">
        <f t="shared" si="222"/>
        <v>0</v>
      </c>
      <c r="K220" s="36" t="s">
        <v>57</v>
      </c>
      <c r="Z220" s="30">
        <f t="shared" si="223"/>
        <v>0</v>
      </c>
      <c r="AB220" s="30">
        <f t="shared" si="224"/>
        <v>0</v>
      </c>
      <c r="AC220" s="30">
        <f t="shared" si="225"/>
        <v>0</v>
      </c>
      <c r="AD220" s="30">
        <f t="shared" si="226"/>
        <v>0</v>
      </c>
      <c r="AE220" s="30">
        <f t="shared" si="227"/>
        <v>0</v>
      </c>
      <c r="AF220" s="30">
        <f t="shared" si="228"/>
        <v>0</v>
      </c>
      <c r="AG220" s="30">
        <f t="shared" si="229"/>
        <v>0</v>
      </c>
      <c r="AH220" s="30">
        <f t="shared" si="230"/>
        <v>0</v>
      </c>
      <c r="AI220" s="10" t="s">
        <v>50</v>
      </c>
      <c r="AJ220" s="30">
        <f t="shared" si="231"/>
        <v>0</v>
      </c>
      <c r="AK220" s="30">
        <f t="shared" si="232"/>
        <v>0</v>
      </c>
      <c r="AL220" s="30">
        <f t="shared" si="233"/>
        <v>0</v>
      </c>
      <c r="AN220" s="30">
        <v>12</v>
      </c>
      <c r="AO220" s="30">
        <f>G220*1</f>
        <v>0</v>
      </c>
      <c r="AP220" s="30">
        <f>G220*(1-1)</f>
        <v>0</v>
      </c>
      <c r="AQ220" s="31" t="s">
        <v>53</v>
      </c>
      <c r="AV220" s="30">
        <f t="shared" si="234"/>
        <v>0</v>
      </c>
      <c r="AW220" s="30">
        <f t="shared" si="235"/>
        <v>0</v>
      </c>
      <c r="AX220" s="30">
        <f t="shared" si="236"/>
        <v>0</v>
      </c>
      <c r="AY220" s="31" t="s">
        <v>549</v>
      </c>
      <c r="AZ220" s="31" t="s">
        <v>533</v>
      </c>
      <c r="BA220" s="10" t="s">
        <v>60</v>
      </c>
      <c r="BC220" s="30">
        <f t="shared" si="237"/>
        <v>0</v>
      </c>
      <c r="BD220" s="30">
        <f t="shared" si="238"/>
        <v>0</v>
      </c>
      <c r="BE220" s="30">
        <v>0</v>
      </c>
      <c r="BF220" s="30">
        <f>220</f>
        <v>220</v>
      </c>
      <c r="BH220" s="30">
        <f t="shared" si="239"/>
        <v>0</v>
      </c>
      <c r="BI220" s="30">
        <f t="shared" si="240"/>
        <v>0</v>
      </c>
      <c r="BJ220" s="30">
        <f t="shared" si="241"/>
        <v>0</v>
      </c>
      <c r="BK220" s="30"/>
      <c r="BL220" s="30"/>
      <c r="BW220" s="30">
        <v>12</v>
      </c>
      <c r="BX220" s="4" t="s">
        <v>631</v>
      </c>
    </row>
    <row r="221" spans="1:76" x14ac:dyDescent="0.25">
      <c r="A221" s="32" t="s">
        <v>632</v>
      </c>
      <c r="B221" s="33" t="s">
        <v>633</v>
      </c>
      <c r="C221" s="139" t="s">
        <v>634</v>
      </c>
      <c r="D221" s="140"/>
      <c r="E221" s="33" t="s">
        <v>56</v>
      </c>
      <c r="F221" s="34">
        <v>1</v>
      </c>
      <c r="G221" s="35">
        <v>0</v>
      </c>
      <c r="H221" s="34">
        <f t="shared" si="220"/>
        <v>0</v>
      </c>
      <c r="I221" s="34">
        <f t="shared" si="221"/>
        <v>0</v>
      </c>
      <c r="J221" s="34">
        <f t="shared" si="222"/>
        <v>0</v>
      </c>
      <c r="K221" s="36" t="s">
        <v>57</v>
      </c>
      <c r="Z221" s="30">
        <f t="shared" si="223"/>
        <v>0</v>
      </c>
      <c r="AB221" s="30">
        <f t="shared" si="224"/>
        <v>0</v>
      </c>
      <c r="AC221" s="30">
        <f t="shared" si="225"/>
        <v>0</v>
      </c>
      <c r="AD221" s="30">
        <f t="shared" si="226"/>
        <v>0</v>
      </c>
      <c r="AE221" s="30">
        <f t="shared" si="227"/>
        <v>0</v>
      </c>
      <c r="AF221" s="30">
        <f t="shared" si="228"/>
        <v>0</v>
      </c>
      <c r="AG221" s="30">
        <f t="shared" si="229"/>
        <v>0</v>
      </c>
      <c r="AH221" s="30">
        <f t="shared" si="230"/>
        <v>0</v>
      </c>
      <c r="AI221" s="10" t="s">
        <v>50</v>
      </c>
      <c r="AJ221" s="30">
        <f t="shared" si="231"/>
        <v>0</v>
      </c>
      <c r="AK221" s="30">
        <f t="shared" si="232"/>
        <v>0</v>
      </c>
      <c r="AL221" s="30">
        <f t="shared" si="233"/>
        <v>0</v>
      </c>
      <c r="AN221" s="30">
        <v>12</v>
      </c>
      <c r="AO221" s="30">
        <f>G221*1</f>
        <v>0</v>
      </c>
      <c r="AP221" s="30">
        <f>G221*(1-1)</f>
        <v>0</v>
      </c>
      <c r="AQ221" s="31" t="s">
        <v>53</v>
      </c>
      <c r="AV221" s="30">
        <f t="shared" si="234"/>
        <v>0</v>
      </c>
      <c r="AW221" s="30">
        <f t="shared" si="235"/>
        <v>0</v>
      </c>
      <c r="AX221" s="30">
        <f t="shared" si="236"/>
        <v>0</v>
      </c>
      <c r="AY221" s="31" t="s">
        <v>549</v>
      </c>
      <c r="AZ221" s="31" t="s">
        <v>533</v>
      </c>
      <c r="BA221" s="10" t="s">
        <v>60</v>
      </c>
      <c r="BC221" s="30">
        <f t="shared" si="237"/>
        <v>0</v>
      </c>
      <c r="BD221" s="30">
        <f t="shared" si="238"/>
        <v>0</v>
      </c>
      <c r="BE221" s="30">
        <v>0</v>
      </c>
      <c r="BF221" s="30">
        <f>221</f>
        <v>221</v>
      </c>
      <c r="BH221" s="30">
        <f t="shared" si="239"/>
        <v>0</v>
      </c>
      <c r="BI221" s="30">
        <f t="shared" si="240"/>
        <v>0</v>
      </c>
      <c r="BJ221" s="30">
        <f t="shared" si="241"/>
        <v>0</v>
      </c>
      <c r="BK221" s="30"/>
      <c r="BL221" s="30"/>
      <c r="BW221" s="30">
        <v>12</v>
      </c>
      <c r="BX221" s="4" t="s">
        <v>634</v>
      </c>
    </row>
    <row r="222" spans="1:76" x14ac:dyDescent="0.25">
      <c r="A222" s="32" t="s">
        <v>635</v>
      </c>
      <c r="B222" s="33" t="s">
        <v>636</v>
      </c>
      <c r="C222" s="139" t="s">
        <v>637</v>
      </c>
      <c r="D222" s="140"/>
      <c r="E222" s="33" t="s">
        <v>56</v>
      </c>
      <c r="F222" s="34">
        <v>1</v>
      </c>
      <c r="G222" s="35">
        <v>0</v>
      </c>
      <c r="H222" s="34">
        <f t="shared" si="220"/>
        <v>0</v>
      </c>
      <c r="I222" s="34">
        <f t="shared" si="221"/>
        <v>0</v>
      </c>
      <c r="J222" s="34">
        <f t="shared" si="222"/>
        <v>0</v>
      </c>
      <c r="K222" s="36" t="s">
        <v>57</v>
      </c>
      <c r="Z222" s="30">
        <f t="shared" si="223"/>
        <v>0</v>
      </c>
      <c r="AB222" s="30">
        <f t="shared" si="224"/>
        <v>0</v>
      </c>
      <c r="AC222" s="30">
        <f t="shared" si="225"/>
        <v>0</v>
      </c>
      <c r="AD222" s="30">
        <f t="shared" si="226"/>
        <v>0</v>
      </c>
      <c r="AE222" s="30">
        <f t="shared" si="227"/>
        <v>0</v>
      </c>
      <c r="AF222" s="30">
        <f t="shared" si="228"/>
        <v>0</v>
      </c>
      <c r="AG222" s="30">
        <f t="shared" si="229"/>
        <v>0</v>
      </c>
      <c r="AH222" s="30">
        <f t="shared" si="230"/>
        <v>0</v>
      </c>
      <c r="AI222" s="10" t="s">
        <v>50</v>
      </c>
      <c r="AJ222" s="30">
        <f t="shared" si="231"/>
        <v>0</v>
      </c>
      <c r="AK222" s="30">
        <f t="shared" si="232"/>
        <v>0</v>
      </c>
      <c r="AL222" s="30">
        <f t="shared" si="233"/>
        <v>0</v>
      </c>
      <c r="AN222" s="30">
        <v>12</v>
      </c>
      <c r="AO222" s="30">
        <f>G222*1</f>
        <v>0</v>
      </c>
      <c r="AP222" s="30">
        <f>G222*(1-1)</f>
        <v>0</v>
      </c>
      <c r="AQ222" s="31" t="s">
        <v>53</v>
      </c>
      <c r="AV222" s="30">
        <f t="shared" si="234"/>
        <v>0</v>
      </c>
      <c r="AW222" s="30">
        <f t="shared" si="235"/>
        <v>0</v>
      </c>
      <c r="AX222" s="30">
        <f t="shared" si="236"/>
        <v>0</v>
      </c>
      <c r="AY222" s="31" t="s">
        <v>549</v>
      </c>
      <c r="AZ222" s="31" t="s">
        <v>533</v>
      </c>
      <c r="BA222" s="10" t="s">
        <v>60</v>
      </c>
      <c r="BC222" s="30">
        <f t="shared" si="237"/>
        <v>0</v>
      </c>
      <c r="BD222" s="30">
        <f t="shared" si="238"/>
        <v>0</v>
      </c>
      <c r="BE222" s="30">
        <v>0</v>
      </c>
      <c r="BF222" s="30">
        <f>222</f>
        <v>222</v>
      </c>
      <c r="BH222" s="30">
        <f t="shared" si="239"/>
        <v>0</v>
      </c>
      <c r="BI222" s="30">
        <f t="shared" si="240"/>
        <v>0</v>
      </c>
      <c r="BJ222" s="30">
        <f t="shared" si="241"/>
        <v>0</v>
      </c>
      <c r="BK222" s="30"/>
      <c r="BL222" s="30"/>
      <c r="BW222" s="30">
        <v>12</v>
      </c>
      <c r="BX222" s="4" t="s">
        <v>637</v>
      </c>
    </row>
    <row r="223" spans="1:76" x14ac:dyDescent="0.25">
      <c r="A223" s="32" t="s">
        <v>638</v>
      </c>
      <c r="B223" s="33" t="s">
        <v>639</v>
      </c>
      <c r="C223" s="139" t="s">
        <v>640</v>
      </c>
      <c r="D223" s="140"/>
      <c r="E223" s="33" t="s">
        <v>218</v>
      </c>
      <c r="F223" s="34">
        <v>1</v>
      </c>
      <c r="G223" s="35">
        <v>0</v>
      </c>
      <c r="H223" s="34">
        <f t="shared" si="220"/>
        <v>0</v>
      </c>
      <c r="I223" s="34">
        <f t="shared" si="221"/>
        <v>0</v>
      </c>
      <c r="J223" s="34">
        <f t="shared" si="222"/>
        <v>0</v>
      </c>
      <c r="K223" s="36" t="s">
        <v>57</v>
      </c>
      <c r="Z223" s="30">
        <f t="shared" si="223"/>
        <v>0</v>
      </c>
      <c r="AB223" s="30">
        <f t="shared" si="224"/>
        <v>0</v>
      </c>
      <c r="AC223" s="30">
        <f t="shared" si="225"/>
        <v>0</v>
      </c>
      <c r="AD223" s="30">
        <f t="shared" si="226"/>
        <v>0</v>
      </c>
      <c r="AE223" s="30">
        <f t="shared" si="227"/>
        <v>0</v>
      </c>
      <c r="AF223" s="30">
        <f t="shared" si="228"/>
        <v>0</v>
      </c>
      <c r="AG223" s="30">
        <f t="shared" si="229"/>
        <v>0</v>
      </c>
      <c r="AH223" s="30">
        <f t="shared" si="230"/>
        <v>0</v>
      </c>
      <c r="AI223" s="10" t="s">
        <v>50</v>
      </c>
      <c r="AJ223" s="30">
        <f t="shared" si="231"/>
        <v>0</v>
      </c>
      <c r="AK223" s="30">
        <f t="shared" si="232"/>
        <v>0</v>
      </c>
      <c r="AL223" s="30">
        <f t="shared" si="233"/>
        <v>0</v>
      </c>
      <c r="AN223" s="30">
        <v>12</v>
      </c>
      <c r="AO223" s="30">
        <f>G223*0.450859107</f>
        <v>0</v>
      </c>
      <c r="AP223" s="30">
        <f>G223*(1-0.450859107)</f>
        <v>0</v>
      </c>
      <c r="AQ223" s="31" t="s">
        <v>53</v>
      </c>
      <c r="AV223" s="30">
        <f t="shared" si="234"/>
        <v>0</v>
      </c>
      <c r="AW223" s="30">
        <f t="shared" si="235"/>
        <v>0</v>
      </c>
      <c r="AX223" s="30">
        <f t="shared" si="236"/>
        <v>0</v>
      </c>
      <c r="AY223" s="31" t="s">
        <v>549</v>
      </c>
      <c r="AZ223" s="31" t="s">
        <v>533</v>
      </c>
      <c r="BA223" s="10" t="s">
        <v>60</v>
      </c>
      <c r="BC223" s="30">
        <f t="shared" si="237"/>
        <v>0</v>
      </c>
      <c r="BD223" s="30">
        <f t="shared" si="238"/>
        <v>0</v>
      </c>
      <c r="BE223" s="30">
        <v>0</v>
      </c>
      <c r="BF223" s="30">
        <f>223</f>
        <v>223</v>
      </c>
      <c r="BH223" s="30">
        <f t="shared" si="239"/>
        <v>0</v>
      </c>
      <c r="BI223" s="30">
        <f t="shared" si="240"/>
        <v>0</v>
      </c>
      <c r="BJ223" s="30">
        <f t="shared" si="241"/>
        <v>0</v>
      </c>
      <c r="BK223" s="30"/>
      <c r="BL223" s="30"/>
      <c r="BW223" s="30">
        <v>12</v>
      </c>
      <c r="BX223" s="4" t="s">
        <v>640</v>
      </c>
    </row>
    <row r="224" spans="1:76" ht="13.5" customHeight="1" x14ac:dyDescent="0.25">
      <c r="A224" s="37"/>
      <c r="B224" s="38" t="s">
        <v>68</v>
      </c>
      <c r="C224" s="141" t="s">
        <v>641</v>
      </c>
      <c r="D224" s="142"/>
      <c r="E224" s="142"/>
      <c r="F224" s="142"/>
      <c r="G224" s="143"/>
      <c r="H224" s="142"/>
      <c r="I224" s="142"/>
      <c r="J224" s="142"/>
      <c r="K224" s="144"/>
    </row>
    <row r="225" spans="1:76" x14ac:dyDescent="0.25">
      <c r="A225" s="25" t="s">
        <v>642</v>
      </c>
      <c r="B225" s="26" t="s">
        <v>643</v>
      </c>
      <c r="C225" s="137" t="s">
        <v>644</v>
      </c>
      <c r="D225" s="138"/>
      <c r="E225" s="26" t="s">
        <v>56</v>
      </c>
      <c r="F225" s="27">
        <v>1</v>
      </c>
      <c r="G225" s="28">
        <v>0</v>
      </c>
      <c r="H225" s="27">
        <f>F225*AO225</f>
        <v>0</v>
      </c>
      <c r="I225" s="27">
        <f>F225*AP225</f>
        <v>0</v>
      </c>
      <c r="J225" s="27">
        <f>F225*G225</f>
        <v>0</v>
      </c>
      <c r="K225" s="29" t="s">
        <v>57</v>
      </c>
      <c r="Z225" s="30">
        <f>IF(AQ225="5",BJ225,0)</f>
        <v>0</v>
      </c>
      <c r="AB225" s="30">
        <f>IF(AQ225="1",BH225,0)</f>
        <v>0</v>
      </c>
      <c r="AC225" s="30">
        <f>IF(AQ225="1",BI225,0)</f>
        <v>0</v>
      </c>
      <c r="AD225" s="30">
        <f>IF(AQ225="7",BH225,0)</f>
        <v>0</v>
      </c>
      <c r="AE225" s="30">
        <f>IF(AQ225="7",BI225,0)</f>
        <v>0</v>
      </c>
      <c r="AF225" s="30">
        <f>IF(AQ225="2",BH225,0)</f>
        <v>0</v>
      </c>
      <c r="AG225" s="30">
        <f>IF(AQ225="2",BI225,0)</f>
        <v>0</v>
      </c>
      <c r="AH225" s="30">
        <f>IF(AQ225="0",BJ225,0)</f>
        <v>0</v>
      </c>
      <c r="AI225" s="10" t="s">
        <v>50</v>
      </c>
      <c r="AJ225" s="30">
        <f>IF(AN225=0,J225,0)</f>
        <v>0</v>
      </c>
      <c r="AK225" s="30">
        <f>IF(AN225=12,J225,0)</f>
        <v>0</v>
      </c>
      <c r="AL225" s="30">
        <f>IF(AN225=21,J225,0)</f>
        <v>0</v>
      </c>
      <c r="AN225" s="30">
        <v>12</v>
      </c>
      <c r="AO225" s="30">
        <f>G225*1</f>
        <v>0</v>
      </c>
      <c r="AP225" s="30">
        <f>G225*(1-1)</f>
        <v>0</v>
      </c>
      <c r="AQ225" s="31" t="s">
        <v>53</v>
      </c>
      <c r="AV225" s="30">
        <f>AW225+AX225</f>
        <v>0</v>
      </c>
      <c r="AW225" s="30">
        <f>F225*AO225</f>
        <v>0</v>
      </c>
      <c r="AX225" s="30">
        <f>F225*AP225</f>
        <v>0</v>
      </c>
      <c r="AY225" s="31" t="s">
        <v>549</v>
      </c>
      <c r="AZ225" s="31" t="s">
        <v>533</v>
      </c>
      <c r="BA225" s="10" t="s">
        <v>60</v>
      </c>
      <c r="BC225" s="30">
        <f>AW225+AX225</f>
        <v>0</v>
      </c>
      <c r="BD225" s="30">
        <f>G225/(100-BE225)*100</f>
        <v>0</v>
      </c>
      <c r="BE225" s="30">
        <v>0</v>
      </c>
      <c r="BF225" s="30">
        <f>225</f>
        <v>225</v>
      </c>
      <c r="BH225" s="30">
        <f>F225*AO225</f>
        <v>0</v>
      </c>
      <c r="BI225" s="30">
        <f>F225*AP225</f>
        <v>0</v>
      </c>
      <c r="BJ225" s="30">
        <f>F225*G225</f>
        <v>0</v>
      </c>
      <c r="BK225" s="30"/>
      <c r="BL225" s="30"/>
      <c r="BW225" s="30">
        <v>12</v>
      </c>
      <c r="BX225" s="4" t="s">
        <v>644</v>
      </c>
    </row>
    <row r="226" spans="1:76" x14ac:dyDescent="0.25">
      <c r="A226" s="32" t="s">
        <v>645</v>
      </c>
      <c r="B226" s="33" t="s">
        <v>646</v>
      </c>
      <c r="C226" s="139" t="s">
        <v>647</v>
      </c>
      <c r="D226" s="140"/>
      <c r="E226" s="33" t="s">
        <v>548</v>
      </c>
      <c r="F226" s="34">
        <v>1</v>
      </c>
      <c r="G226" s="35">
        <v>0</v>
      </c>
      <c r="H226" s="34">
        <f>F226*AO226</f>
        <v>0</v>
      </c>
      <c r="I226" s="34">
        <f>F226*AP226</f>
        <v>0</v>
      </c>
      <c r="J226" s="34">
        <f>F226*G226</f>
        <v>0</v>
      </c>
      <c r="K226" s="36" t="s">
        <v>57</v>
      </c>
      <c r="Z226" s="30">
        <f>IF(AQ226="5",BJ226,0)</f>
        <v>0</v>
      </c>
      <c r="AB226" s="30">
        <f>IF(AQ226="1",BH226,0)</f>
        <v>0</v>
      </c>
      <c r="AC226" s="30">
        <f>IF(AQ226="1",BI226,0)</f>
        <v>0</v>
      </c>
      <c r="AD226" s="30">
        <f>IF(AQ226="7",BH226,0)</f>
        <v>0</v>
      </c>
      <c r="AE226" s="30">
        <f>IF(AQ226="7",BI226,0)</f>
        <v>0</v>
      </c>
      <c r="AF226" s="30">
        <f>IF(AQ226="2",BH226,0)</f>
        <v>0</v>
      </c>
      <c r="AG226" s="30">
        <f>IF(AQ226="2",BI226,0)</f>
        <v>0</v>
      </c>
      <c r="AH226" s="30">
        <f>IF(AQ226="0",BJ226,0)</f>
        <v>0</v>
      </c>
      <c r="AI226" s="10" t="s">
        <v>50</v>
      </c>
      <c r="AJ226" s="30">
        <f>IF(AN226=0,J226,0)</f>
        <v>0</v>
      </c>
      <c r="AK226" s="30">
        <f>IF(AN226=12,J226,0)</f>
        <v>0</v>
      </c>
      <c r="AL226" s="30">
        <f>IF(AN226=21,J226,0)</f>
        <v>0</v>
      </c>
      <c r="AN226" s="30">
        <v>12</v>
      </c>
      <c r="AO226" s="30">
        <f>G226*0.149029544</f>
        <v>0</v>
      </c>
      <c r="AP226" s="30">
        <f>G226*(1-0.149029544)</f>
        <v>0</v>
      </c>
      <c r="AQ226" s="31" t="s">
        <v>61</v>
      </c>
      <c r="AV226" s="30">
        <f>AW226+AX226</f>
        <v>0</v>
      </c>
      <c r="AW226" s="30">
        <f>F226*AO226</f>
        <v>0</v>
      </c>
      <c r="AX226" s="30">
        <f>F226*AP226</f>
        <v>0</v>
      </c>
      <c r="AY226" s="31" t="s">
        <v>549</v>
      </c>
      <c r="AZ226" s="31" t="s">
        <v>533</v>
      </c>
      <c r="BA226" s="10" t="s">
        <v>60</v>
      </c>
      <c r="BC226" s="30">
        <f>AW226+AX226</f>
        <v>0</v>
      </c>
      <c r="BD226" s="30">
        <f>G226/(100-BE226)*100</f>
        <v>0</v>
      </c>
      <c r="BE226" s="30">
        <v>0</v>
      </c>
      <c r="BF226" s="30">
        <f>226</f>
        <v>226</v>
      </c>
      <c r="BH226" s="30">
        <f>F226*AO226</f>
        <v>0</v>
      </c>
      <c r="BI226" s="30">
        <f>F226*AP226</f>
        <v>0</v>
      </c>
      <c r="BJ226" s="30">
        <f>F226*G226</f>
        <v>0</v>
      </c>
      <c r="BK226" s="30"/>
      <c r="BL226" s="30"/>
      <c r="BW226" s="30">
        <v>12</v>
      </c>
      <c r="BX226" s="4" t="s">
        <v>647</v>
      </c>
    </row>
    <row r="227" spans="1:76" x14ac:dyDescent="0.25">
      <c r="A227" s="32" t="s">
        <v>648</v>
      </c>
      <c r="B227" s="33" t="s">
        <v>151</v>
      </c>
      <c r="C227" s="139" t="s">
        <v>152</v>
      </c>
      <c r="D227" s="140"/>
      <c r="E227" s="33" t="s">
        <v>86</v>
      </c>
      <c r="F227" s="34">
        <v>5.1929999999999997E-2</v>
      </c>
      <c r="G227" s="35">
        <v>0</v>
      </c>
      <c r="H227" s="34">
        <f>F227*AO227</f>
        <v>0</v>
      </c>
      <c r="I227" s="34">
        <f>F227*AP227</f>
        <v>0</v>
      </c>
      <c r="J227" s="34">
        <f>F227*G227</f>
        <v>0</v>
      </c>
      <c r="K227" s="36" t="s">
        <v>57</v>
      </c>
      <c r="Z227" s="30">
        <f>IF(AQ227="5",BJ227,0)</f>
        <v>0</v>
      </c>
      <c r="AB227" s="30">
        <f>IF(AQ227="1",BH227,0)</f>
        <v>0</v>
      </c>
      <c r="AC227" s="30">
        <f>IF(AQ227="1",BI227,0)</f>
        <v>0</v>
      </c>
      <c r="AD227" s="30">
        <f>IF(AQ227="7",BH227,0)</f>
        <v>0</v>
      </c>
      <c r="AE227" s="30">
        <f>IF(AQ227="7",BI227,0)</f>
        <v>0</v>
      </c>
      <c r="AF227" s="30">
        <f>IF(AQ227="2",BH227,0)</f>
        <v>0</v>
      </c>
      <c r="AG227" s="30">
        <f>IF(AQ227="2",BI227,0)</f>
        <v>0</v>
      </c>
      <c r="AH227" s="30">
        <f>IF(AQ227="0",BJ227,0)</f>
        <v>0</v>
      </c>
      <c r="AI227" s="10" t="s">
        <v>50</v>
      </c>
      <c r="AJ227" s="30">
        <f>IF(AN227=0,J227,0)</f>
        <v>0</v>
      </c>
      <c r="AK227" s="30">
        <f>IF(AN227=12,J227,0)</f>
        <v>0</v>
      </c>
      <c r="AL227" s="30">
        <f>IF(AN227=21,J227,0)</f>
        <v>0</v>
      </c>
      <c r="AN227" s="30">
        <v>12</v>
      </c>
      <c r="AO227" s="30">
        <f>G227*0</f>
        <v>0</v>
      </c>
      <c r="AP227" s="30">
        <f>G227*(1-0)</f>
        <v>0</v>
      </c>
      <c r="AQ227" s="31" t="s">
        <v>73</v>
      </c>
      <c r="AV227" s="30">
        <f>AW227+AX227</f>
        <v>0</v>
      </c>
      <c r="AW227" s="30">
        <f>F227*AO227</f>
        <v>0</v>
      </c>
      <c r="AX227" s="30">
        <f>F227*AP227</f>
        <v>0</v>
      </c>
      <c r="AY227" s="31" t="s">
        <v>549</v>
      </c>
      <c r="AZ227" s="31" t="s">
        <v>533</v>
      </c>
      <c r="BA227" s="10" t="s">
        <v>60</v>
      </c>
      <c r="BC227" s="30">
        <f>AW227+AX227</f>
        <v>0</v>
      </c>
      <c r="BD227" s="30">
        <f>G227/(100-BE227)*100</f>
        <v>0</v>
      </c>
      <c r="BE227" s="30">
        <v>0</v>
      </c>
      <c r="BF227" s="30">
        <f>227</f>
        <v>227</v>
      </c>
      <c r="BH227" s="30">
        <f>F227*AO227</f>
        <v>0</v>
      </c>
      <c r="BI227" s="30">
        <f>F227*AP227</f>
        <v>0</v>
      </c>
      <c r="BJ227" s="30">
        <f>F227*G227</f>
        <v>0</v>
      </c>
      <c r="BK227" s="30"/>
      <c r="BL227" s="30"/>
      <c r="BW227" s="30">
        <v>12</v>
      </c>
      <c r="BX227" s="4" t="s">
        <v>152</v>
      </c>
    </row>
    <row r="228" spans="1:76" x14ac:dyDescent="0.25">
      <c r="A228" s="39" t="s">
        <v>50</v>
      </c>
      <c r="B228" s="40" t="s">
        <v>649</v>
      </c>
      <c r="C228" s="145" t="s">
        <v>650</v>
      </c>
      <c r="D228" s="146"/>
      <c r="E228" s="41" t="s">
        <v>4</v>
      </c>
      <c r="F228" s="41" t="s">
        <v>4</v>
      </c>
      <c r="G228" s="42" t="s">
        <v>4</v>
      </c>
      <c r="H228" s="43">
        <f>SUM(H229:H251)</f>
        <v>0</v>
      </c>
      <c r="I228" s="43">
        <f>SUM(I229:I251)</f>
        <v>0</v>
      </c>
      <c r="J228" s="43">
        <f>SUM(J229:J251)</f>
        <v>0</v>
      </c>
      <c r="K228" s="44" t="s">
        <v>50</v>
      </c>
      <c r="AI228" s="10" t="s">
        <v>50</v>
      </c>
      <c r="AS228" s="1">
        <f>SUM(AJ229:AJ251)</f>
        <v>0</v>
      </c>
      <c r="AT228" s="1">
        <f>SUM(AK229:AK251)</f>
        <v>0</v>
      </c>
      <c r="AU228" s="1">
        <f>SUM(AL229:AL251)</f>
        <v>0</v>
      </c>
    </row>
    <row r="229" spans="1:76" x14ac:dyDescent="0.25">
      <c r="A229" s="25" t="s">
        <v>651</v>
      </c>
      <c r="B229" s="26" t="s">
        <v>652</v>
      </c>
      <c r="C229" s="137" t="s">
        <v>653</v>
      </c>
      <c r="D229" s="138"/>
      <c r="E229" s="26" t="s">
        <v>76</v>
      </c>
      <c r="F229" s="27">
        <v>15</v>
      </c>
      <c r="G229" s="28">
        <v>0</v>
      </c>
      <c r="H229" s="27">
        <f>F229*AO229</f>
        <v>0</v>
      </c>
      <c r="I229" s="27">
        <f>F229*AP229</f>
        <v>0</v>
      </c>
      <c r="J229" s="27">
        <f>F229*G229</f>
        <v>0</v>
      </c>
      <c r="K229" s="29" t="s">
        <v>57</v>
      </c>
      <c r="Z229" s="30">
        <f>IF(AQ229="5",BJ229,0)</f>
        <v>0</v>
      </c>
      <c r="AB229" s="30">
        <f>IF(AQ229="1",BH229,0)</f>
        <v>0</v>
      </c>
      <c r="AC229" s="30">
        <f>IF(AQ229="1",BI229,0)</f>
        <v>0</v>
      </c>
      <c r="AD229" s="30">
        <f>IF(AQ229="7",BH229,0)</f>
        <v>0</v>
      </c>
      <c r="AE229" s="30">
        <f>IF(AQ229="7",BI229,0)</f>
        <v>0</v>
      </c>
      <c r="AF229" s="30">
        <f>IF(AQ229="2",BH229,0)</f>
        <v>0</v>
      </c>
      <c r="AG229" s="30">
        <f>IF(AQ229="2",BI229,0)</f>
        <v>0</v>
      </c>
      <c r="AH229" s="30">
        <f>IF(AQ229="0",BJ229,0)</f>
        <v>0</v>
      </c>
      <c r="AI229" s="10" t="s">
        <v>50</v>
      </c>
      <c r="AJ229" s="30">
        <f>IF(AN229=0,J229,0)</f>
        <v>0</v>
      </c>
      <c r="AK229" s="30">
        <f>IF(AN229=12,J229,0)</f>
        <v>0</v>
      </c>
      <c r="AL229" s="30">
        <f>IF(AN229=21,J229,0)</f>
        <v>0</v>
      </c>
      <c r="AN229" s="30">
        <v>12</v>
      </c>
      <c r="AO229" s="30">
        <f>G229*0.631032258</f>
        <v>0</v>
      </c>
      <c r="AP229" s="30">
        <f>G229*(1-0.631032258)</f>
        <v>0</v>
      </c>
      <c r="AQ229" s="31" t="s">
        <v>61</v>
      </c>
      <c r="AV229" s="30">
        <f>AW229+AX229</f>
        <v>0</v>
      </c>
      <c r="AW229" s="30">
        <f>F229*AO229</f>
        <v>0</v>
      </c>
      <c r="AX229" s="30">
        <f>F229*AP229</f>
        <v>0</v>
      </c>
      <c r="AY229" s="31" t="s">
        <v>654</v>
      </c>
      <c r="AZ229" s="31" t="s">
        <v>533</v>
      </c>
      <c r="BA229" s="10" t="s">
        <v>60</v>
      </c>
      <c r="BC229" s="30">
        <f>AW229+AX229</f>
        <v>0</v>
      </c>
      <c r="BD229" s="30">
        <f>G229/(100-BE229)*100</f>
        <v>0</v>
      </c>
      <c r="BE229" s="30">
        <v>0</v>
      </c>
      <c r="BF229" s="30">
        <f>229</f>
        <v>229</v>
      </c>
      <c r="BH229" s="30">
        <f>F229*AO229</f>
        <v>0</v>
      </c>
      <c r="BI229" s="30">
        <f>F229*AP229</f>
        <v>0</v>
      </c>
      <c r="BJ229" s="30">
        <f>F229*G229</f>
        <v>0</v>
      </c>
      <c r="BK229" s="30"/>
      <c r="BL229" s="30"/>
      <c r="BW229" s="30">
        <v>12</v>
      </c>
      <c r="BX229" s="4" t="s">
        <v>653</v>
      </c>
    </row>
    <row r="230" spans="1:76" ht="13.5" customHeight="1" x14ac:dyDescent="0.25">
      <c r="A230" s="37"/>
      <c r="B230" s="38" t="s">
        <v>68</v>
      </c>
      <c r="C230" s="141" t="s">
        <v>655</v>
      </c>
      <c r="D230" s="142"/>
      <c r="E230" s="142"/>
      <c r="F230" s="142"/>
      <c r="G230" s="143"/>
      <c r="H230" s="142"/>
      <c r="I230" s="142"/>
      <c r="J230" s="142"/>
      <c r="K230" s="144"/>
    </row>
    <row r="231" spans="1:76" x14ac:dyDescent="0.25">
      <c r="A231" s="25" t="s">
        <v>656</v>
      </c>
      <c r="B231" s="26" t="s">
        <v>657</v>
      </c>
      <c r="C231" s="137" t="s">
        <v>658</v>
      </c>
      <c r="D231" s="138"/>
      <c r="E231" s="26" t="s">
        <v>76</v>
      </c>
      <c r="F231" s="27">
        <v>10</v>
      </c>
      <c r="G231" s="28">
        <v>0</v>
      </c>
      <c r="H231" s="27">
        <f>F231*AO231</f>
        <v>0</v>
      </c>
      <c r="I231" s="27">
        <f>F231*AP231</f>
        <v>0</v>
      </c>
      <c r="J231" s="27">
        <f>F231*G231</f>
        <v>0</v>
      </c>
      <c r="K231" s="29" t="s">
        <v>57</v>
      </c>
      <c r="Z231" s="30">
        <f>IF(AQ231="5",BJ231,0)</f>
        <v>0</v>
      </c>
      <c r="AB231" s="30">
        <f>IF(AQ231="1",BH231,0)</f>
        <v>0</v>
      </c>
      <c r="AC231" s="30">
        <f>IF(AQ231="1",BI231,0)</f>
        <v>0</v>
      </c>
      <c r="AD231" s="30">
        <f>IF(AQ231="7",BH231,0)</f>
        <v>0</v>
      </c>
      <c r="AE231" s="30">
        <f>IF(AQ231="7",BI231,0)</f>
        <v>0</v>
      </c>
      <c r="AF231" s="30">
        <f>IF(AQ231="2",BH231,0)</f>
        <v>0</v>
      </c>
      <c r="AG231" s="30">
        <f>IF(AQ231="2",BI231,0)</f>
        <v>0</v>
      </c>
      <c r="AH231" s="30">
        <f>IF(AQ231="0",BJ231,0)</f>
        <v>0</v>
      </c>
      <c r="AI231" s="10" t="s">
        <v>50</v>
      </c>
      <c r="AJ231" s="30">
        <f>IF(AN231=0,J231,0)</f>
        <v>0</v>
      </c>
      <c r="AK231" s="30">
        <f>IF(AN231=12,J231,0)</f>
        <v>0</v>
      </c>
      <c r="AL231" s="30">
        <f>IF(AN231=21,J231,0)</f>
        <v>0</v>
      </c>
      <c r="AN231" s="30">
        <v>12</v>
      </c>
      <c r="AO231" s="30">
        <f>G231*0.41517761</f>
        <v>0</v>
      </c>
      <c r="AP231" s="30">
        <f>G231*(1-0.41517761)</f>
        <v>0</v>
      </c>
      <c r="AQ231" s="31" t="s">
        <v>61</v>
      </c>
      <c r="AV231" s="30">
        <f>AW231+AX231</f>
        <v>0</v>
      </c>
      <c r="AW231" s="30">
        <f>F231*AO231</f>
        <v>0</v>
      </c>
      <c r="AX231" s="30">
        <f>F231*AP231</f>
        <v>0</v>
      </c>
      <c r="AY231" s="31" t="s">
        <v>654</v>
      </c>
      <c r="AZ231" s="31" t="s">
        <v>533</v>
      </c>
      <c r="BA231" s="10" t="s">
        <v>60</v>
      </c>
      <c r="BC231" s="30">
        <f>AW231+AX231</f>
        <v>0</v>
      </c>
      <c r="BD231" s="30">
        <f>G231/(100-BE231)*100</f>
        <v>0</v>
      </c>
      <c r="BE231" s="30">
        <v>0</v>
      </c>
      <c r="BF231" s="30">
        <f>231</f>
        <v>231</v>
      </c>
      <c r="BH231" s="30">
        <f>F231*AO231</f>
        <v>0</v>
      </c>
      <c r="BI231" s="30">
        <f>F231*AP231</f>
        <v>0</v>
      </c>
      <c r="BJ231" s="30">
        <f>F231*G231</f>
        <v>0</v>
      </c>
      <c r="BK231" s="30"/>
      <c r="BL231" s="30"/>
      <c r="BW231" s="30">
        <v>12</v>
      </c>
      <c r="BX231" s="4" t="s">
        <v>658</v>
      </c>
    </row>
    <row r="232" spans="1:76" ht="13.5" customHeight="1" x14ac:dyDescent="0.25">
      <c r="A232" s="37"/>
      <c r="B232" s="38" t="s">
        <v>68</v>
      </c>
      <c r="C232" s="141" t="s">
        <v>659</v>
      </c>
      <c r="D232" s="142"/>
      <c r="E232" s="142"/>
      <c r="F232" s="142"/>
      <c r="G232" s="143"/>
      <c r="H232" s="142"/>
      <c r="I232" s="142"/>
      <c r="J232" s="142"/>
      <c r="K232" s="144"/>
    </row>
    <row r="233" spans="1:76" x14ac:dyDescent="0.25">
      <c r="A233" s="25" t="s">
        <v>660</v>
      </c>
      <c r="B233" s="26" t="s">
        <v>661</v>
      </c>
      <c r="C233" s="137" t="s">
        <v>662</v>
      </c>
      <c r="D233" s="138"/>
      <c r="E233" s="26" t="s">
        <v>76</v>
      </c>
      <c r="F233" s="27">
        <v>100</v>
      </c>
      <c r="G233" s="28">
        <v>0</v>
      </c>
      <c r="H233" s="27">
        <f>F233*AO233</f>
        <v>0</v>
      </c>
      <c r="I233" s="27">
        <f>F233*AP233</f>
        <v>0</v>
      </c>
      <c r="J233" s="27">
        <f>F233*G233</f>
        <v>0</v>
      </c>
      <c r="K233" s="29" t="s">
        <v>57</v>
      </c>
      <c r="Z233" s="30">
        <f>IF(AQ233="5",BJ233,0)</f>
        <v>0</v>
      </c>
      <c r="AB233" s="30">
        <f>IF(AQ233="1",BH233,0)</f>
        <v>0</v>
      </c>
      <c r="AC233" s="30">
        <f>IF(AQ233="1",BI233,0)</f>
        <v>0</v>
      </c>
      <c r="AD233" s="30">
        <f>IF(AQ233="7",BH233,0)</f>
        <v>0</v>
      </c>
      <c r="AE233" s="30">
        <f>IF(AQ233="7",BI233,0)</f>
        <v>0</v>
      </c>
      <c r="AF233" s="30">
        <f>IF(AQ233="2",BH233,0)</f>
        <v>0</v>
      </c>
      <c r="AG233" s="30">
        <f>IF(AQ233="2",BI233,0)</f>
        <v>0</v>
      </c>
      <c r="AH233" s="30">
        <f>IF(AQ233="0",BJ233,0)</f>
        <v>0</v>
      </c>
      <c r="AI233" s="10" t="s">
        <v>50</v>
      </c>
      <c r="AJ233" s="30">
        <f>IF(AN233=0,J233,0)</f>
        <v>0</v>
      </c>
      <c r="AK233" s="30">
        <f>IF(AN233=12,J233,0)</f>
        <v>0</v>
      </c>
      <c r="AL233" s="30">
        <f>IF(AN233=21,J233,0)</f>
        <v>0</v>
      </c>
      <c r="AN233" s="30">
        <v>12</v>
      </c>
      <c r="AO233" s="30">
        <f>G233*0.315471698</f>
        <v>0</v>
      </c>
      <c r="AP233" s="30">
        <f>G233*(1-0.315471698)</f>
        <v>0</v>
      </c>
      <c r="AQ233" s="31" t="s">
        <v>61</v>
      </c>
      <c r="AV233" s="30">
        <f>AW233+AX233</f>
        <v>0</v>
      </c>
      <c r="AW233" s="30">
        <f>F233*AO233</f>
        <v>0</v>
      </c>
      <c r="AX233" s="30">
        <f>F233*AP233</f>
        <v>0</v>
      </c>
      <c r="AY233" s="31" t="s">
        <v>654</v>
      </c>
      <c r="AZ233" s="31" t="s">
        <v>533</v>
      </c>
      <c r="BA233" s="10" t="s">
        <v>60</v>
      </c>
      <c r="BC233" s="30">
        <f>AW233+AX233</f>
        <v>0</v>
      </c>
      <c r="BD233" s="30">
        <f>G233/(100-BE233)*100</f>
        <v>0</v>
      </c>
      <c r="BE233" s="30">
        <v>0</v>
      </c>
      <c r="BF233" s="30">
        <f>233</f>
        <v>233</v>
      </c>
      <c r="BH233" s="30">
        <f>F233*AO233</f>
        <v>0</v>
      </c>
      <c r="BI233" s="30">
        <f>F233*AP233</f>
        <v>0</v>
      </c>
      <c r="BJ233" s="30">
        <f>F233*G233</f>
        <v>0</v>
      </c>
      <c r="BK233" s="30"/>
      <c r="BL233" s="30"/>
      <c r="BW233" s="30">
        <v>12</v>
      </c>
      <c r="BX233" s="4" t="s">
        <v>662</v>
      </c>
    </row>
    <row r="234" spans="1:76" ht="13.5" customHeight="1" x14ac:dyDescent="0.25">
      <c r="A234" s="37"/>
      <c r="B234" s="38" t="s">
        <v>68</v>
      </c>
      <c r="C234" s="141" t="s">
        <v>663</v>
      </c>
      <c r="D234" s="142"/>
      <c r="E234" s="142"/>
      <c r="F234" s="142"/>
      <c r="G234" s="143"/>
      <c r="H234" s="142"/>
      <c r="I234" s="142"/>
      <c r="J234" s="142"/>
      <c r="K234" s="144"/>
    </row>
    <row r="235" spans="1:76" x14ac:dyDescent="0.25">
      <c r="A235" s="25" t="s">
        <v>664</v>
      </c>
      <c r="B235" s="26" t="s">
        <v>665</v>
      </c>
      <c r="C235" s="137" t="s">
        <v>666</v>
      </c>
      <c r="D235" s="138"/>
      <c r="E235" s="26" t="s">
        <v>76</v>
      </c>
      <c r="F235" s="27">
        <v>15</v>
      </c>
      <c r="G235" s="28">
        <v>0</v>
      </c>
      <c r="H235" s="27">
        <f>F235*AO235</f>
        <v>0</v>
      </c>
      <c r="I235" s="27">
        <f>F235*AP235</f>
        <v>0</v>
      </c>
      <c r="J235" s="27">
        <f>F235*G235</f>
        <v>0</v>
      </c>
      <c r="K235" s="29" t="s">
        <v>57</v>
      </c>
      <c r="Z235" s="30">
        <f>IF(AQ235="5",BJ235,0)</f>
        <v>0</v>
      </c>
      <c r="AB235" s="30">
        <f>IF(AQ235="1",BH235,0)</f>
        <v>0</v>
      </c>
      <c r="AC235" s="30">
        <f>IF(AQ235="1",BI235,0)</f>
        <v>0</v>
      </c>
      <c r="AD235" s="30">
        <f>IF(AQ235="7",BH235,0)</f>
        <v>0</v>
      </c>
      <c r="AE235" s="30">
        <f>IF(AQ235="7",BI235,0)</f>
        <v>0</v>
      </c>
      <c r="AF235" s="30">
        <f>IF(AQ235="2",BH235,0)</f>
        <v>0</v>
      </c>
      <c r="AG235" s="30">
        <f>IF(AQ235="2",BI235,0)</f>
        <v>0</v>
      </c>
      <c r="AH235" s="30">
        <f>IF(AQ235="0",BJ235,0)</f>
        <v>0</v>
      </c>
      <c r="AI235" s="10" t="s">
        <v>50</v>
      </c>
      <c r="AJ235" s="30">
        <f>IF(AN235=0,J235,0)</f>
        <v>0</v>
      </c>
      <c r="AK235" s="30">
        <f>IF(AN235=12,J235,0)</f>
        <v>0</v>
      </c>
      <c r="AL235" s="30">
        <f>IF(AN235=21,J235,0)</f>
        <v>0</v>
      </c>
      <c r="AN235" s="30">
        <v>12</v>
      </c>
      <c r="AO235" s="30">
        <f>G235*0.451212121</f>
        <v>0</v>
      </c>
      <c r="AP235" s="30">
        <f>G235*(1-0.451212121)</f>
        <v>0</v>
      </c>
      <c r="AQ235" s="31" t="s">
        <v>61</v>
      </c>
      <c r="AV235" s="30">
        <f>AW235+AX235</f>
        <v>0</v>
      </c>
      <c r="AW235" s="30">
        <f>F235*AO235</f>
        <v>0</v>
      </c>
      <c r="AX235" s="30">
        <f>F235*AP235</f>
        <v>0</v>
      </c>
      <c r="AY235" s="31" t="s">
        <v>654</v>
      </c>
      <c r="AZ235" s="31" t="s">
        <v>533</v>
      </c>
      <c r="BA235" s="10" t="s">
        <v>60</v>
      </c>
      <c r="BC235" s="30">
        <f>AW235+AX235</f>
        <v>0</v>
      </c>
      <c r="BD235" s="30">
        <f>G235/(100-BE235)*100</f>
        <v>0</v>
      </c>
      <c r="BE235" s="30">
        <v>0</v>
      </c>
      <c r="BF235" s="30">
        <f>235</f>
        <v>235</v>
      </c>
      <c r="BH235" s="30">
        <f>F235*AO235</f>
        <v>0</v>
      </c>
      <c r="BI235" s="30">
        <f>F235*AP235</f>
        <v>0</v>
      </c>
      <c r="BJ235" s="30">
        <f>F235*G235</f>
        <v>0</v>
      </c>
      <c r="BK235" s="30"/>
      <c r="BL235" s="30"/>
      <c r="BW235" s="30">
        <v>12</v>
      </c>
      <c r="BX235" s="4" t="s">
        <v>666</v>
      </c>
    </row>
    <row r="236" spans="1:76" ht="13.5" customHeight="1" x14ac:dyDescent="0.25">
      <c r="A236" s="37"/>
      <c r="B236" s="38" t="s">
        <v>68</v>
      </c>
      <c r="C236" s="141" t="s">
        <v>667</v>
      </c>
      <c r="D236" s="142"/>
      <c r="E236" s="142"/>
      <c r="F236" s="142"/>
      <c r="G236" s="143"/>
      <c r="H236" s="142"/>
      <c r="I236" s="142"/>
      <c r="J236" s="142"/>
      <c r="K236" s="144"/>
    </row>
    <row r="237" spans="1:76" x14ac:dyDescent="0.25">
      <c r="A237" s="25" t="s">
        <v>668</v>
      </c>
      <c r="B237" s="26" t="s">
        <v>669</v>
      </c>
      <c r="C237" s="137" t="s">
        <v>670</v>
      </c>
      <c r="D237" s="138"/>
      <c r="E237" s="26" t="s">
        <v>76</v>
      </c>
      <c r="F237" s="27">
        <v>100</v>
      </c>
      <c r="G237" s="28">
        <v>0</v>
      </c>
      <c r="H237" s="27">
        <f>F237*AO237</f>
        <v>0</v>
      </c>
      <c r="I237" s="27">
        <f>F237*AP237</f>
        <v>0</v>
      </c>
      <c r="J237" s="27">
        <f>F237*G237</f>
        <v>0</v>
      </c>
      <c r="K237" s="29" t="s">
        <v>57</v>
      </c>
      <c r="Z237" s="30">
        <f>IF(AQ237="5",BJ237,0)</f>
        <v>0</v>
      </c>
      <c r="AB237" s="30">
        <f>IF(AQ237="1",BH237,0)</f>
        <v>0</v>
      </c>
      <c r="AC237" s="30">
        <f>IF(AQ237="1",BI237,0)</f>
        <v>0</v>
      </c>
      <c r="AD237" s="30">
        <f>IF(AQ237="7",BH237,0)</f>
        <v>0</v>
      </c>
      <c r="AE237" s="30">
        <f>IF(AQ237="7",BI237,0)</f>
        <v>0</v>
      </c>
      <c r="AF237" s="30">
        <f>IF(AQ237="2",BH237,0)</f>
        <v>0</v>
      </c>
      <c r="AG237" s="30">
        <f>IF(AQ237="2",BI237,0)</f>
        <v>0</v>
      </c>
      <c r="AH237" s="30">
        <f>IF(AQ237="0",BJ237,0)</f>
        <v>0</v>
      </c>
      <c r="AI237" s="10" t="s">
        <v>50</v>
      </c>
      <c r="AJ237" s="30">
        <f>IF(AN237=0,J237,0)</f>
        <v>0</v>
      </c>
      <c r="AK237" s="30">
        <f>IF(AN237=12,J237,0)</f>
        <v>0</v>
      </c>
      <c r="AL237" s="30">
        <f>IF(AN237=21,J237,0)</f>
        <v>0</v>
      </c>
      <c r="AN237" s="30">
        <v>12</v>
      </c>
      <c r="AO237" s="30">
        <f>G237*0.225783476</f>
        <v>0</v>
      </c>
      <c r="AP237" s="30">
        <f>G237*(1-0.225783476)</f>
        <v>0</v>
      </c>
      <c r="AQ237" s="31" t="s">
        <v>61</v>
      </c>
      <c r="AV237" s="30">
        <f>AW237+AX237</f>
        <v>0</v>
      </c>
      <c r="AW237" s="30">
        <f>F237*AO237</f>
        <v>0</v>
      </c>
      <c r="AX237" s="30">
        <f>F237*AP237</f>
        <v>0</v>
      </c>
      <c r="AY237" s="31" t="s">
        <v>654</v>
      </c>
      <c r="AZ237" s="31" t="s">
        <v>533</v>
      </c>
      <c r="BA237" s="10" t="s">
        <v>60</v>
      </c>
      <c r="BC237" s="30">
        <f>AW237+AX237</f>
        <v>0</v>
      </c>
      <c r="BD237" s="30">
        <f>G237/(100-BE237)*100</f>
        <v>0</v>
      </c>
      <c r="BE237" s="30">
        <v>0</v>
      </c>
      <c r="BF237" s="30">
        <f>237</f>
        <v>237</v>
      </c>
      <c r="BH237" s="30">
        <f>F237*AO237</f>
        <v>0</v>
      </c>
      <c r="BI237" s="30">
        <f>F237*AP237</f>
        <v>0</v>
      </c>
      <c r="BJ237" s="30">
        <f>F237*G237</f>
        <v>0</v>
      </c>
      <c r="BK237" s="30"/>
      <c r="BL237" s="30"/>
      <c r="BW237" s="30">
        <v>12</v>
      </c>
      <c r="BX237" s="4" t="s">
        <v>670</v>
      </c>
    </row>
    <row r="238" spans="1:76" ht="13.5" customHeight="1" x14ac:dyDescent="0.25">
      <c r="A238" s="37"/>
      <c r="B238" s="38" t="s">
        <v>68</v>
      </c>
      <c r="C238" s="141" t="s">
        <v>671</v>
      </c>
      <c r="D238" s="142"/>
      <c r="E238" s="142"/>
      <c r="F238" s="142"/>
      <c r="G238" s="143"/>
      <c r="H238" s="142"/>
      <c r="I238" s="142"/>
      <c r="J238" s="142"/>
      <c r="K238" s="144"/>
    </row>
    <row r="239" spans="1:76" x14ac:dyDescent="0.25">
      <c r="A239" s="25" t="s">
        <v>672</v>
      </c>
      <c r="B239" s="26" t="s">
        <v>673</v>
      </c>
      <c r="C239" s="137" t="s">
        <v>674</v>
      </c>
      <c r="D239" s="138"/>
      <c r="E239" s="26" t="s">
        <v>76</v>
      </c>
      <c r="F239" s="27">
        <v>50</v>
      </c>
      <c r="G239" s="28">
        <v>0</v>
      </c>
      <c r="H239" s="27">
        <f>F239*AO239</f>
        <v>0</v>
      </c>
      <c r="I239" s="27">
        <f>F239*AP239</f>
        <v>0</v>
      </c>
      <c r="J239" s="27">
        <f>F239*G239</f>
        <v>0</v>
      </c>
      <c r="K239" s="29" t="s">
        <v>57</v>
      </c>
      <c r="Z239" s="30">
        <f>IF(AQ239="5",BJ239,0)</f>
        <v>0</v>
      </c>
      <c r="AB239" s="30">
        <f>IF(AQ239="1",BH239,0)</f>
        <v>0</v>
      </c>
      <c r="AC239" s="30">
        <f>IF(AQ239="1",BI239,0)</f>
        <v>0</v>
      </c>
      <c r="AD239" s="30">
        <f>IF(AQ239="7",BH239,0)</f>
        <v>0</v>
      </c>
      <c r="AE239" s="30">
        <f>IF(AQ239="7",BI239,0)</f>
        <v>0</v>
      </c>
      <c r="AF239" s="30">
        <f>IF(AQ239="2",BH239,0)</f>
        <v>0</v>
      </c>
      <c r="AG239" s="30">
        <f>IF(AQ239="2",BI239,0)</f>
        <v>0</v>
      </c>
      <c r="AH239" s="30">
        <f>IF(AQ239="0",BJ239,0)</f>
        <v>0</v>
      </c>
      <c r="AI239" s="10" t="s">
        <v>50</v>
      </c>
      <c r="AJ239" s="30">
        <f>IF(AN239=0,J239,0)</f>
        <v>0</v>
      </c>
      <c r="AK239" s="30">
        <f>IF(AN239=12,J239,0)</f>
        <v>0</v>
      </c>
      <c r="AL239" s="30">
        <f>IF(AN239=21,J239,0)</f>
        <v>0</v>
      </c>
      <c r="AN239" s="30">
        <v>12</v>
      </c>
      <c r="AO239" s="30">
        <f>G239*0.316100629</f>
        <v>0</v>
      </c>
      <c r="AP239" s="30">
        <f>G239*(1-0.316100629)</f>
        <v>0</v>
      </c>
      <c r="AQ239" s="31" t="s">
        <v>61</v>
      </c>
      <c r="AV239" s="30">
        <f>AW239+AX239</f>
        <v>0</v>
      </c>
      <c r="AW239" s="30">
        <f>F239*AO239</f>
        <v>0</v>
      </c>
      <c r="AX239" s="30">
        <f>F239*AP239</f>
        <v>0</v>
      </c>
      <c r="AY239" s="31" t="s">
        <v>654</v>
      </c>
      <c r="AZ239" s="31" t="s">
        <v>533</v>
      </c>
      <c r="BA239" s="10" t="s">
        <v>60</v>
      </c>
      <c r="BC239" s="30">
        <f>AW239+AX239</f>
        <v>0</v>
      </c>
      <c r="BD239" s="30">
        <f>G239/(100-BE239)*100</f>
        <v>0</v>
      </c>
      <c r="BE239" s="30">
        <v>0</v>
      </c>
      <c r="BF239" s="30">
        <f>239</f>
        <v>239</v>
      </c>
      <c r="BH239" s="30">
        <f>F239*AO239</f>
        <v>0</v>
      </c>
      <c r="BI239" s="30">
        <f>F239*AP239</f>
        <v>0</v>
      </c>
      <c r="BJ239" s="30">
        <f>F239*G239</f>
        <v>0</v>
      </c>
      <c r="BK239" s="30"/>
      <c r="BL239" s="30"/>
      <c r="BW239" s="30">
        <v>12</v>
      </c>
      <c r="BX239" s="4" t="s">
        <v>674</v>
      </c>
    </row>
    <row r="240" spans="1:76" ht="13.5" customHeight="1" x14ac:dyDescent="0.25">
      <c r="A240" s="37"/>
      <c r="B240" s="38" t="s">
        <v>68</v>
      </c>
      <c r="C240" s="141" t="s">
        <v>675</v>
      </c>
      <c r="D240" s="142"/>
      <c r="E240" s="142"/>
      <c r="F240" s="142"/>
      <c r="G240" s="143"/>
      <c r="H240" s="142"/>
      <c r="I240" s="142"/>
      <c r="J240" s="142"/>
      <c r="K240" s="144"/>
    </row>
    <row r="241" spans="1:76" x14ac:dyDescent="0.25">
      <c r="A241" s="25" t="s">
        <v>676</v>
      </c>
      <c r="B241" s="26" t="s">
        <v>677</v>
      </c>
      <c r="C241" s="137" t="s">
        <v>678</v>
      </c>
      <c r="D241" s="138"/>
      <c r="E241" s="26" t="s">
        <v>76</v>
      </c>
      <c r="F241" s="27">
        <v>40</v>
      </c>
      <c r="G241" s="28">
        <v>0</v>
      </c>
      <c r="H241" s="27">
        <f>F241*AO241</f>
        <v>0</v>
      </c>
      <c r="I241" s="27">
        <f>F241*AP241</f>
        <v>0</v>
      </c>
      <c r="J241" s="27">
        <f>F241*G241</f>
        <v>0</v>
      </c>
      <c r="K241" s="29" t="s">
        <v>57</v>
      </c>
      <c r="Z241" s="30">
        <f>IF(AQ241="5",BJ241,0)</f>
        <v>0</v>
      </c>
      <c r="AB241" s="30">
        <f>IF(AQ241="1",BH241,0)</f>
        <v>0</v>
      </c>
      <c r="AC241" s="30">
        <f>IF(AQ241="1",BI241,0)</f>
        <v>0</v>
      </c>
      <c r="AD241" s="30">
        <f>IF(AQ241="7",BH241,0)</f>
        <v>0</v>
      </c>
      <c r="AE241" s="30">
        <f>IF(AQ241="7",BI241,0)</f>
        <v>0</v>
      </c>
      <c r="AF241" s="30">
        <f>IF(AQ241="2",BH241,0)</f>
        <v>0</v>
      </c>
      <c r="AG241" s="30">
        <f>IF(AQ241="2",BI241,0)</f>
        <v>0</v>
      </c>
      <c r="AH241" s="30">
        <f>IF(AQ241="0",BJ241,0)</f>
        <v>0</v>
      </c>
      <c r="AI241" s="10" t="s">
        <v>50</v>
      </c>
      <c r="AJ241" s="30">
        <f>IF(AN241=0,J241,0)</f>
        <v>0</v>
      </c>
      <c r="AK241" s="30">
        <f>IF(AN241=12,J241,0)</f>
        <v>0</v>
      </c>
      <c r="AL241" s="30">
        <f>IF(AN241=21,J241,0)</f>
        <v>0</v>
      </c>
      <c r="AN241" s="30">
        <v>12</v>
      </c>
      <c r="AO241" s="30">
        <f>G241*0</f>
        <v>0</v>
      </c>
      <c r="AP241" s="30">
        <f>G241*(1-0)</f>
        <v>0</v>
      </c>
      <c r="AQ241" s="31" t="s">
        <v>61</v>
      </c>
      <c r="AV241" s="30">
        <f>AW241+AX241</f>
        <v>0</v>
      </c>
      <c r="AW241" s="30">
        <f>F241*AO241</f>
        <v>0</v>
      </c>
      <c r="AX241" s="30">
        <f>F241*AP241</f>
        <v>0</v>
      </c>
      <c r="AY241" s="31" t="s">
        <v>654</v>
      </c>
      <c r="AZ241" s="31" t="s">
        <v>533</v>
      </c>
      <c r="BA241" s="10" t="s">
        <v>60</v>
      </c>
      <c r="BC241" s="30">
        <f>AW241+AX241</f>
        <v>0</v>
      </c>
      <c r="BD241" s="30">
        <f>G241/(100-BE241)*100</f>
        <v>0</v>
      </c>
      <c r="BE241" s="30">
        <v>0</v>
      </c>
      <c r="BF241" s="30">
        <f>241</f>
        <v>241</v>
      </c>
      <c r="BH241" s="30">
        <f>F241*AO241</f>
        <v>0</v>
      </c>
      <c r="BI241" s="30">
        <f>F241*AP241</f>
        <v>0</v>
      </c>
      <c r="BJ241" s="30">
        <f>F241*G241</f>
        <v>0</v>
      </c>
      <c r="BK241" s="30"/>
      <c r="BL241" s="30"/>
      <c r="BW241" s="30">
        <v>12</v>
      </c>
      <c r="BX241" s="4" t="s">
        <v>678</v>
      </c>
    </row>
    <row r="242" spans="1:76" ht="13.5" customHeight="1" x14ac:dyDescent="0.25">
      <c r="A242" s="37"/>
      <c r="B242" s="38" t="s">
        <v>68</v>
      </c>
      <c r="C242" s="141" t="s">
        <v>679</v>
      </c>
      <c r="D242" s="142"/>
      <c r="E242" s="142"/>
      <c r="F242" s="142"/>
      <c r="G242" s="143"/>
      <c r="H242" s="142"/>
      <c r="I242" s="142"/>
      <c r="J242" s="142"/>
      <c r="K242" s="144"/>
    </row>
    <row r="243" spans="1:76" x14ac:dyDescent="0.25">
      <c r="A243" s="25" t="s">
        <v>680</v>
      </c>
      <c r="B243" s="26" t="s">
        <v>681</v>
      </c>
      <c r="C243" s="137" t="s">
        <v>682</v>
      </c>
      <c r="D243" s="138"/>
      <c r="E243" s="26" t="s">
        <v>76</v>
      </c>
      <c r="F243" s="27">
        <v>2.5</v>
      </c>
      <c r="G243" s="28">
        <v>0</v>
      </c>
      <c r="H243" s="27">
        <f>F243*AO243</f>
        <v>0</v>
      </c>
      <c r="I243" s="27">
        <f>F243*AP243</f>
        <v>0</v>
      </c>
      <c r="J243" s="27">
        <f>F243*G243</f>
        <v>0</v>
      </c>
      <c r="K243" s="29" t="s">
        <v>57</v>
      </c>
      <c r="Z243" s="30">
        <f>IF(AQ243="5",BJ243,0)</f>
        <v>0</v>
      </c>
      <c r="AB243" s="30">
        <f>IF(AQ243="1",BH243,0)</f>
        <v>0</v>
      </c>
      <c r="AC243" s="30">
        <f>IF(AQ243="1",BI243,0)</f>
        <v>0</v>
      </c>
      <c r="AD243" s="30">
        <f>IF(AQ243="7",BH243,0)</f>
        <v>0</v>
      </c>
      <c r="AE243" s="30">
        <f>IF(AQ243="7",BI243,0)</f>
        <v>0</v>
      </c>
      <c r="AF243" s="30">
        <f>IF(AQ243="2",BH243,0)</f>
        <v>0</v>
      </c>
      <c r="AG243" s="30">
        <f>IF(AQ243="2",BI243,0)</f>
        <v>0</v>
      </c>
      <c r="AH243" s="30">
        <f>IF(AQ243="0",BJ243,0)</f>
        <v>0</v>
      </c>
      <c r="AI243" s="10" t="s">
        <v>50</v>
      </c>
      <c r="AJ243" s="30">
        <f>IF(AN243=0,J243,0)</f>
        <v>0</v>
      </c>
      <c r="AK243" s="30">
        <f>IF(AN243=12,J243,0)</f>
        <v>0</v>
      </c>
      <c r="AL243" s="30">
        <f>IF(AN243=21,J243,0)</f>
        <v>0</v>
      </c>
      <c r="AN243" s="30">
        <v>12</v>
      </c>
      <c r="AO243" s="30">
        <f>G243*0.782058229</f>
        <v>0</v>
      </c>
      <c r="AP243" s="30">
        <f>G243*(1-0.782058229)</f>
        <v>0</v>
      </c>
      <c r="AQ243" s="31" t="s">
        <v>61</v>
      </c>
      <c r="AV243" s="30">
        <f>AW243+AX243</f>
        <v>0</v>
      </c>
      <c r="AW243" s="30">
        <f>F243*AO243</f>
        <v>0</v>
      </c>
      <c r="AX243" s="30">
        <f>F243*AP243</f>
        <v>0</v>
      </c>
      <c r="AY243" s="31" t="s">
        <v>654</v>
      </c>
      <c r="AZ243" s="31" t="s">
        <v>533</v>
      </c>
      <c r="BA243" s="10" t="s">
        <v>60</v>
      </c>
      <c r="BC243" s="30">
        <f>AW243+AX243</f>
        <v>0</v>
      </c>
      <c r="BD243" s="30">
        <f>G243/(100-BE243)*100</f>
        <v>0</v>
      </c>
      <c r="BE243" s="30">
        <v>0</v>
      </c>
      <c r="BF243" s="30">
        <f>243</f>
        <v>243</v>
      </c>
      <c r="BH243" s="30">
        <f>F243*AO243</f>
        <v>0</v>
      </c>
      <c r="BI243" s="30">
        <f>F243*AP243</f>
        <v>0</v>
      </c>
      <c r="BJ243" s="30">
        <f>F243*G243</f>
        <v>0</v>
      </c>
      <c r="BK243" s="30"/>
      <c r="BL243" s="30"/>
      <c r="BW243" s="30">
        <v>12</v>
      </c>
      <c r="BX243" s="4" t="s">
        <v>682</v>
      </c>
    </row>
    <row r="244" spans="1:76" ht="13.5" customHeight="1" x14ac:dyDescent="0.25">
      <c r="A244" s="37"/>
      <c r="B244" s="38" t="s">
        <v>68</v>
      </c>
      <c r="C244" s="141" t="s">
        <v>683</v>
      </c>
      <c r="D244" s="142"/>
      <c r="E244" s="142"/>
      <c r="F244" s="142"/>
      <c r="G244" s="143"/>
      <c r="H244" s="142"/>
      <c r="I244" s="142"/>
      <c r="J244" s="142"/>
      <c r="K244" s="144"/>
    </row>
    <row r="245" spans="1:76" x14ac:dyDescent="0.25">
      <c r="A245" s="25" t="s">
        <v>684</v>
      </c>
      <c r="B245" s="26" t="s">
        <v>685</v>
      </c>
      <c r="C245" s="137" t="s">
        <v>686</v>
      </c>
      <c r="D245" s="138"/>
      <c r="E245" s="26" t="s">
        <v>76</v>
      </c>
      <c r="F245" s="27">
        <v>45</v>
      </c>
      <c r="G245" s="28">
        <v>0</v>
      </c>
      <c r="H245" s="27">
        <f>F245*AO245</f>
        <v>0</v>
      </c>
      <c r="I245" s="27">
        <f>F245*AP245</f>
        <v>0</v>
      </c>
      <c r="J245" s="27">
        <f>F245*G245</f>
        <v>0</v>
      </c>
      <c r="K245" s="29" t="s">
        <v>57</v>
      </c>
      <c r="Z245" s="30">
        <f>IF(AQ245="5",BJ245,0)</f>
        <v>0</v>
      </c>
      <c r="AB245" s="30">
        <f>IF(AQ245="1",BH245,0)</f>
        <v>0</v>
      </c>
      <c r="AC245" s="30">
        <f>IF(AQ245="1",BI245,0)</f>
        <v>0</v>
      </c>
      <c r="AD245" s="30">
        <f>IF(AQ245="7",BH245,0)</f>
        <v>0</v>
      </c>
      <c r="AE245" s="30">
        <f>IF(AQ245="7",BI245,0)</f>
        <v>0</v>
      </c>
      <c r="AF245" s="30">
        <f>IF(AQ245="2",BH245,0)</f>
        <v>0</v>
      </c>
      <c r="AG245" s="30">
        <f>IF(AQ245="2",BI245,0)</f>
        <v>0</v>
      </c>
      <c r="AH245" s="30">
        <f>IF(AQ245="0",BJ245,0)</f>
        <v>0</v>
      </c>
      <c r="AI245" s="10" t="s">
        <v>50</v>
      </c>
      <c r="AJ245" s="30">
        <f>IF(AN245=0,J245,0)</f>
        <v>0</v>
      </c>
      <c r="AK245" s="30">
        <f>IF(AN245=12,J245,0)</f>
        <v>0</v>
      </c>
      <c r="AL245" s="30">
        <f>IF(AN245=21,J245,0)</f>
        <v>0</v>
      </c>
      <c r="AN245" s="30">
        <v>12</v>
      </c>
      <c r="AO245" s="30">
        <f>G245*0.387610313</f>
        <v>0</v>
      </c>
      <c r="AP245" s="30">
        <f>G245*(1-0.387610313)</f>
        <v>0</v>
      </c>
      <c r="AQ245" s="31" t="s">
        <v>61</v>
      </c>
      <c r="AV245" s="30">
        <f>AW245+AX245</f>
        <v>0</v>
      </c>
      <c r="AW245" s="30">
        <f>F245*AO245</f>
        <v>0</v>
      </c>
      <c r="AX245" s="30">
        <f>F245*AP245</f>
        <v>0</v>
      </c>
      <c r="AY245" s="31" t="s">
        <v>654</v>
      </c>
      <c r="AZ245" s="31" t="s">
        <v>533</v>
      </c>
      <c r="BA245" s="10" t="s">
        <v>60</v>
      </c>
      <c r="BC245" s="30">
        <f>AW245+AX245</f>
        <v>0</v>
      </c>
      <c r="BD245" s="30">
        <f>G245/(100-BE245)*100</f>
        <v>0</v>
      </c>
      <c r="BE245" s="30">
        <v>0</v>
      </c>
      <c r="BF245" s="30">
        <f>245</f>
        <v>245</v>
      </c>
      <c r="BH245" s="30">
        <f>F245*AO245</f>
        <v>0</v>
      </c>
      <c r="BI245" s="30">
        <f>F245*AP245</f>
        <v>0</v>
      </c>
      <c r="BJ245" s="30">
        <f>F245*G245</f>
        <v>0</v>
      </c>
      <c r="BK245" s="30"/>
      <c r="BL245" s="30"/>
      <c r="BW245" s="30">
        <v>12</v>
      </c>
      <c r="BX245" s="4" t="s">
        <v>686</v>
      </c>
    </row>
    <row r="246" spans="1:76" ht="13.5" customHeight="1" x14ac:dyDescent="0.25">
      <c r="A246" s="37"/>
      <c r="B246" s="38" t="s">
        <v>68</v>
      </c>
      <c r="C246" s="141" t="s">
        <v>687</v>
      </c>
      <c r="D246" s="142"/>
      <c r="E246" s="142"/>
      <c r="F246" s="142"/>
      <c r="G246" s="143"/>
      <c r="H246" s="142"/>
      <c r="I246" s="142"/>
      <c r="J246" s="142"/>
      <c r="K246" s="144"/>
    </row>
    <row r="247" spans="1:76" x14ac:dyDescent="0.25">
      <c r="A247" s="25" t="s">
        <v>688</v>
      </c>
      <c r="B247" s="26" t="s">
        <v>689</v>
      </c>
      <c r="C247" s="137" t="s">
        <v>690</v>
      </c>
      <c r="D247" s="138"/>
      <c r="E247" s="26" t="s">
        <v>76</v>
      </c>
      <c r="F247" s="27">
        <v>50</v>
      </c>
      <c r="G247" s="28">
        <v>0</v>
      </c>
      <c r="H247" s="27">
        <f>F247*AO247</f>
        <v>0</v>
      </c>
      <c r="I247" s="27">
        <f>F247*AP247</f>
        <v>0</v>
      </c>
      <c r="J247" s="27">
        <f>F247*G247</f>
        <v>0</v>
      </c>
      <c r="K247" s="29" t="s">
        <v>57</v>
      </c>
      <c r="Z247" s="30">
        <f>IF(AQ247="5",BJ247,0)</f>
        <v>0</v>
      </c>
      <c r="AB247" s="30">
        <f>IF(AQ247="1",BH247,0)</f>
        <v>0</v>
      </c>
      <c r="AC247" s="30">
        <f>IF(AQ247="1",BI247,0)</f>
        <v>0</v>
      </c>
      <c r="AD247" s="30">
        <f>IF(AQ247="7",BH247,0)</f>
        <v>0</v>
      </c>
      <c r="AE247" s="30">
        <f>IF(AQ247="7",BI247,0)</f>
        <v>0</v>
      </c>
      <c r="AF247" s="30">
        <f>IF(AQ247="2",BH247,0)</f>
        <v>0</v>
      </c>
      <c r="AG247" s="30">
        <f>IF(AQ247="2",BI247,0)</f>
        <v>0</v>
      </c>
      <c r="AH247" s="30">
        <f>IF(AQ247="0",BJ247,0)</f>
        <v>0</v>
      </c>
      <c r="AI247" s="10" t="s">
        <v>50</v>
      </c>
      <c r="AJ247" s="30">
        <f>IF(AN247=0,J247,0)</f>
        <v>0</v>
      </c>
      <c r="AK247" s="30">
        <f>IF(AN247=12,J247,0)</f>
        <v>0</v>
      </c>
      <c r="AL247" s="30">
        <f>IF(AN247=21,J247,0)</f>
        <v>0</v>
      </c>
      <c r="AN247" s="30">
        <v>12</v>
      </c>
      <c r="AO247" s="30">
        <f>G247*0.447290333</f>
        <v>0</v>
      </c>
      <c r="AP247" s="30">
        <f>G247*(1-0.447290333)</f>
        <v>0</v>
      </c>
      <c r="AQ247" s="31" t="s">
        <v>61</v>
      </c>
      <c r="AV247" s="30">
        <f>AW247+AX247</f>
        <v>0</v>
      </c>
      <c r="AW247" s="30">
        <f>F247*AO247</f>
        <v>0</v>
      </c>
      <c r="AX247" s="30">
        <f>F247*AP247</f>
        <v>0</v>
      </c>
      <c r="AY247" s="31" t="s">
        <v>654</v>
      </c>
      <c r="AZ247" s="31" t="s">
        <v>533</v>
      </c>
      <c r="BA247" s="10" t="s">
        <v>60</v>
      </c>
      <c r="BC247" s="30">
        <f>AW247+AX247</f>
        <v>0</v>
      </c>
      <c r="BD247" s="30">
        <f>G247/(100-BE247)*100</f>
        <v>0</v>
      </c>
      <c r="BE247" s="30">
        <v>0</v>
      </c>
      <c r="BF247" s="30">
        <f>247</f>
        <v>247</v>
      </c>
      <c r="BH247" s="30">
        <f>F247*AO247</f>
        <v>0</v>
      </c>
      <c r="BI247" s="30">
        <f>F247*AP247</f>
        <v>0</v>
      </c>
      <c r="BJ247" s="30">
        <f>F247*G247</f>
        <v>0</v>
      </c>
      <c r="BK247" s="30"/>
      <c r="BL247" s="30"/>
      <c r="BW247" s="30">
        <v>12</v>
      </c>
      <c r="BX247" s="4" t="s">
        <v>690</v>
      </c>
    </row>
    <row r="248" spans="1:76" ht="13.5" customHeight="1" x14ac:dyDescent="0.25">
      <c r="A248" s="37"/>
      <c r="B248" s="38" t="s">
        <v>68</v>
      </c>
      <c r="C248" s="141" t="s">
        <v>691</v>
      </c>
      <c r="D248" s="142"/>
      <c r="E248" s="142"/>
      <c r="F248" s="142"/>
      <c r="G248" s="143"/>
      <c r="H248" s="142"/>
      <c r="I248" s="142"/>
      <c r="J248" s="142"/>
      <c r="K248" s="144"/>
    </row>
    <row r="249" spans="1:76" x14ac:dyDescent="0.25">
      <c r="A249" s="25" t="s">
        <v>692</v>
      </c>
      <c r="B249" s="26" t="s">
        <v>693</v>
      </c>
      <c r="C249" s="137" t="s">
        <v>694</v>
      </c>
      <c r="D249" s="138"/>
      <c r="E249" s="26" t="s">
        <v>76</v>
      </c>
      <c r="F249" s="27">
        <v>10</v>
      </c>
      <c r="G249" s="28">
        <v>0</v>
      </c>
      <c r="H249" s="27">
        <f>F249*AO249</f>
        <v>0</v>
      </c>
      <c r="I249" s="27">
        <f>F249*AP249</f>
        <v>0</v>
      </c>
      <c r="J249" s="27">
        <f>F249*G249</f>
        <v>0</v>
      </c>
      <c r="K249" s="29" t="s">
        <v>57</v>
      </c>
      <c r="Z249" s="30">
        <f>IF(AQ249="5",BJ249,0)</f>
        <v>0</v>
      </c>
      <c r="AB249" s="30">
        <f>IF(AQ249="1",BH249,0)</f>
        <v>0</v>
      </c>
      <c r="AC249" s="30">
        <f>IF(AQ249="1",BI249,0)</f>
        <v>0</v>
      </c>
      <c r="AD249" s="30">
        <f>IF(AQ249="7",BH249,0)</f>
        <v>0</v>
      </c>
      <c r="AE249" s="30">
        <f>IF(AQ249="7",BI249,0)</f>
        <v>0</v>
      </c>
      <c r="AF249" s="30">
        <f>IF(AQ249="2",BH249,0)</f>
        <v>0</v>
      </c>
      <c r="AG249" s="30">
        <f>IF(AQ249="2",BI249,0)</f>
        <v>0</v>
      </c>
      <c r="AH249" s="30">
        <f>IF(AQ249="0",BJ249,0)</f>
        <v>0</v>
      </c>
      <c r="AI249" s="10" t="s">
        <v>50</v>
      </c>
      <c r="AJ249" s="30">
        <f>IF(AN249=0,J249,0)</f>
        <v>0</v>
      </c>
      <c r="AK249" s="30">
        <f>IF(AN249=12,J249,0)</f>
        <v>0</v>
      </c>
      <c r="AL249" s="30">
        <f>IF(AN249=21,J249,0)</f>
        <v>0</v>
      </c>
      <c r="AN249" s="30">
        <v>12</v>
      </c>
      <c r="AO249" s="30">
        <f>G249*0.466294677</f>
        <v>0</v>
      </c>
      <c r="AP249" s="30">
        <f>G249*(1-0.466294677)</f>
        <v>0</v>
      </c>
      <c r="AQ249" s="31" t="s">
        <v>61</v>
      </c>
      <c r="AV249" s="30">
        <f>AW249+AX249</f>
        <v>0</v>
      </c>
      <c r="AW249" s="30">
        <f>F249*AO249</f>
        <v>0</v>
      </c>
      <c r="AX249" s="30">
        <f>F249*AP249</f>
        <v>0</v>
      </c>
      <c r="AY249" s="31" t="s">
        <v>654</v>
      </c>
      <c r="AZ249" s="31" t="s">
        <v>533</v>
      </c>
      <c r="BA249" s="10" t="s">
        <v>60</v>
      </c>
      <c r="BC249" s="30">
        <f>AW249+AX249</f>
        <v>0</v>
      </c>
      <c r="BD249" s="30">
        <f>G249/(100-BE249)*100</f>
        <v>0</v>
      </c>
      <c r="BE249" s="30">
        <v>0</v>
      </c>
      <c r="BF249" s="30">
        <f>249</f>
        <v>249</v>
      </c>
      <c r="BH249" s="30">
        <f>F249*AO249</f>
        <v>0</v>
      </c>
      <c r="BI249" s="30">
        <f>F249*AP249</f>
        <v>0</v>
      </c>
      <c r="BJ249" s="30">
        <f>F249*G249</f>
        <v>0</v>
      </c>
      <c r="BK249" s="30"/>
      <c r="BL249" s="30"/>
      <c r="BW249" s="30">
        <v>12</v>
      </c>
      <c r="BX249" s="4" t="s">
        <v>694</v>
      </c>
    </row>
    <row r="250" spans="1:76" ht="13.5" customHeight="1" x14ac:dyDescent="0.25">
      <c r="A250" s="37"/>
      <c r="B250" s="38" t="s">
        <v>68</v>
      </c>
      <c r="C250" s="141" t="s">
        <v>695</v>
      </c>
      <c r="D250" s="142"/>
      <c r="E250" s="142"/>
      <c r="F250" s="142"/>
      <c r="G250" s="143"/>
      <c r="H250" s="142"/>
      <c r="I250" s="142"/>
      <c r="J250" s="142"/>
      <c r="K250" s="144"/>
    </row>
    <row r="251" spans="1:76" x14ac:dyDescent="0.25">
      <c r="A251" s="59" t="s">
        <v>696</v>
      </c>
      <c r="B251" s="60" t="s">
        <v>151</v>
      </c>
      <c r="C251" s="155" t="s">
        <v>152</v>
      </c>
      <c r="D251" s="156"/>
      <c r="E251" s="60" t="s">
        <v>86</v>
      </c>
      <c r="F251" s="61">
        <v>0.74231999999999998</v>
      </c>
      <c r="G251" s="62">
        <v>0</v>
      </c>
      <c r="H251" s="61">
        <f>F251*AO251</f>
        <v>0</v>
      </c>
      <c r="I251" s="61">
        <f>F251*AP251</f>
        <v>0</v>
      </c>
      <c r="J251" s="61">
        <f>F251*G251</f>
        <v>0</v>
      </c>
      <c r="K251" s="63" t="s">
        <v>57</v>
      </c>
      <c r="Z251" s="30">
        <f>IF(AQ251="5",BJ251,0)</f>
        <v>0</v>
      </c>
      <c r="AB251" s="30">
        <f>IF(AQ251="1",BH251,0)</f>
        <v>0</v>
      </c>
      <c r="AC251" s="30">
        <f>IF(AQ251="1",BI251,0)</f>
        <v>0</v>
      </c>
      <c r="AD251" s="30">
        <f>IF(AQ251="7",BH251,0)</f>
        <v>0</v>
      </c>
      <c r="AE251" s="30">
        <f>IF(AQ251="7",BI251,0)</f>
        <v>0</v>
      </c>
      <c r="AF251" s="30">
        <f>IF(AQ251="2",BH251,0)</f>
        <v>0</v>
      </c>
      <c r="AG251" s="30">
        <f>IF(AQ251="2",BI251,0)</f>
        <v>0</v>
      </c>
      <c r="AH251" s="30">
        <f>IF(AQ251="0",BJ251,0)</f>
        <v>0</v>
      </c>
      <c r="AI251" s="10" t="s">
        <v>50</v>
      </c>
      <c r="AJ251" s="30">
        <f>IF(AN251=0,J251,0)</f>
        <v>0</v>
      </c>
      <c r="AK251" s="30">
        <f>IF(AN251=12,J251,0)</f>
        <v>0</v>
      </c>
      <c r="AL251" s="30">
        <f>IF(AN251=21,J251,0)</f>
        <v>0</v>
      </c>
      <c r="AN251" s="30">
        <v>12</v>
      </c>
      <c r="AO251" s="30">
        <f>G251*0</f>
        <v>0</v>
      </c>
      <c r="AP251" s="30">
        <f>G251*(1-0)</f>
        <v>0</v>
      </c>
      <c r="AQ251" s="31" t="s">
        <v>73</v>
      </c>
      <c r="AV251" s="30">
        <f>AW251+AX251</f>
        <v>0</v>
      </c>
      <c r="AW251" s="30">
        <f>F251*AO251</f>
        <v>0</v>
      </c>
      <c r="AX251" s="30">
        <f>F251*AP251</f>
        <v>0</v>
      </c>
      <c r="AY251" s="31" t="s">
        <v>654</v>
      </c>
      <c r="AZ251" s="31" t="s">
        <v>533</v>
      </c>
      <c r="BA251" s="10" t="s">
        <v>60</v>
      </c>
      <c r="BC251" s="30">
        <f>AW251+AX251</f>
        <v>0</v>
      </c>
      <c r="BD251" s="30">
        <f>G251/(100-BE251)*100</f>
        <v>0</v>
      </c>
      <c r="BE251" s="30">
        <v>0</v>
      </c>
      <c r="BF251" s="30">
        <f>251</f>
        <v>251</v>
      </c>
      <c r="BH251" s="30">
        <f>F251*AO251</f>
        <v>0</v>
      </c>
      <c r="BI251" s="30">
        <f>F251*AP251</f>
        <v>0</v>
      </c>
      <c r="BJ251" s="30">
        <f>F251*G251</f>
        <v>0</v>
      </c>
      <c r="BK251" s="30"/>
      <c r="BL251" s="30"/>
      <c r="BW251" s="30">
        <v>12</v>
      </c>
      <c r="BX251" s="4" t="s">
        <v>152</v>
      </c>
    </row>
    <row r="252" spans="1:76" x14ac:dyDescent="0.25">
      <c r="H252" s="157" t="s">
        <v>697</v>
      </c>
      <c r="I252" s="157"/>
      <c r="J252" s="64">
        <f>J12+J25+J45+J47+J53+J64+J95+J102+J113+J115+J121+J126+J131+J137+J139+J175+J181+J183+J188+J228</f>
        <v>0</v>
      </c>
    </row>
    <row r="253" spans="1:76" x14ac:dyDescent="0.25">
      <c r="A253" s="65" t="s">
        <v>698</v>
      </c>
    </row>
    <row r="254" spans="1:76" ht="12.75" customHeight="1" x14ac:dyDescent="0.25">
      <c r="A254" s="116" t="s">
        <v>50</v>
      </c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</row>
  </sheetData>
  <sheetProtection password="C7C0" sheet="1"/>
  <mergeCells count="270">
    <mergeCell ref="C250:K250"/>
    <mergeCell ref="C251:D251"/>
    <mergeCell ref="H252:I252"/>
    <mergeCell ref="A254:K254"/>
    <mergeCell ref="C245:D245"/>
    <mergeCell ref="C246:K246"/>
    <mergeCell ref="C247:D247"/>
    <mergeCell ref="C248:K248"/>
    <mergeCell ref="C249:D249"/>
    <mergeCell ref="C240:K240"/>
    <mergeCell ref="C241:D241"/>
    <mergeCell ref="C242:K242"/>
    <mergeCell ref="C243:D243"/>
    <mergeCell ref="C244:K244"/>
    <mergeCell ref="C235:D235"/>
    <mergeCell ref="C236:K236"/>
    <mergeCell ref="C237:D237"/>
    <mergeCell ref="C238:K238"/>
    <mergeCell ref="C239:D239"/>
    <mergeCell ref="C230:K230"/>
    <mergeCell ref="C231:D231"/>
    <mergeCell ref="C232:K232"/>
    <mergeCell ref="C233:D233"/>
    <mergeCell ref="C234:K234"/>
    <mergeCell ref="C225:D225"/>
    <mergeCell ref="C226:D226"/>
    <mergeCell ref="C227:D227"/>
    <mergeCell ref="C228:D228"/>
    <mergeCell ref="C229:D229"/>
    <mergeCell ref="C220:D220"/>
    <mergeCell ref="C221:D221"/>
    <mergeCell ref="C222:D222"/>
    <mergeCell ref="C223:D223"/>
    <mergeCell ref="C224:K224"/>
    <mergeCell ref="C215:D215"/>
    <mergeCell ref="C216:D216"/>
    <mergeCell ref="C217:D217"/>
    <mergeCell ref="C218:D218"/>
    <mergeCell ref="C219:D219"/>
    <mergeCell ref="C210:K210"/>
    <mergeCell ref="C211:D211"/>
    <mergeCell ref="C212:D212"/>
    <mergeCell ref="C213:D213"/>
    <mergeCell ref="C214:D214"/>
    <mergeCell ref="C205:D205"/>
    <mergeCell ref="C206:K206"/>
    <mergeCell ref="C207:D207"/>
    <mergeCell ref="C208:K208"/>
    <mergeCell ref="C209:D209"/>
    <mergeCell ref="C200:D200"/>
    <mergeCell ref="C201:D201"/>
    <mergeCell ref="C202:D202"/>
    <mergeCell ref="C203:D203"/>
    <mergeCell ref="C204:K204"/>
    <mergeCell ref="C195:D195"/>
    <mergeCell ref="C196:D196"/>
    <mergeCell ref="C197:D197"/>
    <mergeCell ref="C198:D198"/>
    <mergeCell ref="C199:D19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180:K180"/>
    <mergeCell ref="C181:D181"/>
    <mergeCell ref="C182:D182"/>
    <mergeCell ref="C183:D183"/>
    <mergeCell ref="C184:D184"/>
    <mergeCell ref="C175:D175"/>
    <mergeCell ref="C176:D176"/>
    <mergeCell ref="C177:K177"/>
    <mergeCell ref="C178:D178"/>
    <mergeCell ref="C179:D179"/>
    <mergeCell ref="C170:D170"/>
    <mergeCell ref="C171:D171"/>
    <mergeCell ref="C172:D172"/>
    <mergeCell ref="C173:D173"/>
    <mergeCell ref="C174:D174"/>
    <mergeCell ref="C165:D165"/>
    <mergeCell ref="C166:D166"/>
    <mergeCell ref="C167:K167"/>
    <mergeCell ref="C168:D168"/>
    <mergeCell ref="C169:D169"/>
    <mergeCell ref="C160:D160"/>
    <mergeCell ref="C161:D161"/>
    <mergeCell ref="C162:K162"/>
    <mergeCell ref="C163:D163"/>
    <mergeCell ref="C164:D164"/>
    <mergeCell ref="C155:D155"/>
    <mergeCell ref="C156:K156"/>
    <mergeCell ref="C157:D157"/>
    <mergeCell ref="C158:K158"/>
    <mergeCell ref="C159:D159"/>
    <mergeCell ref="C150:D150"/>
    <mergeCell ref="C151:D151"/>
    <mergeCell ref="C152:D152"/>
    <mergeCell ref="C153:D153"/>
    <mergeCell ref="C154:K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K144"/>
    <mergeCell ref="C135:K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K129"/>
    <mergeCell ref="C120:D120"/>
    <mergeCell ref="C121:D121"/>
    <mergeCell ref="C122:D122"/>
    <mergeCell ref="C123:K123"/>
    <mergeCell ref="C124:D124"/>
    <mergeCell ref="C115:D115"/>
    <mergeCell ref="C116:D116"/>
    <mergeCell ref="C117:D117"/>
    <mergeCell ref="C118:K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K91"/>
    <mergeCell ref="C92:D92"/>
    <mergeCell ref="C93:K93"/>
    <mergeCell ref="C94:D94"/>
    <mergeCell ref="C85:D85"/>
    <mergeCell ref="C86:D86"/>
    <mergeCell ref="C87:D87"/>
    <mergeCell ref="C88:D88"/>
    <mergeCell ref="C89:D89"/>
    <mergeCell ref="C80:D80"/>
    <mergeCell ref="C81:K81"/>
    <mergeCell ref="C82:D82"/>
    <mergeCell ref="C83:D83"/>
    <mergeCell ref="C84:D84"/>
    <mergeCell ref="C75:D75"/>
    <mergeCell ref="C76:D76"/>
    <mergeCell ref="C77:K77"/>
    <mergeCell ref="C78:D78"/>
    <mergeCell ref="C79:D79"/>
    <mergeCell ref="C70:K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K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K43"/>
    <mergeCell ref="C44:D44"/>
    <mergeCell ref="C35:D35"/>
    <mergeCell ref="C36:D36"/>
    <mergeCell ref="C37:D37"/>
    <mergeCell ref="C38:D38"/>
    <mergeCell ref="C39:K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K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7"/>
  <sheetViews>
    <sheetView workbookViewId="0">
      <selection activeCell="A387" sqref="A387:G387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85.7109375" customWidth="1"/>
    <col min="5" max="5" width="21.710937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107" t="s">
        <v>699</v>
      </c>
      <c r="B1" s="107"/>
      <c r="C1" s="107"/>
      <c r="D1" s="107"/>
      <c r="E1" s="107"/>
      <c r="F1" s="107"/>
      <c r="G1" s="107"/>
      <c r="H1" s="107"/>
    </row>
    <row r="2" spans="1:8" x14ac:dyDescent="0.25">
      <c r="A2" s="108" t="s">
        <v>1</v>
      </c>
      <c r="B2" s="109"/>
      <c r="C2" s="117" t="str">
        <f>'Stavební rozpočet'!C2</f>
        <v>Revitalizace městských bytů v Šumperku - BJ č.2</v>
      </c>
      <c r="D2" s="118"/>
      <c r="E2" s="115" t="s">
        <v>5</v>
      </c>
      <c r="F2" s="115" t="str">
        <f>'Stavební rozpočet'!I2</f>
        <v>Město Šumperk, nám. Míru 1, 787 01 Šumperk</v>
      </c>
      <c r="G2" s="109"/>
      <c r="H2" s="123"/>
    </row>
    <row r="3" spans="1:8" ht="15" customHeight="1" x14ac:dyDescent="0.25">
      <c r="A3" s="110"/>
      <c r="B3" s="111"/>
      <c r="C3" s="119"/>
      <c r="D3" s="119"/>
      <c r="E3" s="111"/>
      <c r="F3" s="111"/>
      <c r="G3" s="111"/>
      <c r="H3" s="124"/>
    </row>
    <row r="4" spans="1:8" x14ac:dyDescent="0.25">
      <c r="A4" s="112" t="s">
        <v>7</v>
      </c>
      <c r="B4" s="111"/>
      <c r="C4" s="116" t="str">
        <f>'Stavební rozpočet'!C4</f>
        <v>Bytový dům</v>
      </c>
      <c r="D4" s="111"/>
      <c r="E4" s="116" t="s">
        <v>10</v>
      </c>
      <c r="F4" s="116" t="str">
        <f>'Stavební rozpočet'!I4</f>
        <v>Ing. Petr Doleček</v>
      </c>
      <c r="G4" s="111"/>
      <c r="H4" s="124"/>
    </row>
    <row r="5" spans="1:8" ht="15" customHeight="1" x14ac:dyDescent="0.25">
      <c r="A5" s="110"/>
      <c r="B5" s="111"/>
      <c r="C5" s="111"/>
      <c r="D5" s="111"/>
      <c r="E5" s="111"/>
      <c r="F5" s="111"/>
      <c r="G5" s="111"/>
      <c r="H5" s="124"/>
    </row>
    <row r="6" spans="1:8" x14ac:dyDescent="0.25">
      <c r="A6" s="112" t="s">
        <v>12</v>
      </c>
      <c r="B6" s="111"/>
      <c r="C6" s="116" t="str">
        <f>'Stavební rozpočet'!C6</f>
        <v>17.listopadu 1326/5 Šumperk</v>
      </c>
      <c r="D6" s="111"/>
      <c r="E6" s="116" t="s">
        <v>15</v>
      </c>
      <c r="F6" s="116" t="str">
        <f>'Stavební rozpočet'!I6</f>
        <v> </v>
      </c>
      <c r="G6" s="111"/>
      <c r="H6" s="124"/>
    </row>
    <row r="7" spans="1:8" ht="15" customHeight="1" x14ac:dyDescent="0.25">
      <c r="A7" s="110"/>
      <c r="B7" s="111"/>
      <c r="C7" s="111"/>
      <c r="D7" s="111"/>
      <c r="E7" s="111"/>
      <c r="F7" s="111"/>
      <c r="G7" s="111"/>
      <c r="H7" s="124"/>
    </row>
    <row r="8" spans="1:8" x14ac:dyDescent="0.25">
      <c r="A8" s="112" t="s">
        <v>20</v>
      </c>
      <c r="B8" s="111"/>
      <c r="C8" s="116" t="str">
        <f>'Stavební rozpočet'!I8</f>
        <v>Ing. Petr Doleček</v>
      </c>
      <c r="D8" s="111"/>
      <c r="E8" s="116" t="s">
        <v>18</v>
      </c>
      <c r="F8" s="116" t="str">
        <f>'Stavební rozpočet'!G8</f>
        <v>26.06.2024</v>
      </c>
      <c r="G8" s="111"/>
      <c r="H8" s="124"/>
    </row>
    <row r="9" spans="1:8" x14ac:dyDescent="0.25">
      <c r="A9" s="113"/>
      <c r="B9" s="114"/>
      <c r="C9" s="114"/>
      <c r="D9" s="114"/>
      <c r="E9" s="114"/>
      <c r="F9" s="114"/>
      <c r="G9" s="114"/>
      <c r="H9" s="158"/>
    </row>
    <row r="10" spans="1:8" x14ac:dyDescent="0.25">
      <c r="A10" s="66" t="s">
        <v>21</v>
      </c>
      <c r="B10" s="67" t="s">
        <v>700</v>
      </c>
      <c r="C10" s="67" t="s">
        <v>22</v>
      </c>
      <c r="D10" s="159" t="s">
        <v>23</v>
      </c>
      <c r="E10" s="160"/>
      <c r="F10" s="67" t="s">
        <v>24</v>
      </c>
      <c r="G10" s="68" t="s">
        <v>25</v>
      </c>
      <c r="H10" s="69" t="s">
        <v>701</v>
      </c>
    </row>
    <row r="11" spans="1:8" x14ac:dyDescent="0.25">
      <c r="A11" s="70" t="s">
        <v>53</v>
      </c>
      <c r="B11" s="71" t="s">
        <v>50</v>
      </c>
      <c r="C11" s="71" t="s">
        <v>54</v>
      </c>
      <c r="D11" s="161" t="s">
        <v>55</v>
      </c>
      <c r="E11" s="161"/>
      <c r="F11" s="71" t="s">
        <v>56</v>
      </c>
      <c r="G11" s="72">
        <v>6</v>
      </c>
      <c r="H11" s="73">
        <v>0</v>
      </c>
    </row>
    <row r="12" spans="1:8" x14ac:dyDescent="0.25">
      <c r="A12" s="74"/>
      <c r="D12" s="75" t="s">
        <v>77</v>
      </c>
      <c r="E12" s="162" t="s">
        <v>702</v>
      </c>
      <c r="F12" s="162"/>
      <c r="G12" s="76">
        <v>6</v>
      </c>
      <c r="H12" s="77"/>
    </row>
    <row r="13" spans="1:8" x14ac:dyDescent="0.25">
      <c r="A13" s="2" t="s">
        <v>61</v>
      </c>
      <c r="B13" s="3" t="s">
        <v>50</v>
      </c>
      <c r="C13" s="3" t="s">
        <v>62</v>
      </c>
      <c r="D13" s="111" t="s">
        <v>63</v>
      </c>
      <c r="E13" s="111"/>
      <c r="F13" s="3" t="s">
        <v>64</v>
      </c>
      <c r="G13" s="30">
        <v>1</v>
      </c>
      <c r="H13" s="78">
        <v>0</v>
      </c>
    </row>
    <row r="14" spans="1:8" x14ac:dyDescent="0.25">
      <c r="A14" s="74"/>
      <c r="D14" s="75" t="s">
        <v>53</v>
      </c>
      <c r="E14" s="162" t="s">
        <v>703</v>
      </c>
      <c r="F14" s="162"/>
      <c r="G14" s="76">
        <v>1</v>
      </c>
      <c r="H14" s="77"/>
    </row>
    <row r="15" spans="1:8" x14ac:dyDescent="0.25">
      <c r="A15" s="2" t="s">
        <v>65</v>
      </c>
      <c r="B15" s="3" t="s">
        <v>50</v>
      </c>
      <c r="C15" s="3" t="s">
        <v>66</v>
      </c>
      <c r="D15" s="111" t="s">
        <v>67</v>
      </c>
      <c r="E15" s="111"/>
      <c r="F15" s="3" t="s">
        <v>56</v>
      </c>
      <c r="G15" s="30">
        <v>2</v>
      </c>
      <c r="H15" s="78">
        <v>0</v>
      </c>
    </row>
    <row r="16" spans="1:8" x14ac:dyDescent="0.25">
      <c r="A16" s="74"/>
      <c r="D16" s="75" t="s">
        <v>61</v>
      </c>
      <c r="E16" s="162" t="s">
        <v>704</v>
      </c>
      <c r="F16" s="162"/>
      <c r="G16" s="76">
        <v>2</v>
      </c>
      <c r="H16" s="77"/>
    </row>
    <row r="17" spans="1:8" x14ac:dyDescent="0.25">
      <c r="A17" s="2" t="s">
        <v>70</v>
      </c>
      <c r="B17" s="3" t="s">
        <v>50</v>
      </c>
      <c r="C17" s="3" t="s">
        <v>71</v>
      </c>
      <c r="D17" s="111" t="s">
        <v>72</v>
      </c>
      <c r="E17" s="111"/>
      <c r="F17" s="3" t="s">
        <v>56</v>
      </c>
      <c r="G17" s="30">
        <v>2</v>
      </c>
      <c r="H17" s="78">
        <v>0</v>
      </c>
    </row>
    <row r="18" spans="1:8" x14ac:dyDescent="0.25">
      <c r="A18" s="74"/>
      <c r="D18" s="75" t="s">
        <v>61</v>
      </c>
      <c r="E18" s="162" t="s">
        <v>705</v>
      </c>
      <c r="F18" s="162"/>
      <c r="G18" s="76">
        <v>2</v>
      </c>
      <c r="H18" s="77"/>
    </row>
    <row r="19" spans="1:8" x14ac:dyDescent="0.25">
      <c r="A19" s="2" t="s">
        <v>73</v>
      </c>
      <c r="B19" s="3" t="s">
        <v>50</v>
      </c>
      <c r="C19" s="3" t="s">
        <v>74</v>
      </c>
      <c r="D19" s="111" t="s">
        <v>75</v>
      </c>
      <c r="E19" s="111"/>
      <c r="F19" s="3" t="s">
        <v>76</v>
      </c>
      <c r="G19" s="30">
        <v>60</v>
      </c>
      <c r="H19" s="78">
        <v>0</v>
      </c>
    </row>
    <row r="20" spans="1:8" x14ac:dyDescent="0.25">
      <c r="A20" s="74"/>
      <c r="D20" s="75" t="s">
        <v>706</v>
      </c>
      <c r="E20" s="162" t="s">
        <v>707</v>
      </c>
      <c r="F20" s="162"/>
      <c r="G20" s="76">
        <v>60</v>
      </c>
      <c r="H20" s="77"/>
    </row>
    <row r="21" spans="1:8" x14ac:dyDescent="0.25">
      <c r="A21" s="2" t="s">
        <v>77</v>
      </c>
      <c r="B21" s="3" t="s">
        <v>50</v>
      </c>
      <c r="C21" s="3" t="s">
        <v>78</v>
      </c>
      <c r="D21" s="111" t="s">
        <v>79</v>
      </c>
      <c r="E21" s="111"/>
      <c r="F21" s="3" t="s">
        <v>76</v>
      </c>
      <c r="G21" s="30">
        <v>3.9</v>
      </c>
      <c r="H21" s="78">
        <v>0</v>
      </c>
    </row>
    <row r="22" spans="1:8" x14ac:dyDescent="0.25">
      <c r="A22" s="74"/>
      <c r="D22" s="75" t="s">
        <v>708</v>
      </c>
      <c r="E22" s="162" t="s">
        <v>709</v>
      </c>
      <c r="F22" s="162"/>
      <c r="G22" s="76">
        <v>2.5</v>
      </c>
      <c r="H22" s="77"/>
    </row>
    <row r="23" spans="1:8" x14ac:dyDescent="0.25">
      <c r="A23" s="2" t="s">
        <v>50</v>
      </c>
      <c r="B23" s="3" t="s">
        <v>50</v>
      </c>
      <c r="C23" s="3" t="s">
        <v>50</v>
      </c>
      <c r="D23" s="75" t="s">
        <v>710</v>
      </c>
      <c r="E23" s="162" t="s">
        <v>711</v>
      </c>
      <c r="F23" s="162"/>
      <c r="G23" s="76">
        <v>1.4</v>
      </c>
      <c r="H23" s="79" t="s">
        <v>50</v>
      </c>
    </row>
    <row r="24" spans="1:8" x14ac:dyDescent="0.25">
      <c r="A24" s="2" t="s">
        <v>80</v>
      </c>
      <c r="B24" s="3" t="s">
        <v>50</v>
      </c>
      <c r="C24" s="3" t="s">
        <v>81</v>
      </c>
      <c r="D24" s="111" t="s">
        <v>82</v>
      </c>
      <c r="E24" s="111"/>
      <c r="F24" s="3" t="s">
        <v>76</v>
      </c>
      <c r="G24" s="30">
        <v>8.6</v>
      </c>
      <c r="H24" s="78">
        <v>0</v>
      </c>
    </row>
    <row r="25" spans="1:8" x14ac:dyDescent="0.25">
      <c r="A25" s="74"/>
      <c r="D25" s="75" t="s">
        <v>712</v>
      </c>
      <c r="E25" s="162" t="s">
        <v>713</v>
      </c>
      <c r="F25" s="162"/>
      <c r="G25" s="76">
        <v>8.6</v>
      </c>
      <c r="H25" s="77"/>
    </row>
    <row r="26" spans="1:8" x14ac:dyDescent="0.25">
      <c r="A26" s="2" t="s">
        <v>83</v>
      </c>
      <c r="B26" s="3" t="s">
        <v>50</v>
      </c>
      <c r="C26" s="3" t="s">
        <v>84</v>
      </c>
      <c r="D26" s="111" t="s">
        <v>85</v>
      </c>
      <c r="E26" s="111"/>
      <c r="F26" s="3" t="s">
        <v>86</v>
      </c>
      <c r="G26" s="30">
        <v>0.16836000000000001</v>
      </c>
      <c r="H26" s="78">
        <v>0</v>
      </c>
    </row>
    <row r="27" spans="1:8" x14ac:dyDescent="0.25">
      <c r="A27" s="2" t="s">
        <v>87</v>
      </c>
      <c r="B27" s="3" t="s">
        <v>50</v>
      </c>
      <c r="C27" s="3" t="s">
        <v>88</v>
      </c>
      <c r="D27" s="111" t="s">
        <v>89</v>
      </c>
      <c r="E27" s="111"/>
      <c r="F27" s="3" t="s">
        <v>86</v>
      </c>
      <c r="G27" s="30">
        <v>0.16836000000000001</v>
      </c>
      <c r="H27" s="78">
        <v>0</v>
      </c>
    </row>
    <row r="28" spans="1:8" x14ac:dyDescent="0.25">
      <c r="A28" s="2" t="s">
        <v>90</v>
      </c>
      <c r="B28" s="3" t="s">
        <v>50</v>
      </c>
      <c r="C28" s="3" t="s">
        <v>91</v>
      </c>
      <c r="D28" s="111" t="s">
        <v>92</v>
      </c>
      <c r="E28" s="111"/>
      <c r="F28" s="3" t="s">
        <v>86</v>
      </c>
      <c r="G28" s="30">
        <v>0.16836000000000001</v>
      </c>
      <c r="H28" s="78">
        <v>0</v>
      </c>
    </row>
    <row r="29" spans="1:8" x14ac:dyDescent="0.25">
      <c r="A29" s="74"/>
      <c r="D29" s="75" t="s">
        <v>714</v>
      </c>
      <c r="E29" s="162" t="s">
        <v>50</v>
      </c>
      <c r="F29" s="162"/>
      <c r="G29" s="76">
        <v>0.16836000000000001</v>
      </c>
      <c r="H29" s="77"/>
    </row>
    <row r="30" spans="1:8" x14ac:dyDescent="0.25">
      <c r="A30" s="2" t="s">
        <v>94</v>
      </c>
      <c r="B30" s="3" t="s">
        <v>50</v>
      </c>
      <c r="C30" s="3" t="s">
        <v>95</v>
      </c>
      <c r="D30" s="111" t="s">
        <v>96</v>
      </c>
      <c r="E30" s="111"/>
      <c r="F30" s="3" t="s">
        <v>97</v>
      </c>
      <c r="G30" s="30">
        <v>0.22500000000000001</v>
      </c>
      <c r="H30" s="78">
        <v>0</v>
      </c>
    </row>
    <row r="31" spans="1:8" x14ac:dyDescent="0.25">
      <c r="A31" s="74"/>
      <c r="D31" s="75" t="s">
        <v>715</v>
      </c>
      <c r="E31" s="162" t="s">
        <v>716</v>
      </c>
      <c r="F31" s="162"/>
      <c r="G31" s="76">
        <v>0.22500000000000001</v>
      </c>
      <c r="H31" s="77"/>
    </row>
    <row r="32" spans="1:8" x14ac:dyDescent="0.25">
      <c r="A32" s="2" t="s">
        <v>100</v>
      </c>
      <c r="B32" s="3" t="s">
        <v>50</v>
      </c>
      <c r="C32" s="3" t="s">
        <v>101</v>
      </c>
      <c r="D32" s="111" t="s">
        <v>102</v>
      </c>
      <c r="E32" s="111"/>
      <c r="F32" s="3" t="s">
        <v>64</v>
      </c>
      <c r="G32" s="30">
        <v>18.701499999999999</v>
      </c>
      <c r="H32" s="78">
        <v>0</v>
      </c>
    </row>
    <row r="33" spans="1:8" x14ac:dyDescent="0.25">
      <c r="A33" s="74"/>
      <c r="D33" s="75" t="s">
        <v>717</v>
      </c>
      <c r="E33" s="162" t="s">
        <v>718</v>
      </c>
      <c r="F33" s="162"/>
      <c r="G33" s="76">
        <v>16.601500000000001</v>
      </c>
      <c r="H33" s="77"/>
    </row>
    <row r="34" spans="1:8" x14ac:dyDescent="0.25">
      <c r="A34" s="2" t="s">
        <v>50</v>
      </c>
      <c r="B34" s="3" t="s">
        <v>50</v>
      </c>
      <c r="C34" s="3" t="s">
        <v>50</v>
      </c>
      <c r="D34" s="75" t="s">
        <v>719</v>
      </c>
      <c r="E34" s="162" t="s">
        <v>720</v>
      </c>
      <c r="F34" s="162"/>
      <c r="G34" s="76">
        <v>2.1</v>
      </c>
      <c r="H34" s="79" t="s">
        <v>50</v>
      </c>
    </row>
    <row r="35" spans="1:8" x14ac:dyDescent="0.25">
      <c r="A35" s="2" t="s">
        <v>105</v>
      </c>
      <c r="B35" s="3" t="s">
        <v>50</v>
      </c>
      <c r="C35" s="3" t="s">
        <v>106</v>
      </c>
      <c r="D35" s="111" t="s">
        <v>107</v>
      </c>
      <c r="E35" s="111"/>
      <c r="F35" s="3" t="s">
        <v>64</v>
      </c>
      <c r="G35" s="30">
        <v>16.50985</v>
      </c>
      <c r="H35" s="78">
        <v>0</v>
      </c>
    </row>
    <row r="36" spans="1:8" x14ac:dyDescent="0.25">
      <c r="A36" s="74"/>
      <c r="D36" s="75" t="s">
        <v>721</v>
      </c>
      <c r="E36" s="162" t="s">
        <v>722</v>
      </c>
      <c r="F36" s="162"/>
      <c r="G36" s="76">
        <v>4.7359999999999998</v>
      </c>
      <c r="H36" s="77"/>
    </row>
    <row r="37" spans="1:8" x14ac:dyDescent="0.25">
      <c r="A37" s="2" t="s">
        <v>50</v>
      </c>
      <c r="B37" s="3" t="s">
        <v>50</v>
      </c>
      <c r="C37" s="3" t="s">
        <v>50</v>
      </c>
      <c r="D37" s="75" t="s">
        <v>723</v>
      </c>
      <c r="E37" s="162" t="s">
        <v>724</v>
      </c>
      <c r="F37" s="162"/>
      <c r="G37" s="76">
        <v>11.773849999999999</v>
      </c>
      <c r="H37" s="79" t="s">
        <v>50</v>
      </c>
    </row>
    <row r="38" spans="1:8" x14ac:dyDescent="0.25">
      <c r="A38" s="2" t="s">
        <v>108</v>
      </c>
      <c r="B38" s="3" t="s">
        <v>50</v>
      </c>
      <c r="C38" s="3" t="s">
        <v>84</v>
      </c>
      <c r="D38" s="111" t="s">
        <v>85</v>
      </c>
      <c r="E38" s="111"/>
      <c r="F38" s="3" t="s">
        <v>86</v>
      </c>
      <c r="G38" s="30">
        <v>1.1226700000000001</v>
      </c>
      <c r="H38" s="78">
        <v>0</v>
      </c>
    </row>
    <row r="39" spans="1:8" x14ac:dyDescent="0.25">
      <c r="A39" s="2" t="s">
        <v>109</v>
      </c>
      <c r="B39" s="3" t="s">
        <v>50</v>
      </c>
      <c r="C39" s="3" t="s">
        <v>88</v>
      </c>
      <c r="D39" s="111" t="s">
        <v>89</v>
      </c>
      <c r="E39" s="111"/>
      <c r="F39" s="3" t="s">
        <v>86</v>
      </c>
      <c r="G39" s="30">
        <v>1.1226700000000001</v>
      </c>
      <c r="H39" s="78">
        <v>0</v>
      </c>
    </row>
    <row r="40" spans="1:8" x14ac:dyDescent="0.25">
      <c r="A40" s="74"/>
      <c r="D40" s="75" t="s">
        <v>725</v>
      </c>
      <c r="E40" s="162" t="s">
        <v>726</v>
      </c>
      <c r="F40" s="162"/>
      <c r="G40" s="76">
        <v>6.8000000000000005E-2</v>
      </c>
      <c r="H40" s="77"/>
    </row>
    <row r="41" spans="1:8" x14ac:dyDescent="0.25">
      <c r="A41" s="2" t="s">
        <v>110</v>
      </c>
      <c r="B41" s="3" t="s">
        <v>50</v>
      </c>
      <c r="C41" s="3" t="s">
        <v>111</v>
      </c>
      <c r="D41" s="111" t="s">
        <v>112</v>
      </c>
      <c r="E41" s="111"/>
      <c r="F41" s="3" t="s">
        <v>86</v>
      </c>
      <c r="G41" s="30">
        <v>1.1226700000000001</v>
      </c>
      <c r="H41" s="78">
        <v>0</v>
      </c>
    </row>
    <row r="42" spans="1:8" x14ac:dyDescent="0.25">
      <c r="A42" s="74"/>
      <c r="D42" s="75" t="s">
        <v>727</v>
      </c>
      <c r="E42" s="162" t="s">
        <v>728</v>
      </c>
      <c r="F42" s="162"/>
      <c r="G42" s="76">
        <v>1.1226700000000001</v>
      </c>
      <c r="H42" s="77"/>
    </row>
    <row r="43" spans="1:8" x14ac:dyDescent="0.25">
      <c r="A43" s="2" t="s">
        <v>114</v>
      </c>
      <c r="B43" s="3" t="s">
        <v>50</v>
      </c>
      <c r="C43" s="3" t="s">
        <v>115</v>
      </c>
      <c r="D43" s="111" t="s">
        <v>116</v>
      </c>
      <c r="E43" s="111"/>
      <c r="F43" s="3" t="s">
        <v>76</v>
      </c>
      <c r="G43" s="30">
        <v>72.5</v>
      </c>
      <c r="H43" s="78">
        <v>0</v>
      </c>
    </row>
    <row r="44" spans="1:8" x14ac:dyDescent="0.25">
      <c r="A44" s="74"/>
      <c r="D44" s="75" t="s">
        <v>729</v>
      </c>
      <c r="E44" s="162" t="s">
        <v>730</v>
      </c>
      <c r="F44" s="162"/>
      <c r="G44" s="76">
        <v>72.5</v>
      </c>
      <c r="H44" s="77"/>
    </row>
    <row r="45" spans="1:8" x14ac:dyDescent="0.25">
      <c r="A45" s="2" t="s">
        <v>117</v>
      </c>
      <c r="B45" s="3" t="s">
        <v>50</v>
      </c>
      <c r="C45" s="3" t="s">
        <v>118</v>
      </c>
      <c r="D45" s="111" t="s">
        <v>119</v>
      </c>
      <c r="E45" s="111"/>
      <c r="F45" s="3" t="s">
        <v>64</v>
      </c>
      <c r="G45" s="30">
        <v>16.50985</v>
      </c>
      <c r="H45" s="78">
        <v>0</v>
      </c>
    </row>
    <row r="46" spans="1:8" x14ac:dyDescent="0.25">
      <c r="A46" s="74"/>
      <c r="D46" s="75" t="s">
        <v>721</v>
      </c>
      <c r="E46" s="162" t="s">
        <v>722</v>
      </c>
      <c r="F46" s="162"/>
      <c r="G46" s="76">
        <v>4.7359999999999998</v>
      </c>
      <c r="H46" s="77"/>
    </row>
    <row r="47" spans="1:8" x14ac:dyDescent="0.25">
      <c r="A47" s="2" t="s">
        <v>50</v>
      </c>
      <c r="B47" s="3" t="s">
        <v>50</v>
      </c>
      <c r="C47" s="3" t="s">
        <v>50</v>
      </c>
      <c r="D47" s="75" t="s">
        <v>723</v>
      </c>
      <c r="E47" s="162" t="s">
        <v>724</v>
      </c>
      <c r="F47" s="162"/>
      <c r="G47" s="76">
        <v>11.773849999999999</v>
      </c>
      <c r="H47" s="79" t="s">
        <v>50</v>
      </c>
    </row>
    <row r="48" spans="1:8" x14ac:dyDescent="0.25">
      <c r="A48" s="2" t="s">
        <v>120</v>
      </c>
      <c r="B48" s="3" t="s">
        <v>50</v>
      </c>
      <c r="C48" s="3" t="s">
        <v>121</v>
      </c>
      <c r="D48" s="111" t="s">
        <v>122</v>
      </c>
      <c r="E48" s="111"/>
      <c r="F48" s="3" t="s">
        <v>64</v>
      </c>
      <c r="G48" s="30">
        <v>25.153600000000001</v>
      </c>
      <c r="H48" s="78">
        <v>0</v>
      </c>
    </row>
    <row r="49" spans="1:8" x14ac:dyDescent="0.25">
      <c r="A49" s="74"/>
      <c r="D49" s="75" t="s">
        <v>721</v>
      </c>
      <c r="E49" s="162" t="s">
        <v>722</v>
      </c>
      <c r="F49" s="162"/>
      <c r="G49" s="76">
        <v>4.7359999999999998</v>
      </c>
      <c r="H49" s="77"/>
    </row>
    <row r="50" spans="1:8" x14ac:dyDescent="0.25">
      <c r="A50" s="2" t="s">
        <v>50</v>
      </c>
      <c r="B50" s="3" t="s">
        <v>50</v>
      </c>
      <c r="C50" s="3" t="s">
        <v>50</v>
      </c>
      <c r="D50" s="75" t="s">
        <v>731</v>
      </c>
      <c r="E50" s="162" t="s">
        <v>724</v>
      </c>
      <c r="F50" s="162"/>
      <c r="G50" s="76">
        <v>20.4176</v>
      </c>
      <c r="H50" s="79" t="s">
        <v>50</v>
      </c>
    </row>
    <row r="51" spans="1:8" x14ac:dyDescent="0.25">
      <c r="A51" s="2" t="s">
        <v>123</v>
      </c>
      <c r="B51" s="3" t="s">
        <v>50</v>
      </c>
      <c r="C51" s="3" t="s">
        <v>124</v>
      </c>
      <c r="D51" s="111" t="s">
        <v>125</v>
      </c>
      <c r="E51" s="111"/>
      <c r="F51" s="3" t="s">
        <v>64</v>
      </c>
      <c r="G51" s="30">
        <v>25.153600000000001</v>
      </c>
      <c r="H51" s="78">
        <v>0</v>
      </c>
    </row>
    <row r="52" spans="1:8" x14ac:dyDescent="0.25">
      <c r="A52" s="74"/>
      <c r="D52" s="75" t="s">
        <v>721</v>
      </c>
      <c r="E52" s="162" t="s">
        <v>722</v>
      </c>
      <c r="F52" s="162"/>
      <c r="G52" s="76">
        <v>4.7359999999999998</v>
      </c>
      <c r="H52" s="77"/>
    </row>
    <row r="53" spans="1:8" x14ac:dyDescent="0.25">
      <c r="A53" s="2" t="s">
        <v>50</v>
      </c>
      <c r="B53" s="3" t="s">
        <v>50</v>
      </c>
      <c r="C53" s="3" t="s">
        <v>50</v>
      </c>
      <c r="D53" s="75" t="s">
        <v>731</v>
      </c>
      <c r="E53" s="162" t="s">
        <v>724</v>
      </c>
      <c r="F53" s="162"/>
      <c r="G53" s="76">
        <v>20.4176</v>
      </c>
      <c r="H53" s="79" t="s">
        <v>50</v>
      </c>
    </row>
    <row r="54" spans="1:8" x14ac:dyDescent="0.25">
      <c r="A54" s="2" t="s">
        <v>126</v>
      </c>
      <c r="B54" s="3" t="s">
        <v>50</v>
      </c>
      <c r="C54" s="3" t="s">
        <v>127</v>
      </c>
      <c r="D54" s="111" t="s">
        <v>128</v>
      </c>
      <c r="E54" s="111"/>
      <c r="F54" s="3" t="s">
        <v>129</v>
      </c>
      <c r="G54" s="30">
        <v>24.774329999999999</v>
      </c>
      <c r="H54" s="78">
        <v>0</v>
      </c>
    </row>
    <row r="55" spans="1:8" x14ac:dyDescent="0.25">
      <c r="A55" s="74"/>
      <c r="D55" s="75" t="s">
        <v>732</v>
      </c>
      <c r="E55" s="162" t="s">
        <v>722</v>
      </c>
      <c r="F55" s="162"/>
      <c r="G55" s="76">
        <v>1.9079999999999999</v>
      </c>
      <c r="H55" s="77"/>
    </row>
    <row r="56" spans="1:8" x14ac:dyDescent="0.25">
      <c r="A56" s="2" t="s">
        <v>50</v>
      </c>
      <c r="B56" s="3" t="s">
        <v>50</v>
      </c>
      <c r="C56" s="3" t="s">
        <v>50</v>
      </c>
      <c r="D56" s="75" t="s">
        <v>733</v>
      </c>
      <c r="E56" s="162" t="s">
        <v>724</v>
      </c>
      <c r="F56" s="162"/>
      <c r="G56" s="76">
        <v>21.686599999999999</v>
      </c>
      <c r="H56" s="79" t="s">
        <v>50</v>
      </c>
    </row>
    <row r="57" spans="1:8" x14ac:dyDescent="0.25">
      <c r="A57" s="2" t="s">
        <v>50</v>
      </c>
      <c r="B57" s="3" t="s">
        <v>50</v>
      </c>
      <c r="C57" s="3" t="s">
        <v>50</v>
      </c>
      <c r="D57" s="75" t="s">
        <v>734</v>
      </c>
      <c r="E57" s="162" t="s">
        <v>50</v>
      </c>
      <c r="F57" s="162"/>
      <c r="G57" s="76">
        <v>1.1797299999999999</v>
      </c>
      <c r="H57" s="79" t="s">
        <v>50</v>
      </c>
    </row>
    <row r="58" spans="1:8" x14ac:dyDescent="0.25">
      <c r="A58" s="2" t="s">
        <v>130</v>
      </c>
      <c r="B58" s="3" t="s">
        <v>50</v>
      </c>
      <c r="C58" s="3" t="s">
        <v>131</v>
      </c>
      <c r="D58" s="111" t="s">
        <v>132</v>
      </c>
      <c r="E58" s="111"/>
      <c r="F58" s="3" t="s">
        <v>64</v>
      </c>
      <c r="G58" s="30">
        <v>25.153600000000001</v>
      </c>
      <c r="H58" s="78">
        <v>0</v>
      </c>
    </row>
    <row r="59" spans="1:8" x14ac:dyDescent="0.25">
      <c r="A59" s="74"/>
      <c r="D59" s="75" t="s">
        <v>721</v>
      </c>
      <c r="E59" s="162" t="s">
        <v>722</v>
      </c>
      <c r="F59" s="162"/>
      <c r="G59" s="76">
        <v>4.7359999999999998</v>
      </c>
      <c r="H59" s="77"/>
    </row>
    <row r="60" spans="1:8" x14ac:dyDescent="0.25">
      <c r="A60" s="2" t="s">
        <v>50</v>
      </c>
      <c r="B60" s="3" t="s">
        <v>50</v>
      </c>
      <c r="C60" s="3" t="s">
        <v>50</v>
      </c>
      <c r="D60" s="75" t="s">
        <v>731</v>
      </c>
      <c r="E60" s="162" t="s">
        <v>724</v>
      </c>
      <c r="F60" s="162"/>
      <c r="G60" s="76">
        <v>20.4176</v>
      </c>
      <c r="H60" s="79" t="s">
        <v>50</v>
      </c>
    </row>
    <row r="61" spans="1:8" x14ac:dyDescent="0.25">
      <c r="A61" s="2" t="s">
        <v>133</v>
      </c>
      <c r="B61" s="3" t="s">
        <v>50</v>
      </c>
      <c r="C61" s="3" t="s">
        <v>134</v>
      </c>
      <c r="D61" s="111" t="s">
        <v>135</v>
      </c>
      <c r="E61" s="111"/>
      <c r="F61" s="3" t="s">
        <v>76</v>
      </c>
      <c r="G61" s="30">
        <v>30.975000000000001</v>
      </c>
      <c r="H61" s="78">
        <v>0</v>
      </c>
    </row>
    <row r="62" spans="1:8" x14ac:dyDescent="0.25">
      <c r="A62" s="74"/>
      <c r="D62" s="75" t="s">
        <v>735</v>
      </c>
      <c r="E62" s="162" t="s">
        <v>736</v>
      </c>
      <c r="F62" s="162"/>
      <c r="G62" s="76">
        <v>30.975000000000001</v>
      </c>
      <c r="H62" s="77"/>
    </row>
    <row r="63" spans="1:8" x14ac:dyDescent="0.25">
      <c r="A63" s="2" t="s">
        <v>136</v>
      </c>
      <c r="B63" s="3" t="s">
        <v>50</v>
      </c>
      <c r="C63" s="3" t="s">
        <v>137</v>
      </c>
      <c r="D63" s="111" t="s">
        <v>138</v>
      </c>
      <c r="E63" s="111"/>
      <c r="F63" s="3" t="s">
        <v>64</v>
      </c>
      <c r="G63" s="30">
        <v>21.96</v>
      </c>
      <c r="H63" s="78">
        <v>0</v>
      </c>
    </row>
    <row r="64" spans="1:8" x14ac:dyDescent="0.25">
      <c r="A64" s="74"/>
      <c r="D64" s="75" t="s">
        <v>737</v>
      </c>
      <c r="E64" s="162" t="s">
        <v>738</v>
      </c>
      <c r="F64" s="162"/>
      <c r="G64" s="76">
        <v>3.96</v>
      </c>
      <c r="H64" s="77"/>
    </row>
    <row r="65" spans="1:8" x14ac:dyDescent="0.25">
      <c r="A65" s="2" t="s">
        <v>50</v>
      </c>
      <c r="B65" s="3" t="s">
        <v>50</v>
      </c>
      <c r="C65" s="3" t="s">
        <v>50</v>
      </c>
      <c r="D65" s="75" t="s">
        <v>739</v>
      </c>
      <c r="E65" s="162" t="s">
        <v>740</v>
      </c>
      <c r="F65" s="162"/>
      <c r="G65" s="76">
        <v>18</v>
      </c>
      <c r="H65" s="79" t="s">
        <v>50</v>
      </c>
    </row>
    <row r="66" spans="1:8" x14ac:dyDescent="0.25">
      <c r="A66" s="2" t="s">
        <v>140</v>
      </c>
      <c r="B66" s="3" t="s">
        <v>50</v>
      </c>
      <c r="C66" s="3" t="s">
        <v>141</v>
      </c>
      <c r="D66" s="111" t="s">
        <v>142</v>
      </c>
      <c r="E66" s="111"/>
      <c r="F66" s="3" t="s">
        <v>76</v>
      </c>
      <c r="G66" s="30">
        <v>135.501</v>
      </c>
      <c r="H66" s="78">
        <v>0</v>
      </c>
    </row>
    <row r="67" spans="1:8" x14ac:dyDescent="0.25">
      <c r="A67" s="74"/>
      <c r="D67" s="75" t="s">
        <v>741</v>
      </c>
      <c r="E67" s="162" t="s">
        <v>718</v>
      </c>
      <c r="F67" s="162"/>
      <c r="G67" s="76">
        <v>38.301000000000002</v>
      </c>
      <c r="H67" s="77"/>
    </row>
    <row r="68" spans="1:8" x14ac:dyDescent="0.25">
      <c r="A68" s="2" t="s">
        <v>50</v>
      </c>
      <c r="B68" s="3" t="s">
        <v>50</v>
      </c>
      <c r="C68" s="3" t="s">
        <v>50</v>
      </c>
      <c r="D68" s="75" t="s">
        <v>742</v>
      </c>
      <c r="E68" s="162" t="s">
        <v>720</v>
      </c>
      <c r="F68" s="162"/>
      <c r="G68" s="76">
        <v>97.2</v>
      </c>
      <c r="H68" s="79" t="s">
        <v>50</v>
      </c>
    </row>
    <row r="69" spans="1:8" x14ac:dyDescent="0.25">
      <c r="A69" s="2" t="s">
        <v>143</v>
      </c>
      <c r="B69" s="3" t="s">
        <v>50</v>
      </c>
      <c r="C69" s="3" t="s">
        <v>144</v>
      </c>
      <c r="D69" s="111" t="s">
        <v>145</v>
      </c>
      <c r="E69" s="111"/>
      <c r="F69" s="3" t="s">
        <v>64</v>
      </c>
      <c r="G69" s="30">
        <v>21.96</v>
      </c>
      <c r="H69" s="78">
        <v>0</v>
      </c>
    </row>
    <row r="70" spans="1:8" x14ac:dyDescent="0.25">
      <c r="A70" s="74"/>
      <c r="D70" s="75" t="s">
        <v>737</v>
      </c>
      <c r="E70" s="162" t="s">
        <v>738</v>
      </c>
      <c r="F70" s="162"/>
      <c r="G70" s="76">
        <v>3.96</v>
      </c>
      <c r="H70" s="77"/>
    </row>
    <row r="71" spans="1:8" x14ac:dyDescent="0.25">
      <c r="A71" s="2" t="s">
        <v>50</v>
      </c>
      <c r="B71" s="3" t="s">
        <v>50</v>
      </c>
      <c r="C71" s="3" t="s">
        <v>50</v>
      </c>
      <c r="D71" s="75" t="s">
        <v>739</v>
      </c>
      <c r="E71" s="162" t="s">
        <v>740</v>
      </c>
      <c r="F71" s="162"/>
      <c r="G71" s="76">
        <v>18</v>
      </c>
      <c r="H71" s="79" t="s">
        <v>50</v>
      </c>
    </row>
    <row r="72" spans="1:8" x14ac:dyDescent="0.25">
      <c r="A72" s="2" t="s">
        <v>146</v>
      </c>
      <c r="B72" s="3" t="s">
        <v>50</v>
      </c>
      <c r="C72" s="3" t="s">
        <v>147</v>
      </c>
      <c r="D72" s="111" t="s">
        <v>148</v>
      </c>
      <c r="E72" s="111"/>
      <c r="F72" s="3" t="s">
        <v>64</v>
      </c>
      <c r="G72" s="30">
        <v>4</v>
      </c>
      <c r="H72" s="78">
        <v>0</v>
      </c>
    </row>
    <row r="73" spans="1:8" x14ac:dyDescent="0.25">
      <c r="A73" s="74"/>
      <c r="D73" s="75" t="s">
        <v>743</v>
      </c>
      <c r="E73" s="162" t="s">
        <v>744</v>
      </c>
      <c r="F73" s="162"/>
      <c r="G73" s="76">
        <v>4</v>
      </c>
      <c r="H73" s="77"/>
    </row>
    <row r="74" spans="1:8" x14ac:dyDescent="0.25">
      <c r="A74" s="2" t="s">
        <v>150</v>
      </c>
      <c r="B74" s="3" t="s">
        <v>50</v>
      </c>
      <c r="C74" s="3" t="s">
        <v>151</v>
      </c>
      <c r="D74" s="111" t="s">
        <v>152</v>
      </c>
      <c r="E74" s="111"/>
      <c r="F74" s="3" t="s">
        <v>86</v>
      </c>
      <c r="G74" s="30">
        <v>1.6791</v>
      </c>
      <c r="H74" s="78">
        <v>0</v>
      </c>
    </row>
    <row r="75" spans="1:8" x14ac:dyDescent="0.25">
      <c r="A75" s="2" t="s">
        <v>155</v>
      </c>
      <c r="B75" s="3" t="s">
        <v>50</v>
      </c>
      <c r="C75" s="3" t="s">
        <v>156</v>
      </c>
      <c r="D75" s="111" t="s">
        <v>157</v>
      </c>
      <c r="E75" s="111"/>
      <c r="F75" s="3" t="s">
        <v>56</v>
      </c>
      <c r="G75" s="30">
        <v>6</v>
      </c>
      <c r="H75" s="78">
        <v>0</v>
      </c>
    </row>
    <row r="76" spans="1:8" x14ac:dyDescent="0.25">
      <c r="A76" s="74"/>
      <c r="D76" s="75" t="s">
        <v>77</v>
      </c>
      <c r="E76" s="162" t="s">
        <v>745</v>
      </c>
      <c r="F76" s="162"/>
      <c r="G76" s="76">
        <v>6</v>
      </c>
      <c r="H76" s="77"/>
    </row>
    <row r="77" spans="1:8" x14ac:dyDescent="0.25">
      <c r="A77" s="2" t="s">
        <v>161</v>
      </c>
      <c r="B77" s="3" t="s">
        <v>50</v>
      </c>
      <c r="C77" s="3" t="s">
        <v>162</v>
      </c>
      <c r="D77" s="111" t="s">
        <v>163</v>
      </c>
      <c r="E77" s="111"/>
      <c r="F77" s="3" t="s">
        <v>76</v>
      </c>
      <c r="G77" s="30">
        <v>8.6</v>
      </c>
      <c r="H77" s="78">
        <v>0</v>
      </c>
    </row>
    <row r="78" spans="1:8" x14ac:dyDescent="0.25">
      <c r="A78" s="74"/>
      <c r="D78" s="75" t="s">
        <v>746</v>
      </c>
      <c r="E78" s="162" t="s">
        <v>747</v>
      </c>
      <c r="F78" s="162"/>
      <c r="G78" s="76">
        <v>8.6</v>
      </c>
      <c r="H78" s="77"/>
    </row>
    <row r="79" spans="1:8" x14ac:dyDescent="0.25">
      <c r="A79" s="2" t="s">
        <v>166</v>
      </c>
      <c r="B79" s="3" t="s">
        <v>50</v>
      </c>
      <c r="C79" s="3" t="s">
        <v>167</v>
      </c>
      <c r="D79" s="111" t="s">
        <v>168</v>
      </c>
      <c r="E79" s="111"/>
      <c r="F79" s="3" t="s">
        <v>56</v>
      </c>
      <c r="G79" s="30">
        <v>4</v>
      </c>
      <c r="H79" s="78">
        <v>0</v>
      </c>
    </row>
    <row r="80" spans="1:8" x14ac:dyDescent="0.25">
      <c r="A80" s="74"/>
      <c r="D80" s="75" t="s">
        <v>70</v>
      </c>
      <c r="E80" s="162" t="s">
        <v>747</v>
      </c>
      <c r="F80" s="162"/>
      <c r="G80" s="76">
        <v>4</v>
      </c>
      <c r="H80" s="77"/>
    </row>
    <row r="81" spans="1:8" x14ac:dyDescent="0.25">
      <c r="A81" s="2" t="s">
        <v>169</v>
      </c>
      <c r="B81" s="3" t="s">
        <v>50</v>
      </c>
      <c r="C81" s="3" t="s">
        <v>170</v>
      </c>
      <c r="D81" s="111" t="s">
        <v>171</v>
      </c>
      <c r="E81" s="111"/>
      <c r="F81" s="3" t="s">
        <v>56</v>
      </c>
      <c r="G81" s="30">
        <v>1</v>
      </c>
      <c r="H81" s="78">
        <v>0</v>
      </c>
    </row>
    <row r="82" spans="1:8" x14ac:dyDescent="0.25">
      <c r="A82" s="74"/>
      <c r="D82" s="75" t="s">
        <v>53</v>
      </c>
      <c r="E82" s="162" t="s">
        <v>50</v>
      </c>
      <c r="F82" s="162"/>
      <c r="G82" s="76">
        <v>1</v>
      </c>
      <c r="H82" s="77"/>
    </row>
    <row r="83" spans="1:8" x14ac:dyDescent="0.25">
      <c r="A83" s="2" t="s">
        <v>172</v>
      </c>
      <c r="B83" s="3" t="s">
        <v>50</v>
      </c>
      <c r="C83" s="3" t="s">
        <v>173</v>
      </c>
      <c r="D83" s="111" t="s">
        <v>174</v>
      </c>
      <c r="E83" s="111"/>
      <c r="F83" s="3" t="s">
        <v>76</v>
      </c>
      <c r="G83" s="30">
        <v>8.6</v>
      </c>
      <c r="H83" s="78">
        <v>0</v>
      </c>
    </row>
    <row r="84" spans="1:8" x14ac:dyDescent="0.25">
      <c r="A84" s="74"/>
      <c r="D84" s="75" t="s">
        <v>712</v>
      </c>
      <c r="E84" s="162" t="s">
        <v>747</v>
      </c>
      <c r="F84" s="162"/>
      <c r="G84" s="76">
        <v>8.6</v>
      </c>
      <c r="H84" s="77"/>
    </row>
    <row r="85" spans="1:8" x14ac:dyDescent="0.25">
      <c r="A85" s="2" t="s">
        <v>51</v>
      </c>
      <c r="B85" s="3" t="s">
        <v>50</v>
      </c>
      <c r="C85" s="3" t="s">
        <v>175</v>
      </c>
      <c r="D85" s="111" t="s">
        <v>176</v>
      </c>
      <c r="E85" s="111"/>
      <c r="F85" s="3" t="s">
        <v>86</v>
      </c>
      <c r="G85" s="30">
        <v>4.0400000000000002E-3</v>
      </c>
      <c r="H85" s="78">
        <v>0</v>
      </c>
    </row>
    <row r="86" spans="1:8" x14ac:dyDescent="0.25">
      <c r="A86" s="2" t="s">
        <v>179</v>
      </c>
      <c r="B86" s="3" t="s">
        <v>50</v>
      </c>
      <c r="C86" s="3" t="s">
        <v>180</v>
      </c>
      <c r="D86" s="111" t="s">
        <v>181</v>
      </c>
      <c r="E86" s="111"/>
      <c r="F86" s="3" t="s">
        <v>76</v>
      </c>
      <c r="G86" s="30">
        <v>8.4</v>
      </c>
      <c r="H86" s="78">
        <v>0</v>
      </c>
    </row>
    <row r="87" spans="1:8" x14ac:dyDescent="0.25">
      <c r="A87" s="74"/>
      <c r="D87" s="75" t="s">
        <v>748</v>
      </c>
      <c r="E87" s="162" t="s">
        <v>749</v>
      </c>
      <c r="F87" s="162"/>
      <c r="G87" s="76">
        <v>4.2</v>
      </c>
      <c r="H87" s="77"/>
    </row>
    <row r="88" spans="1:8" x14ac:dyDescent="0.25">
      <c r="A88" s="2" t="s">
        <v>50</v>
      </c>
      <c r="B88" s="3" t="s">
        <v>50</v>
      </c>
      <c r="C88" s="3" t="s">
        <v>50</v>
      </c>
      <c r="D88" s="75" t="s">
        <v>748</v>
      </c>
      <c r="E88" s="162" t="s">
        <v>750</v>
      </c>
      <c r="F88" s="162"/>
      <c r="G88" s="76">
        <v>4.2</v>
      </c>
      <c r="H88" s="79" t="s">
        <v>50</v>
      </c>
    </row>
    <row r="89" spans="1:8" x14ac:dyDescent="0.25">
      <c r="A89" s="2" t="s">
        <v>183</v>
      </c>
      <c r="B89" s="3" t="s">
        <v>50</v>
      </c>
      <c r="C89" s="3" t="s">
        <v>184</v>
      </c>
      <c r="D89" s="111" t="s">
        <v>185</v>
      </c>
      <c r="E89" s="111"/>
      <c r="F89" s="3" t="s">
        <v>76</v>
      </c>
      <c r="G89" s="30">
        <v>8.4</v>
      </c>
      <c r="H89" s="78">
        <v>0</v>
      </c>
    </row>
    <row r="90" spans="1:8" x14ac:dyDescent="0.25">
      <c r="A90" s="74"/>
      <c r="D90" s="75" t="s">
        <v>748</v>
      </c>
      <c r="E90" s="162" t="s">
        <v>749</v>
      </c>
      <c r="F90" s="162"/>
      <c r="G90" s="76">
        <v>4.2</v>
      </c>
      <c r="H90" s="77"/>
    </row>
    <row r="91" spans="1:8" x14ac:dyDescent="0.25">
      <c r="A91" s="2" t="s">
        <v>50</v>
      </c>
      <c r="B91" s="3" t="s">
        <v>50</v>
      </c>
      <c r="C91" s="3" t="s">
        <v>50</v>
      </c>
      <c r="D91" s="75" t="s">
        <v>748</v>
      </c>
      <c r="E91" s="162" t="s">
        <v>750</v>
      </c>
      <c r="F91" s="162"/>
      <c r="G91" s="76">
        <v>4.2</v>
      </c>
      <c r="H91" s="79" t="s">
        <v>50</v>
      </c>
    </row>
    <row r="92" spans="1:8" x14ac:dyDescent="0.25">
      <c r="A92" s="2" t="s">
        <v>186</v>
      </c>
      <c r="B92" s="3" t="s">
        <v>50</v>
      </c>
      <c r="C92" s="3" t="s">
        <v>187</v>
      </c>
      <c r="D92" s="111" t="s">
        <v>188</v>
      </c>
      <c r="E92" s="111"/>
      <c r="F92" s="3" t="s">
        <v>76</v>
      </c>
      <c r="G92" s="30">
        <v>8.4</v>
      </c>
      <c r="H92" s="78">
        <v>0</v>
      </c>
    </row>
    <row r="93" spans="1:8" x14ac:dyDescent="0.25">
      <c r="A93" s="74"/>
      <c r="D93" s="75" t="s">
        <v>748</v>
      </c>
      <c r="E93" s="162" t="s">
        <v>749</v>
      </c>
      <c r="F93" s="162"/>
      <c r="G93" s="76">
        <v>4.2</v>
      </c>
      <c r="H93" s="77"/>
    </row>
    <row r="94" spans="1:8" x14ac:dyDescent="0.25">
      <c r="A94" s="2" t="s">
        <v>50</v>
      </c>
      <c r="B94" s="3" t="s">
        <v>50</v>
      </c>
      <c r="C94" s="3" t="s">
        <v>50</v>
      </c>
      <c r="D94" s="75" t="s">
        <v>748</v>
      </c>
      <c r="E94" s="162" t="s">
        <v>750</v>
      </c>
      <c r="F94" s="162"/>
      <c r="G94" s="76">
        <v>4.2</v>
      </c>
      <c r="H94" s="79" t="s">
        <v>50</v>
      </c>
    </row>
    <row r="95" spans="1:8" x14ac:dyDescent="0.25">
      <c r="A95" s="2" t="s">
        <v>190</v>
      </c>
      <c r="B95" s="3" t="s">
        <v>50</v>
      </c>
      <c r="C95" s="3" t="s">
        <v>191</v>
      </c>
      <c r="D95" s="111" t="s">
        <v>192</v>
      </c>
      <c r="E95" s="111"/>
      <c r="F95" s="3" t="s">
        <v>56</v>
      </c>
      <c r="G95" s="30">
        <v>8</v>
      </c>
      <c r="H95" s="78">
        <v>0</v>
      </c>
    </row>
    <row r="96" spans="1:8" x14ac:dyDescent="0.25">
      <c r="A96" s="74"/>
      <c r="D96" s="75" t="s">
        <v>83</v>
      </c>
      <c r="E96" s="162" t="s">
        <v>50</v>
      </c>
      <c r="F96" s="162"/>
      <c r="G96" s="76">
        <v>8</v>
      </c>
      <c r="H96" s="77"/>
    </row>
    <row r="97" spans="1:8" x14ac:dyDescent="0.25">
      <c r="A97" s="2" t="s">
        <v>193</v>
      </c>
      <c r="B97" s="3" t="s">
        <v>50</v>
      </c>
      <c r="C97" s="3" t="s">
        <v>194</v>
      </c>
      <c r="D97" s="111" t="s">
        <v>195</v>
      </c>
      <c r="E97" s="111"/>
      <c r="F97" s="3" t="s">
        <v>56</v>
      </c>
      <c r="G97" s="30">
        <v>4</v>
      </c>
      <c r="H97" s="78">
        <v>0</v>
      </c>
    </row>
    <row r="98" spans="1:8" x14ac:dyDescent="0.25">
      <c r="A98" s="74"/>
      <c r="D98" s="75" t="s">
        <v>70</v>
      </c>
      <c r="E98" s="162" t="s">
        <v>50</v>
      </c>
      <c r="F98" s="162"/>
      <c r="G98" s="76">
        <v>4</v>
      </c>
      <c r="H98" s="77"/>
    </row>
    <row r="99" spans="1:8" x14ac:dyDescent="0.25">
      <c r="A99" s="2" t="s">
        <v>196</v>
      </c>
      <c r="B99" s="3" t="s">
        <v>50</v>
      </c>
      <c r="C99" s="3" t="s">
        <v>197</v>
      </c>
      <c r="D99" s="111" t="s">
        <v>198</v>
      </c>
      <c r="E99" s="111"/>
      <c r="F99" s="3" t="s">
        <v>199</v>
      </c>
      <c r="G99" s="30">
        <v>2</v>
      </c>
      <c r="H99" s="78">
        <v>0</v>
      </c>
    </row>
    <row r="100" spans="1:8" x14ac:dyDescent="0.25">
      <c r="A100" s="74"/>
      <c r="D100" s="75" t="s">
        <v>61</v>
      </c>
      <c r="E100" s="162" t="s">
        <v>50</v>
      </c>
      <c r="F100" s="162"/>
      <c r="G100" s="76">
        <v>2</v>
      </c>
      <c r="H100" s="77"/>
    </row>
    <row r="101" spans="1:8" x14ac:dyDescent="0.25">
      <c r="A101" s="2" t="s">
        <v>200</v>
      </c>
      <c r="B101" s="3" t="s">
        <v>50</v>
      </c>
      <c r="C101" s="3" t="s">
        <v>201</v>
      </c>
      <c r="D101" s="111" t="s">
        <v>202</v>
      </c>
      <c r="E101" s="111"/>
      <c r="F101" s="3" t="s">
        <v>76</v>
      </c>
      <c r="G101" s="30">
        <v>8.4</v>
      </c>
      <c r="H101" s="78">
        <v>0</v>
      </c>
    </row>
    <row r="102" spans="1:8" x14ac:dyDescent="0.25">
      <c r="A102" s="74"/>
      <c r="D102" s="75" t="s">
        <v>751</v>
      </c>
      <c r="E102" s="162" t="s">
        <v>752</v>
      </c>
      <c r="F102" s="162"/>
      <c r="G102" s="76">
        <v>8.4</v>
      </c>
      <c r="H102" s="77"/>
    </row>
    <row r="103" spans="1:8" x14ac:dyDescent="0.25">
      <c r="A103" s="2" t="s">
        <v>203</v>
      </c>
      <c r="B103" s="3" t="s">
        <v>50</v>
      </c>
      <c r="C103" s="3" t="s">
        <v>204</v>
      </c>
      <c r="D103" s="111" t="s">
        <v>205</v>
      </c>
      <c r="E103" s="111"/>
      <c r="F103" s="3" t="s">
        <v>76</v>
      </c>
      <c r="G103" s="30">
        <v>8.4</v>
      </c>
      <c r="H103" s="78">
        <v>0</v>
      </c>
    </row>
    <row r="104" spans="1:8" x14ac:dyDescent="0.25">
      <c r="A104" s="74"/>
      <c r="D104" s="75" t="s">
        <v>751</v>
      </c>
      <c r="E104" s="162" t="s">
        <v>752</v>
      </c>
      <c r="F104" s="162"/>
      <c r="G104" s="76">
        <v>8.4</v>
      </c>
      <c r="H104" s="77"/>
    </row>
    <row r="105" spans="1:8" x14ac:dyDescent="0.25">
      <c r="A105" s="2" t="s">
        <v>206</v>
      </c>
      <c r="B105" s="3" t="s">
        <v>50</v>
      </c>
      <c r="C105" s="3" t="s">
        <v>207</v>
      </c>
      <c r="D105" s="111" t="s">
        <v>208</v>
      </c>
      <c r="E105" s="111"/>
      <c r="F105" s="3" t="s">
        <v>86</v>
      </c>
      <c r="G105" s="30">
        <v>4.1680000000000002E-2</v>
      </c>
      <c r="H105" s="78">
        <v>0</v>
      </c>
    </row>
    <row r="106" spans="1:8" x14ac:dyDescent="0.25">
      <c r="A106" s="2" t="s">
        <v>211</v>
      </c>
      <c r="B106" s="3" t="s">
        <v>50</v>
      </c>
      <c r="C106" s="3" t="s">
        <v>212</v>
      </c>
      <c r="D106" s="111" t="s">
        <v>213</v>
      </c>
      <c r="E106" s="111"/>
      <c r="F106" s="3" t="s">
        <v>56</v>
      </c>
      <c r="G106" s="30">
        <v>1</v>
      </c>
      <c r="H106" s="78">
        <v>0</v>
      </c>
    </row>
    <row r="107" spans="1:8" x14ac:dyDescent="0.25">
      <c r="A107" s="74"/>
      <c r="D107" s="75" t="s">
        <v>53</v>
      </c>
      <c r="E107" s="162" t="s">
        <v>753</v>
      </c>
      <c r="F107" s="162"/>
      <c r="G107" s="76">
        <v>1</v>
      </c>
      <c r="H107" s="77"/>
    </row>
    <row r="108" spans="1:8" x14ac:dyDescent="0.25">
      <c r="A108" s="2" t="s">
        <v>215</v>
      </c>
      <c r="B108" s="3" t="s">
        <v>50</v>
      </c>
      <c r="C108" s="3" t="s">
        <v>216</v>
      </c>
      <c r="D108" s="111" t="s">
        <v>217</v>
      </c>
      <c r="E108" s="111"/>
      <c r="F108" s="3" t="s">
        <v>218</v>
      </c>
      <c r="G108" s="30">
        <v>1</v>
      </c>
      <c r="H108" s="78">
        <v>0</v>
      </c>
    </row>
    <row r="109" spans="1:8" x14ac:dyDescent="0.25">
      <c r="A109" s="74"/>
      <c r="D109" s="75" t="s">
        <v>53</v>
      </c>
      <c r="E109" s="162" t="s">
        <v>754</v>
      </c>
      <c r="F109" s="162"/>
      <c r="G109" s="76">
        <v>1</v>
      </c>
      <c r="H109" s="77"/>
    </row>
    <row r="110" spans="1:8" x14ac:dyDescent="0.25">
      <c r="A110" s="2" t="s">
        <v>219</v>
      </c>
      <c r="B110" s="3" t="s">
        <v>50</v>
      </c>
      <c r="C110" s="3" t="s">
        <v>220</v>
      </c>
      <c r="D110" s="111" t="s">
        <v>221</v>
      </c>
      <c r="E110" s="111"/>
      <c r="F110" s="3" t="s">
        <v>218</v>
      </c>
      <c r="G110" s="30">
        <v>1</v>
      </c>
      <c r="H110" s="78">
        <v>0</v>
      </c>
    </row>
    <row r="111" spans="1:8" x14ac:dyDescent="0.25">
      <c r="A111" s="74"/>
      <c r="D111" s="75" t="s">
        <v>53</v>
      </c>
      <c r="E111" s="162" t="s">
        <v>754</v>
      </c>
      <c r="F111" s="162"/>
      <c r="G111" s="76">
        <v>1</v>
      </c>
      <c r="H111" s="77"/>
    </row>
    <row r="112" spans="1:8" x14ac:dyDescent="0.25">
      <c r="A112" s="2" t="s">
        <v>222</v>
      </c>
      <c r="B112" s="3" t="s">
        <v>50</v>
      </c>
      <c r="C112" s="3" t="s">
        <v>223</v>
      </c>
      <c r="D112" s="111" t="s">
        <v>224</v>
      </c>
      <c r="E112" s="111"/>
      <c r="F112" s="3" t="s">
        <v>218</v>
      </c>
      <c r="G112" s="30">
        <v>2</v>
      </c>
      <c r="H112" s="78">
        <v>0</v>
      </c>
    </row>
    <row r="113" spans="1:8" x14ac:dyDescent="0.25">
      <c r="A113" s="74"/>
      <c r="D113" s="75" t="s">
        <v>61</v>
      </c>
      <c r="E113" s="162" t="s">
        <v>754</v>
      </c>
      <c r="F113" s="162"/>
      <c r="G113" s="76">
        <v>2</v>
      </c>
      <c r="H113" s="77"/>
    </row>
    <row r="114" spans="1:8" x14ac:dyDescent="0.25">
      <c r="A114" s="2" t="s">
        <v>225</v>
      </c>
      <c r="B114" s="3" t="s">
        <v>50</v>
      </c>
      <c r="C114" s="3" t="s">
        <v>226</v>
      </c>
      <c r="D114" s="111" t="s">
        <v>227</v>
      </c>
      <c r="E114" s="111"/>
      <c r="F114" s="3" t="s">
        <v>56</v>
      </c>
      <c r="G114" s="30">
        <v>2</v>
      </c>
      <c r="H114" s="78">
        <v>0</v>
      </c>
    </row>
    <row r="115" spans="1:8" x14ac:dyDescent="0.25">
      <c r="A115" s="74"/>
      <c r="D115" s="75" t="s">
        <v>61</v>
      </c>
      <c r="E115" s="162" t="s">
        <v>754</v>
      </c>
      <c r="F115" s="162"/>
      <c r="G115" s="76">
        <v>2</v>
      </c>
      <c r="H115" s="77"/>
    </row>
    <row r="116" spans="1:8" x14ac:dyDescent="0.25">
      <c r="A116" s="2" t="s">
        <v>229</v>
      </c>
      <c r="B116" s="3" t="s">
        <v>50</v>
      </c>
      <c r="C116" s="3" t="s">
        <v>230</v>
      </c>
      <c r="D116" s="111" t="s">
        <v>231</v>
      </c>
      <c r="E116" s="111"/>
      <c r="F116" s="3" t="s">
        <v>56</v>
      </c>
      <c r="G116" s="30">
        <v>1</v>
      </c>
      <c r="H116" s="78">
        <v>0</v>
      </c>
    </row>
    <row r="117" spans="1:8" x14ac:dyDescent="0.25">
      <c r="A117" s="74"/>
      <c r="D117" s="75" t="s">
        <v>53</v>
      </c>
      <c r="E117" s="162" t="s">
        <v>753</v>
      </c>
      <c r="F117" s="162"/>
      <c r="G117" s="76">
        <v>1</v>
      </c>
      <c r="H117" s="77"/>
    </row>
    <row r="118" spans="1:8" x14ac:dyDescent="0.25">
      <c r="A118" s="2" t="s">
        <v>232</v>
      </c>
      <c r="B118" s="3" t="s">
        <v>50</v>
      </c>
      <c r="C118" s="3" t="s">
        <v>233</v>
      </c>
      <c r="D118" s="111" t="s">
        <v>234</v>
      </c>
      <c r="E118" s="111"/>
      <c r="F118" s="3" t="s">
        <v>56</v>
      </c>
      <c r="G118" s="30">
        <v>1</v>
      </c>
      <c r="H118" s="78">
        <v>0</v>
      </c>
    </row>
    <row r="119" spans="1:8" x14ac:dyDescent="0.25">
      <c r="A119" s="74"/>
      <c r="D119" s="75" t="s">
        <v>53</v>
      </c>
      <c r="E119" s="162" t="s">
        <v>753</v>
      </c>
      <c r="F119" s="162"/>
      <c r="G119" s="76">
        <v>1</v>
      </c>
      <c r="H119" s="77"/>
    </row>
    <row r="120" spans="1:8" x14ac:dyDescent="0.25">
      <c r="A120" s="2" t="s">
        <v>235</v>
      </c>
      <c r="B120" s="3" t="s">
        <v>50</v>
      </c>
      <c r="C120" s="3" t="s">
        <v>236</v>
      </c>
      <c r="D120" s="111" t="s">
        <v>237</v>
      </c>
      <c r="E120" s="111"/>
      <c r="F120" s="3" t="s">
        <v>56</v>
      </c>
      <c r="G120" s="30">
        <v>2</v>
      </c>
      <c r="H120" s="78">
        <v>0</v>
      </c>
    </row>
    <row r="121" spans="1:8" x14ac:dyDescent="0.25">
      <c r="A121" s="74"/>
      <c r="D121" s="75" t="s">
        <v>61</v>
      </c>
      <c r="E121" s="162" t="s">
        <v>755</v>
      </c>
      <c r="F121" s="162"/>
      <c r="G121" s="76">
        <v>2</v>
      </c>
      <c r="H121" s="77"/>
    </row>
    <row r="122" spans="1:8" x14ac:dyDescent="0.25">
      <c r="A122" s="2" t="s">
        <v>238</v>
      </c>
      <c r="B122" s="3" t="s">
        <v>50</v>
      </c>
      <c r="C122" s="3" t="s">
        <v>239</v>
      </c>
      <c r="D122" s="111" t="s">
        <v>240</v>
      </c>
      <c r="E122" s="111"/>
      <c r="F122" s="3" t="s">
        <v>56</v>
      </c>
      <c r="G122" s="30">
        <v>2</v>
      </c>
      <c r="H122" s="78">
        <v>0</v>
      </c>
    </row>
    <row r="123" spans="1:8" x14ac:dyDescent="0.25">
      <c r="A123" s="74"/>
      <c r="D123" s="75" t="s">
        <v>61</v>
      </c>
      <c r="E123" s="162" t="s">
        <v>756</v>
      </c>
      <c r="F123" s="162"/>
      <c r="G123" s="76">
        <v>2</v>
      </c>
      <c r="H123" s="77"/>
    </row>
    <row r="124" spans="1:8" x14ac:dyDescent="0.25">
      <c r="A124" s="2" t="s">
        <v>241</v>
      </c>
      <c r="B124" s="3" t="s">
        <v>50</v>
      </c>
      <c r="C124" s="3" t="s">
        <v>242</v>
      </c>
      <c r="D124" s="111" t="s">
        <v>243</v>
      </c>
      <c r="E124" s="111"/>
      <c r="F124" s="3" t="s">
        <v>56</v>
      </c>
      <c r="G124" s="30">
        <v>2</v>
      </c>
      <c r="H124" s="78">
        <v>0</v>
      </c>
    </row>
    <row r="125" spans="1:8" x14ac:dyDescent="0.25">
      <c r="A125" s="74"/>
      <c r="D125" s="75" t="s">
        <v>61</v>
      </c>
      <c r="E125" s="162" t="s">
        <v>756</v>
      </c>
      <c r="F125" s="162"/>
      <c r="G125" s="76">
        <v>2</v>
      </c>
      <c r="H125" s="77"/>
    </row>
    <row r="126" spans="1:8" x14ac:dyDescent="0.25">
      <c r="A126" s="2" t="s">
        <v>244</v>
      </c>
      <c r="B126" s="3" t="s">
        <v>50</v>
      </c>
      <c r="C126" s="3" t="s">
        <v>245</v>
      </c>
      <c r="D126" s="111" t="s">
        <v>246</v>
      </c>
      <c r="E126" s="111"/>
      <c r="F126" s="3" t="s">
        <v>218</v>
      </c>
      <c r="G126" s="30">
        <v>1</v>
      </c>
      <c r="H126" s="78">
        <v>0</v>
      </c>
    </row>
    <row r="127" spans="1:8" x14ac:dyDescent="0.25">
      <c r="A127" s="74"/>
      <c r="D127" s="75" t="s">
        <v>53</v>
      </c>
      <c r="E127" s="162" t="s">
        <v>754</v>
      </c>
      <c r="F127" s="162"/>
      <c r="G127" s="76">
        <v>1</v>
      </c>
      <c r="H127" s="77"/>
    </row>
    <row r="128" spans="1:8" x14ac:dyDescent="0.25">
      <c r="A128" s="2" t="s">
        <v>248</v>
      </c>
      <c r="B128" s="3" t="s">
        <v>50</v>
      </c>
      <c r="C128" s="3" t="s">
        <v>249</v>
      </c>
      <c r="D128" s="111" t="s">
        <v>250</v>
      </c>
      <c r="E128" s="111"/>
      <c r="F128" s="3" t="s">
        <v>56</v>
      </c>
      <c r="G128" s="30">
        <v>1</v>
      </c>
      <c r="H128" s="78">
        <v>0</v>
      </c>
    </row>
    <row r="129" spans="1:8" x14ac:dyDescent="0.25">
      <c r="A129" s="74"/>
      <c r="D129" s="75" t="s">
        <v>53</v>
      </c>
      <c r="E129" s="162" t="s">
        <v>754</v>
      </c>
      <c r="F129" s="162"/>
      <c r="G129" s="76">
        <v>1</v>
      </c>
      <c r="H129" s="77"/>
    </row>
    <row r="130" spans="1:8" x14ac:dyDescent="0.25">
      <c r="A130" s="2" t="s">
        <v>251</v>
      </c>
      <c r="B130" s="3" t="s">
        <v>50</v>
      </c>
      <c r="C130" s="3" t="s">
        <v>252</v>
      </c>
      <c r="D130" s="111" t="s">
        <v>253</v>
      </c>
      <c r="E130" s="111"/>
      <c r="F130" s="3" t="s">
        <v>56</v>
      </c>
      <c r="G130" s="30">
        <v>1</v>
      </c>
      <c r="H130" s="78">
        <v>0</v>
      </c>
    </row>
    <row r="131" spans="1:8" x14ac:dyDescent="0.25">
      <c r="A131" s="74"/>
      <c r="D131" s="75" t="s">
        <v>53</v>
      </c>
      <c r="E131" s="162" t="s">
        <v>50</v>
      </c>
      <c r="F131" s="162"/>
      <c r="G131" s="76">
        <v>1</v>
      </c>
      <c r="H131" s="77"/>
    </row>
    <row r="132" spans="1:8" x14ac:dyDescent="0.25">
      <c r="A132" s="2" t="s">
        <v>254</v>
      </c>
      <c r="B132" s="3" t="s">
        <v>50</v>
      </c>
      <c r="C132" s="3" t="s">
        <v>255</v>
      </c>
      <c r="D132" s="111" t="s">
        <v>256</v>
      </c>
      <c r="E132" s="111"/>
      <c r="F132" s="3" t="s">
        <v>56</v>
      </c>
      <c r="G132" s="30">
        <v>1</v>
      </c>
      <c r="H132" s="78">
        <v>0</v>
      </c>
    </row>
    <row r="133" spans="1:8" x14ac:dyDescent="0.25">
      <c r="A133" s="74"/>
      <c r="D133" s="75" t="s">
        <v>53</v>
      </c>
      <c r="E133" s="162" t="s">
        <v>754</v>
      </c>
      <c r="F133" s="162"/>
      <c r="G133" s="76">
        <v>1</v>
      </c>
      <c r="H133" s="77"/>
    </row>
    <row r="134" spans="1:8" x14ac:dyDescent="0.25">
      <c r="A134" s="2" t="s">
        <v>258</v>
      </c>
      <c r="B134" s="3" t="s">
        <v>50</v>
      </c>
      <c r="C134" s="3" t="s">
        <v>259</v>
      </c>
      <c r="D134" s="111" t="s">
        <v>260</v>
      </c>
      <c r="E134" s="111"/>
      <c r="F134" s="3" t="s">
        <v>56</v>
      </c>
      <c r="G134" s="30">
        <v>2</v>
      </c>
      <c r="H134" s="78">
        <v>0</v>
      </c>
    </row>
    <row r="135" spans="1:8" x14ac:dyDescent="0.25">
      <c r="A135" s="74"/>
      <c r="D135" s="75" t="s">
        <v>61</v>
      </c>
      <c r="E135" s="162" t="s">
        <v>756</v>
      </c>
      <c r="F135" s="162"/>
      <c r="G135" s="76">
        <v>2</v>
      </c>
      <c r="H135" s="77"/>
    </row>
    <row r="136" spans="1:8" x14ac:dyDescent="0.25">
      <c r="A136" s="2" t="s">
        <v>261</v>
      </c>
      <c r="B136" s="3" t="s">
        <v>50</v>
      </c>
      <c r="C136" s="3" t="s">
        <v>262</v>
      </c>
      <c r="D136" s="111" t="s">
        <v>263</v>
      </c>
      <c r="E136" s="111"/>
      <c r="F136" s="3" t="s">
        <v>56</v>
      </c>
      <c r="G136" s="30">
        <v>2</v>
      </c>
      <c r="H136" s="78">
        <v>0</v>
      </c>
    </row>
    <row r="137" spans="1:8" x14ac:dyDescent="0.25">
      <c r="A137" s="74"/>
      <c r="D137" s="75" t="s">
        <v>61</v>
      </c>
      <c r="E137" s="162" t="s">
        <v>756</v>
      </c>
      <c r="F137" s="162"/>
      <c r="G137" s="76">
        <v>2</v>
      </c>
      <c r="H137" s="77"/>
    </row>
    <row r="138" spans="1:8" x14ac:dyDescent="0.25">
      <c r="A138" s="2" t="s">
        <v>264</v>
      </c>
      <c r="B138" s="3" t="s">
        <v>50</v>
      </c>
      <c r="C138" s="3" t="s">
        <v>265</v>
      </c>
      <c r="D138" s="111" t="s">
        <v>266</v>
      </c>
      <c r="E138" s="111"/>
      <c r="F138" s="3" t="s">
        <v>56</v>
      </c>
      <c r="G138" s="30">
        <v>1</v>
      </c>
      <c r="H138" s="78">
        <v>0</v>
      </c>
    </row>
    <row r="139" spans="1:8" x14ac:dyDescent="0.25">
      <c r="A139" s="74"/>
      <c r="D139" s="75" t="s">
        <v>53</v>
      </c>
      <c r="E139" s="162" t="s">
        <v>754</v>
      </c>
      <c r="F139" s="162"/>
      <c r="G139" s="76">
        <v>1</v>
      </c>
      <c r="H139" s="77"/>
    </row>
    <row r="140" spans="1:8" x14ac:dyDescent="0.25">
      <c r="A140" s="2" t="s">
        <v>98</v>
      </c>
      <c r="B140" s="3" t="s">
        <v>50</v>
      </c>
      <c r="C140" s="3" t="s">
        <v>267</v>
      </c>
      <c r="D140" s="111" t="s">
        <v>268</v>
      </c>
      <c r="E140" s="111"/>
      <c r="F140" s="3" t="s">
        <v>56</v>
      </c>
      <c r="G140" s="30">
        <v>1</v>
      </c>
      <c r="H140" s="78">
        <v>0</v>
      </c>
    </row>
    <row r="141" spans="1:8" x14ac:dyDescent="0.25">
      <c r="A141" s="74"/>
      <c r="D141" s="75" t="s">
        <v>53</v>
      </c>
      <c r="E141" s="162" t="s">
        <v>754</v>
      </c>
      <c r="F141" s="162"/>
      <c r="G141" s="76">
        <v>1</v>
      </c>
      <c r="H141" s="77"/>
    </row>
    <row r="142" spans="1:8" x14ac:dyDescent="0.25">
      <c r="A142" s="2" t="s">
        <v>269</v>
      </c>
      <c r="B142" s="3" t="s">
        <v>50</v>
      </c>
      <c r="C142" s="3" t="s">
        <v>270</v>
      </c>
      <c r="D142" s="111" t="s">
        <v>271</v>
      </c>
      <c r="E142" s="111"/>
      <c r="F142" s="3" t="s">
        <v>64</v>
      </c>
      <c r="G142" s="30">
        <v>1</v>
      </c>
      <c r="H142" s="78">
        <v>0</v>
      </c>
    </row>
    <row r="143" spans="1:8" x14ac:dyDescent="0.25">
      <c r="A143" s="74"/>
      <c r="D143" s="75" t="s">
        <v>53</v>
      </c>
      <c r="E143" s="162" t="s">
        <v>757</v>
      </c>
      <c r="F143" s="162"/>
      <c r="G143" s="76">
        <v>1</v>
      </c>
      <c r="H143" s="77"/>
    </row>
    <row r="144" spans="1:8" x14ac:dyDescent="0.25">
      <c r="A144" s="2" t="s">
        <v>272</v>
      </c>
      <c r="B144" s="3" t="s">
        <v>50</v>
      </c>
      <c r="C144" s="3" t="s">
        <v>273</v>
      </c>
      <c r="D144" s="111" t="s">
        <v>274</v>
      </c>
      <c r="E144" s="111"/>
      <c r="F144" s="3" t="s">
        <v>56</v>
      </c>
      <c r="G144" s="30">
        <v>1</v>
      </c>
      <c r="H144" s="78">
        <v>0</v>
      </c>
    </row>
    <row r="145" spans="1:8" x14ac:dyDescent="0.25">
      <c r="A145" s="74"/>
      <c r="D145" s="75" t="s">
        <v>53</v>
      </c>
      <c r="E145" s="162" t="s">
        <v>757</v>
      </c>
      <c r="F145" s="162"/>
      <c r="G145" s="76">
        <v>1</v>
      </c>
      <c r="H145" s="77"/>
    </row>
    <row r="146" spans="1:8" x14ac:dyDescent="0.25">
      <c r="A146" s="2" t="s">
        <v>153</v>
      </c>
      <c r="B146" s="3" t="s">
        <v>50</v>
      </c>
      <c r="C146" s="3" t="s">
        <v>275</v>
      </c>
      <c r="D146" s="111" t="s">
        <v>276</v>
      </c>
      <c r="E146" s="111"/>
      <c r="F146" s="3" t="s">
        <v>56</v>
      </c>
      <c r="G146" s="30">
        <v>1</v>
      </c>
      <c r="H146" s="78">
        <v>0</v>
      </c>
    </row>
    <row r="147" spans="1:8" x14ac:dyDescent="0.25">
      <c r="A147" s="74"/>
      <c r="D147" s="75" t="s">
        <v>53</v>
      </c>
      <c r="E147" s="162" t="s">
        <v>50</v>
      </c>
      <c r="F147" s="162"/>
      <c r="G147" s="76">
        <v>1</v>
      </c>
      <c r="H147" s="77"/>
    </row>
    <row r="148" spans="1:8" x14ac:dyDescent="0.25">
      <c r="A148" s="2" t="s">
        <v>277</v>
      </c>
      <c r="B148" s="3" t="s">
        <v>50</v>
      </c>
      <c r="C148" s="3" t="s">
        <v>278</v>
      </c>
      <c r="D148" s="111" t="s">
        <v>279</v>
      </c>
      <c r="E148" s="111"/>
      <c r="F148" s="3" t="s">
        <v>218</v>
      </c>
      <c r="G148" s="30">
        <v>1</v>
      </c>
      <c r="H148" s="78">
        <v>0</v>
      </c>
    </row>
    <row r="149" spans="1:8" x14ac:dyDescent="0.25">
      <c r="A149" s="74"/>
      <c r="D149" s="75" t="s">
        <v>53</v>
      </c>
      <c r="E149" s="162" t="s">
        <v>758</v>
      </c>
      <c r="F149" s="162"/>
      <c r="G149" s="76">
        <v>1</v>
      </c>
      <c r="H149" s="77"/>
    </row>
    <row r="150" spans="1:8" x14ac:dyDescent="0.25">
      <c r="A150" s="2" t="s">
        <v>280</v>
      </c>
      <c r="B150" s="3" t="s">
        <v>50</v>
      </c>
      <c r="C150" s="3" t="s">
        <v>281</v>
      </c>
      <c r="D150" s="111" t="s">
        <v>282</v>
      </c>
      <c r="E150" s="111"/>
      <c r="F150" s="3" t="s">
        <v>56</v>
      </c>
      <c r="G150" s="30">
        <v>1</v>
      </c>
      <c r="H150" s="78">
        <v>0</v>
      </c>
    </row>
    <row r="151" spans="1:8" x14ac:dyDescent="0.25">
      <c r="A151" s="74"/>
      <c r="D151" s="75" t="s">
        <v>53</v>
      </c>
      <c r="E151" s="162" t="s">
        <v>758</v>
      </c>
      <c r="F151" s="162"/>
      <c r="G151" s="76">
        <v>1</v>
      </c>
      <c r="H151" s="77"/>
    </row>
    <row r="152" spans="1:8" x14ac:dyDescent="0.25">
      <c r="A152" s="2" t="s">
        <v>284</v>
      </c>
      <c r="B152" s="3" t="s">
        <v>50</v>
      </c>
      <c r="C152" s="3" t="s">
        <v>285</v>
      </c>
      <c r="D152" s="111" t="s">
        <v>286</v>
      </c>
      <c r="E152" s="111"/>
      <c r="F152" s="3" t="s">
        <v>56</v>
      </c>
      <c r="G152" s="30">
        <v>2</v>
      </c>
      <c r="H152" s="78">
        <v>0</v>
      </c>
    </row>
    <row r="153" spans="1:8" x14ac:dyDescent="0.25">
      <c r="A153" s="74"/>
      <c r="D153" s="75" t="s">
        <v>61</v>
      </c>
      <c r="E153" s="162" t="s">
        <v>754</v>
      </c>
      <c r="F153" s="162"/>
      <c r="G153" s="76">
        <v>2</v>
      </c>
      <c r="H153" s="77"/>
    </row>
    <row r="154" spans="1:8" x14ac:dyDescent="0.25">
      <c r="A154" s="2" t="s">
        <v>288</v>
      </c>
      <c r="B154" s="3" t="s">
        <v>50</v>
      </c>
      <c r="C154" s="3" t="s">
        <v>289</v>
      </c>
      <c r="D154" s="111" t="s">
        <v>290</v>
      </c>
      <c r="E154" s="111"/>
      <c r="F154" s="3" t="s">
        <v>86</v>
      </c>
      <c r="G154" s="30">
        <v>0.60829999999999995</v>
      </c>
      <c r="H154" s="78">
        <v>0</v>
      </c>
    </row>
    <row r="155" spans="1:8" x14ac:dyDescent="0.25">
      <c r="A155" s="2" t="s">
        <v>293</v>
      </c>
      <c r="B155" s="3" t="s">
        <v>50</v>
      </c>
      <c r="C155" s="3" t="s">
        <v>71</v>
      </c>
      <c r="D155" s="111" t="s">
        <v>72</v>
      </c>
      <c r="E155" s="111"/>
      <c r="F155" s="3" t="s">
        <v>56</v>
      </c>
      <c r="G155" s="30">
        <v>2</v>
      </c>
      <c r="H155" s="78">
        <v>0</v>
      </c>
    </row>
    <row r="156" spans="1:8" x14ac:dyDescent="0.25">
      <c r="A156" s="74"/>
      <c r="D156" s="75" t="s">
        <v>61</v>
      </c>
      <c r="E156" s="162" t="s">
        <v>50</v>
      </c>
      <c r="F156" s="162"/>
      <c r="G156" s="76">
        <v>2</v>
      </c>
      <c r="H156" s="77"/>
    </row>
    <row r="157" spans="1:8" x14ac:dyDescent="0.25">
      <c r="A157" s="2" t="s">
        <v>295</v>
      </c>
      <c r="B157" s="3" t="s">
        <v>50</v>
      </c>
      <c r="C157" s="3" t="s">
        <v>296</v>
      </c>
      <c r="D157" s="111" t="s">
        <v>297</v>
      </c>
      <c r="E157" s="111"/>
      <c r="F157" s="3" t="s">
        <v>56</v>
      </c>
      <c r="G157" s="30">
        <v>2</v>
      </c>
      <c r="H157" s="78">
        <v>0</v>
      </c>
    </row>
    <row r="158" spans="1:8" x14ac:dyDescent="0.25">
      <c r="A158" s="74"/>
      <c r="D158" s="75" t="s">
        <v>61</v>
      </c>
      <c r="E158" s="162" t="s">
        <v>759</v>
      </c>
      <c r="F158" s="162"/>
      <c r="G158" s="76">
        <v>2</v>
      </c>
      <c r="H158" s="77"/>
    </row>
    <row r="159" spans="1:8" x14ac:dyDescent="0.25">
      <c r="A159" s="2" t="s">
        <v>298</v>
      </c>
      <c r="B159" s="3" t="s">
        <v>50</v>
      </c>
      <c r="C159" s="3" t="s">
        <v>299</v>
      </c>
      <c r="D159" s="111" t="s">
        <v>300</v>
      </c>
      <c r="E159" s="111"/>
      <c r="F159" s="3" t="s">
        <v>56</v>
      </c>
      <c r="G159" s="30">
        <v>2</v>
      </c>
      <c r="H159" s="78">
        <v>0</v>
      </c>
    </row>
    <row r="160" spans="1:8" x14ac:dyDescent="0.25">
      <c r="A160" s="74"/>
      <c r="D160" s="75" t="s">
        <v>61</v>
      </c>
      <c r="E160" s="162" t="s">
        <v>759</v>
      </c>
      <c r="F160" s="162"/>
      <c r="G160" s="76">
        <v>2</v>
      </c>
      <c r="H160" s="77"/>
    </row>
    <row r="161" spans="1:8" x14ac:dyDescent="0.25">
      <c r="A161" s="2" t="s">
        <v>301</v>
      </c>
      <c r="B161" s="3" t="s">
        <v>50</v>
      </c>
      <c r="C161" s="3" t="s">
        <v>302</v>
      </c>
      <c r="D161" s="111" t="s">
        <v>303</v>
      </c>
      <c r="E161" s="111"/>
      <c r="F161" s="3" t="s">
        <v>56</v>
      </c>
      <c r="G161" s="30">
        <v>2</v>
      </c>
      <c r="H161" s="78">
        <v>0</v>
      </c>
    </row>
    <row r="162" spans="1:8" x14ac:dyDescent="0.25">
      <c r="A162" s="74"/>
      <c r="D162" s="75" t="s">
        <v>61</v>
      </c>
      <c r="E162" s="162" t="s">
        <v>760</v>
      </c>
      <c r="F162" s="162"/>
      <c r="G162" s="76">
        <v>2</v>
      </c>
      <c r="H162" s="77"/>
    </row>
    <row r="163" spans="1:8" x14ac:dyDescent="0.25">
      <c r="A163" s="2" t="s">
        <v>304</v>
      </c>
      <c r="B163" s="3" t="s">
        <v>50</v>
      </c>
      <c r="C163" s="3" t="s">
        <v>305</v>
      </c>
      <c r="D163" s="111" t="s">
        <v>306</v>
      </c>
      <c r="E163" s="111"/>
      <c r="F163" s="3" t="s">
        <v>56</v>
      </c>
      <c r="G163" s="30">
        <v>2</v>
      </c>
      <c r="H163" s="78">
        <v>0</v>
      </c>
    </row>
    <row r="164" spans="1:8" x14ac:dyDescent="0.25">
      <c r="A164" s="74"/>
      <c r="D164" s="75" t="s">
        <v>61</v>
      </c>
      <c r="E164" s="162" t="s">
        <v>760</v>
      </c>
      <c r="F164" s="162"/>
      <c r="G164" s="76">
        <v>2</v>
      </c>
      <c r="H164" s="77"/>
    </row>
    <row r="165" spans="1:8" x14ac:dyDescent="0.25">
      <c r="A165" s="2" t="s">
        <v>307</v>
      </c>
      <c r="B165" s="3" t="s">
        <v>50</v>
      </c>
      <c r="C165" s="3" t="s">
        <v>308</v>
      </c>
      <c r="D165" s="111" t="s">
        <v>309</v>
      </c>
      <c r="E165" s="111"/>
      <c r="F165" s="3" t="s">
        <v>86</v>
      </c>
      <c r="G165" s="30">
        <v>2.3999999999999998E-3</v>
      </c>
      <c r="H165" s="78">
        <v>0</v>
      </c>
    </row>
    <row r="166" spans="1:8" x14ac:dyDescent="0.25">
      <c r="A166" s="2" t="s">
        <v>312</v>
      </c>
      <c r="B166" s="3" t="s">
        <v>50</v>
      </c>
      <c r="C166" s="3" t="s">
        <v>313</v>
      </c>
      <c r="D166" s="111" t="s">
        <v>314</v>
      </c>
      <c r="E166" s="111"/>
      <c r="F166" s="3" t="s">
        <v>56</v>
      </c>
      <c r="G166" s="30">
        <v>1</v>
      </c>
      <c r="H166" s="78">
        <v>0</v>
      </c>
    </row>
    <row r="167" spans="1:8" x14ac:dyDescent="0.25">
      <c r="A167" s="74"/>
      <c r="D167" s="75" t="s">
        <v>53</v>
      </c>
      <c r="E167" s="162" t="s">
        <v>761</v>
      </c>
      <c r="F167" s="162"/>
      <c r="G167" s="76">
        <v>1</v>
      </c>
      <c r="H167" s="77"/>
    </row>
    <row r="168" spans="1:8" x14ac:dyDescent="0.25">
      <c r="A168" s="2" t="s">
        <v>317</v>
      </c>
      <c r="B168" s="3" t="s">
        <v>50</v>
      </c>
      <c r="C168" s="3" t="s">
        <v>318</v>
      </c>
      <c r="D168" s="111" t="s">
        <v>319</v>
      </c>
      <c r="E168" s="111"/>
      <c r="F168" s="3" t="s">
        <v>56</v>
      </c>
      <c r="G168" s="30">
        <v>1</v>
      </c>
      <c r="H168" s="78">
        <v>0</v>
      </c>
    </row>
    <row r="169" spans="1:8" x14ac:dyDescent="0.25">
      <c r="A169" s="74"/>
      <c r="D169" s="75" t="s">
        <v>53</v>
      </c>
      <c r="E169" s="162" t="s">
        <v>761</v>
      </c>
      <c r="F169" s="162"/>
      <c r="G169" s="76">
        <v>1</v>
      </c>
      <c r="H169" s="77"/>
    </row>
    <row r="170" spans="1:8" x14ac:dyDescent="0.25">
      <c r="A170" s="2" t="s">
        <v>320</v>
      </c>
      <c r="B170" s="3" t="s">
        <v>50</v>
      </c>
      <c r="C170" s="3" t="s">
        <v>321</v>
      </c>
      <c r="D170" s="111" t="s">
        <v>322</v>
      </c>
      <c r="E170" s="111"/>
      <c r="F170" s="3" t="s">
        <v>218</v>
      </c>
      <c r="G170" s="30">
        <v>1</v>
      </c>
      <c r="H170" s="78">
        <v>0</v>
      </c>
    </row>
    <row r="171" spans="1:8" x14ac:dyDescent="0.25">
      <c r="A171" s="74"/>
      <c r="D171" s="75" t="s">
        <v>53</v>
      </c>
      <c r="E171" s="162" t="s">
        <v>761</v>
      </c>
      <c r="F171" s="162"/>
      <c r="G171" s="76">
        <v>1</v>
      </c>
      <c r="H171" s="77"/>
    </row>
    <row r="172" spans="1:8" x14ac:dyDescent="0.25">
      <c r="A172" s="2" t="s">
        <v>323</v>
      </c>
      <c r="B172" s="3" t="s">
        <v>50</v>
      </c>
      <c r="C172" s="3" t="s">
        <v>324</v>
      </c>
      <c r="D172" s="111" t="s">
        <v>325</v>
      </c>
      <c r="E172" s="111"/>
      <c r="F172" s="3" t="s">
        <v>56</v>
      </c>
      <c r="G172" s="30">
        <v>1</v>
      </c>
      <c r="H172" s="78">
        <v>0</v>
      </c>
    </row>
    <row r="173" spans="1:8" x14ac:dyDescent="0.25">
      <c r="A173" s="74"/>
      <c r="D173" s="75" t="s">
        <v>53</v>
      </c>
      <c r="E173" s="162" t="s">
        <v>50</v>
      </c>
      <c r="F173" s="162"/>
      <c r="G173" s="76">
        <v>1</v>
      </c>
      <c r="H173" s="77"/>
    </row>
    <row r="174" spans="1:8" x14ac:dyDescent="0.25">
      <c r="A174" s="2" t="s">
        <v>326</v>
      </c>
      <c r="B174" s="3" t="s">
        <v>50</v>
      </c>
      <c r="C174" s="3" t="s">
        <v>327</v>
      </c>
      <c r="D174" s="111" t="s">
        <v>328</v>
      </c>
      <c r="E174" s="111"/>
      <c r="F174" s="3" t="s">
        <v>56</v>
      </c>
      <c r="G174" s="30">
        <v>1</v>
      </c>
      <c r="H174" s="78">
        <v>0</v>
      </c>
    </row>
    <row r="175" spans="1:8" x14ac:dyDescent="0.25">
      <c r="A175" s="74"/>
      <c r="D175" s="75" t="s">
        <v>53</v>
      </c>
      <c r="E175" s="162" t="s">
        <v>761</v>
      </c>
      <c r="F175" s="162"/>
      <c r="G175" s="76">
        <v>1</v>
      </c>
      <c r="H175" s="77"/>
    </row>
    <row r="176" spans="1:8" x14ac:dyDescent="0.25">
      <c r="A176" s="2" t="s">
        <v>329</v>
      </c>
      <c r="B176" s="3" t="s">
        <v>50</v>
      </c>
      <c r="C176" s="3" t="s">
        <v>330</v>
      </c>
      <c r="D176" s="111" t="s">
        <v>331</v>
      </c>
      <c r="E176" s="111"/>
      <c r="F176" s="3" t="s">
        <v>56</v>
      </c>
      <c r="G176" s="30">
        <v>1</v>
      </c>
      <c r="H176" s="78">
        <v>0</v>
      </c>
    </row>
    <row r="177" spans="1:8" x14ac:dyDescent="0.25">
      <c r="A177" s="74"/>
      <c r="D177" s="75" t="s">
        <v>53</v>
      </c>
      <c r="E177" s="162" t="s">
        <v>761</v>
      </c>
      <c r="F177" s="162"/>
      <c r="G177" s="76">
        <v>1</v>
      </c>
      <c r="H177" s="77"/>
    </row>
    <row r="178" spans="1:8" x14ac:dyDescent="0.25">
      <c r="A178" s="2" t="s">
        <v>332</v>
      </c>
      <c r="B178" s="3" t="s">
        <v>50</v>
      </c>
      <c r="C178" s="3" t="s">
        <v>333</v>
      </c>
      <c r="D178" s="111" t="s">
        <v>334</v>
      </c>
      <c r="E178" s="111"/>
      <c r="F178" s="3" t="s">
        <v>335</v>
      </c>
      <c r="G178" s="30">
        <v>1</v>
      </c>
      <c r="H178" s="78">
        <v>0</v>
      </c>
    </row>
    <row r="179" spans="1:8" x14ac:dyDescent="0.25">
      <c r="A179" s="74"/>
      <c r="D179" s="75" t="s">
        <v>53</v>
      </c>
      <c r="E179" s="162" t="s">
        <v>761</v>
      </c>
      <c r="F179" s="162"/>
      <c r="G179" s="76">
        <v>1</v>
      </c>
      <c r="H179" s="77"/>
    </row>
    <row r="180" spans="1:8" x14ac:dyDescent="0.25">
      <c r="A180" s="2" t="s">
        <v>336</v>
      </c>
      <c r="B180" s="3" t="s">
        <v>50</v>
      </c>
      <c r="C180" s="3" t="s">
        <v>337</v>
      </c>
      <c r="D180" s="111" t="s">
        <v>338</v>
      </c>
      <c r="E180" s="111"/>
      <c r="F180" s="3" t="s">
        <v>335</v>
      </c>
      <c r="G180" s="30">
        <v>1</v>
      </c>
      <c r="H180" s="78">
        <v>0</v>
      </c>
    </row>
    <row r="181" spans="1:8" x14ac:dyDescent="0.25">
      <c r="A181" s="74"/>
      <c r="D181" s="75" t="s">
        <v>53</v>
      </c>
      <c r="E181" s="162" t="s">
        <v>761</v>
      </c>
      <c r="F181" s="162"/>
      <c r="G181" s="76">
        <v>1</v>
      </c>
      <c r="H181" s="77"/>
    </row>
    <row r="182" spans="1:8" x14ac:dyDescent="0.25">
      <c r="A182" s="2" t="s">
        <v>339</v>
      </c>
      <c r="B182" s="3" t="s">
        <v>50</v>
      </c>
      <c r="C182" s="3" t="s">
        <v>340</v>
      </c>
      <c r="D182" s="111" t="s">
        <v>341</v>
      </c>
      <c r="E182" s="111"/>
      <c r="F182" s="3" t="s">
        <v>56</v>
      </c>
      <c r="G182" s="30">
        <v>5</v>
      </c>
      <c r="H182" s="78">
        <v>0</v>
      </c>
    </row>
    <row r="183" spans="1:8" x14ac:dyDescent="0.25">
      <c r="A183" s="74"/>
      <c r="D183" s="75" t="s">
        <v>73</v>
      </c>
      <c r="E183" s="162" t="s">
        <v>761</v>
      </c>
      <c r="F183" s="162"/>
      <c r="G183" s="76">
        <v>5</v>
      </c>
      <c r="H183" s="77"/>
    </row>
    <row r="184" spans="1:8" x14ac:dyDescent="0.25">
      <c r="A184" s="2" t="s">
        <v>342</v>
      </c>
      <c r="B184" s="3" t="s">
        <v>50</v>
      </c>
      <c r="C184" s="3" t="s">
        <v>343</v>
      </c>
      <c r="D184" s="111" t="s">
        <v>344</v>
      </c>
      <c r="E184" s="111"/>
      <c r="F184" s="3" t="s">
        <v>86</v>
      </c>
      <c r="G184" s="30">
        <v>0.29219000000000001</v>
      </c>
      <c r="H184" s="78">
        <v>0</v>
      </c>
    </row>
    <row r="185" spans="1:8" x14ac:dyDescent="0.25">
      <c r="A185" s="2" t="s">
        <v>347</v>
      </c>
      <c r="B185" s="3" t="s">
        <v>50</v>
      </c>
      <c r="C185" s="3" t="s">
        <v>348</v>
      </c>
      <c r="D185" s="111" t="s">
        <v>349</v>
      </c>
      <c r="E185" s="111"/>
      <c r="F185" s="3" t="s">
        <v>218</v>
      </c>
      <c r="G185" s="30">
        <v>1</v>
      </c>
      <c r="H185" s="78">
        <v>0</v>
      </c>
    </row>
    <row r="186" spans="1:8" x14ac:dyDescent="0.25">
      <c r="A186" s="74"/>
      <c r="D186" s="75" t="s">
        <v>53</v>
      </c>
      <c r="E186" s="162" t="s">
        <v>761</v>
      </c>
      <c r="F186" s="162"/>
      <c r="G186" s="76">
        <v>1</v>
      </c>
      <c r="H186" s="77"/>
    </row>
    <row r="187" spans="1:8" x14ac:dyDescent="0.25">
      <c r="A187" s="2" t="s">
        <v>353</v>
      </c>
      <c r="B187" s="3" t="s">
        <v>50</v>
      </c>
      <c r="C187" s="3" t="s">
        <v>354</v>
      </c>
      <c r="D187" s="111" t="s">
        <v>355</v>
      </c>
      <c r="E187" s="111"/>
      <c r="F187" s="3" t="s">
        <v>76</v>
      </c>
      <c r="G187" s="30">
        <v>2.5</v>
      </c>
      <c r="H187" s="78">
        <v>0</v>
      </c>
    </row>
    <row r="188" spans="1:8" x14ac:dyDescent="0.25">
      <c r="A188" s="74"/>
      <c r="D188" s="75" t="s">
        <v>708</v>
      </c>
      <c r="E188" s="162" t="s">
        <v>762</v>
      </c>
      <c r="F188" s="162"/>
      <c r="G188" s="76">
        <v>2.5</v>
      </c>
      <c r="H188" s="77"/>
    </row>
    <row r="189" spans="1:8" x14ac:dyDescent="0.25">
      <c r="A189" s="2" t="s">
        <v>357</v>
      </c>
      <c r="B189" s="3" t="s">
        <v>50</v>
      </c>
      <c r="C189" s="3" t="s">
        <v>358</v>
      </c>
      <c r="D189" s="111" t="s">
        <v>359</v>
      </c>
      <c r="E189" s="111"/>
      <c r="F189" s="3" t="s">
        <v>76</v>
      </c>
      <c r="G189" s="30">
        <v>2.5</v>
      </c>
      <c r="H189" s="78">
        <v>0</v>
      </c>
    </row>
    <row r="190" spans="1:8" x14ac:dyDescent="0.25">
      <c r="A190" s="74"/>
      <c r="D190" s="75" t="s">
        <v>708</v>
      </c>
      <c r="E190" s="162" t="s">
        <v>50</v>
      </c>
      <c r="F190" s="162"/>
      <c r="G190" s="76">
        <v>2.5</v>
      </c>
      <c r="H190" s="77"/>
    </row>
    <row r="191" spans="1:8" x14ac:dyDescent="0.25">
      <c r="A191" s="2" t="s">
        <v>361</v>
      </c>
      <c r="B191" s="3" t="s">
        <v>50</v>
      </c>
      <c r="C191" s="3" t="s">
        <v>362</v>
      </c>
      <c r="D191" s="111" t="s">
        <v>363</v>
      </c>
      <c r="E191" s="111"/>
      <c r="F191" s="3" t="s">
        <v>76</v>
      </c>
      <c r="G191" s="30">
        <v>2.5</v>
      </c>
      <c r="H191" s="78">
        <v>0</v>
      </c>
    </row>
    <row r="192" spans="1:8" x14ac:dyDescent="0.25">
      <c r="A192" s="74"/>
      <c r="D192" s="75" t="s">
        <v>708</v>
      </c>
      <c r="E192" s="162" t="s">
        <v>50</v>
      </c>
      <c r="F192" s="162"/>
      <c r="G192" s="76">
        <v>2.5</v>
      </c>
      <c r="H192" s="77"/>
    </row>
    <row r="193" spans="1:8" x14ac:dyDescent="0.25">
      <c r="A193" s="2" t="s">
        <v>364</v>
      </c>
      <c r="B193" s="3" t="s">
        <v>50</v>
      </c>
      <c r="C193" s="3" t="s">
        <v>365</v>
      </c>
      <c r="D193" s="111" t="s">
        <v>366</v>
      </c>
      <c r="E193" s="111"/>
      <c r="F193" s="3" t="s">
        <v>86</v>
      </c>
      <c r="G193" s="30">
        <v>2.2499999999999998E-3</v>
      </c>
      <c r="H193" s="78">
        <v>0</v>
      </c>
    </row>
    <row r="194" spans="1:8" x14ac:dyDescent="0.25">
      <c r="A194" s="2" t="s">
        <v>369</v>
      </c>
      <c r="B194" s="3" t="s">
        <v>50</v>
      </c>
      <c r="C194" s="3" t="s">
        <v>370</v>
      </c>
      <c r="D194" s="111" t="s">
        <v>371</v>
      </c>
      <c r="E194" s="111"/>
      <c r="F194" s="3" t="s">
        <v>56</v>
      </c>
      <c r="G194" s="30">
        <v>1</v>
      </c>
      <c r="H194" s="78">
        <v>0</v>
      </c>
    </row>
    <row r="195" spans="1:8" x14ac:dyDescent="0.25">
      <c r="A195" s="74"/>
      <c r="D195" s="75" t="s">
        <v>53</v>
      </c>
      <c r="E195" s="162" t="s">
        <v>763</v>
      </c>
      <c r="F195" s="162"/>
      <c r="G195" s="76">
        <v>1</v>
      </c>
      <c r="H195" s="77"/>
    </row>
    <row r="196" spans="1:8" x14ac:dyDescent="0.25">
      <c r="A196" s="2" t="s">
        <v>374</v>
      </c>
      <c r="B196" s="3" t="s">
        <v>50</v>
      </c>
      <c r="C196" s="3" t="s">
        <v>375</v>
      </c>
      <c r="D196" s="111" t="s">
        <v>376</v>
      </c>
      <c r="E196" s="111"/>
      <c r="F196" s="3" t="s">
        <v>56</v>
      </c>
      <c r="G196" s="30">
        <v>1</v>
      </c>
      <c r="H196" s="78">
        <v>0</v>
      </c>
    </row>
    <row r="197" spans="1:8" x14ac:dyDescent="0.25">
      <c r="A197" s="74"/>
      <c r="D197" s="75" t="s">
        <v>53</v>
      </c>
      <c r="E197" s="162" t="s">
        <v>763</v>
      </c>
      <c r="F197" s="162"/>
      <c r="G197" s="76">
        <v>1</v>
      </c>
      <c r="H197" s="77"/>
    </row>
    <row r="198" spans="1:8" x14ac:dyDescent="0.25">
      <c r="A198" s="2" t="s">
        <v>377</v>
      </c>
      <c r="B198" s="3" t="s">
        <v>50</v>
      </c>
      <c r="C198" s="3" t="s">
        <v>378</v>
      </c>
      <c r="D198" s="111" t="s">
        <v>379</v>
      </c>
      <c r="E198" s="111"/>
      <c r="F198" s="3" t="s">
        <v>86</v>
      </c>
      <c r="G198" s="30">
        <v>9.3999999999999997E-4</v>
      </c>
      <c r="H198" s="78">
        <v>0</v>
      </c>
    </row>
    <row r="199" spans="1:8" x14ac:dyDescent="0.25">
      <c r="A199" s="2" t="s">
        <v>382</v>
      </c>
      <c r="B199" s="3" t="s">
        <v>50</v>
      </c>
      <c r="C199" s="3" t="s">
        <v>383</v>
      </c>
      <c r="D199" s="111" t="s">
        <v>384</v>
      </c>
      <c r="E199" s="111"/>
      <c r="F199" s="3" t="s">
        <v>56</v>
      </c>
      <c r="G199" s="30">
        <v>2</v>
      </c>
      <c r="H199" s="78">
        <v>0</v>
      </c>
    </row>
    <row r="200" spans="1:8" x14ac:dyDescent="0.25">
      <c r="A200" s="74"/>
      <c r="D200" s="75" t="s">
        <v>61</v>
      </c>
      <c r="E200" s="162" t="s">
        <v>709</v>
      </c>
      <c r="F200" s="162"/>
      <c r="G200" s="76">
        <v>2</v>
      </c>
      <c r="H200" s="77"/>
    </row>
    <row r="201" spans="1:8" x14ac:dyDescent="0.25">
      <c r="A201" s="2" t="s">
        <v>386</v>
      </c>
      <c r="B201" s="3" t="s">
        <v>50</v>
      </c>
      <c r="C201" s="3" t="s">
        <v>387</v>
      </c>
      <c r="D201" s="111" t="s">
        <v>388</v>
      </c>
      <c r="E201" s="111"/>
      <c r="F201" s="3" t="s">
        <v>56</v>
      </c>
      <c r="G201" s="30">
        <v>1</v>
      </c>
      <c r="H201" s="78">
        <v>0</v>
      </c>
    </row>
    <row r="202" spans="1:8" x14ac:dyDescent="0.25">
      <c r="A202" s="74"/>
      <c r="D202" s="75" t="s">
        <v>53</v>
      </c>
      <c r="E202" s="162" t="s">
        <v>764</v>
      </c>
      <c r="F202" s="162"/>
      <c r="G202" s="76">
        <v>1</v>
      </c>
      <c r="H202" s="77"/>
    </row>
    <row r="203" spans="1:8" x14ac:dyDescent="0.25">
      <c r="A203" s="2" t="s">
        <v>390</v>
      </c>
      <c r="B203" s="3" t="s">
        <v>50</v>
      </c>
      <c r="C203" s="3" t="s">
        <v>391</v>
      </c>
      <c r="D203" s="111" t="s">
        <v>392</v>
      </c>
      <c r="E203" s="111"/>
      <c r="F203" s="3" t="s">
        <v>86</v>
      </c>
      <c r="G203" s="30">
        <v>1.6639999999999999E-2</v>
      </c>
      <c r="H203" s="78">
        <v>0</v>
      </c>
    </row>
    <row r="204" spans="1:8" x14ac:dyDescent="0.25">
      <c r="A204" s="2" t="s">
        <v>395</v>
      </c>
      <c r="B204" s="3" t="s">
        <v>50</v>
      </c>
      <c r="C204" s="3" t="s">
        <v>396</v>
      </c>
      <c r="D204" s="111" t="s">
        <v>397</v>
      </c>
      <c r="E204" s="111"/>
      <c r="F204" s="3" t="s">
        <v>56</v>
      </c>
      <c r="G204" s="30">
        <v>1</v>
      </c>
      <c r="H204" s="78">
        <v>0</v>
      </c>
    </row>
    <row r="205" spans="1:8" x14ac:dyDescent="0.25">
      <c r="A205" s="74"/>
      <c r="D205" s="75" t="s">
        <v>53</v>
      </c>
      <c r="E205" s="162" t="s">
        <v>50</v>
      </c>
      <c r="F205" s="162"/>
      <c r="G205" s="76">
        <v>1</v>
      </c>
      <c r="H205" s="77"/>
    </row>
    <row r="206" spans="1:8" x14ac:dyDescent="0.25">
      <c r="A206" s="2" t="s">
        <v>400</v>
      </c>
      <c r="B206" s="3" t="s">
        <v>50</v>
      </c>
      <c r="C206" s="3" t="s">
        <v>401</v>
      </c>
      <c r="D206" s="111" t="s">
        <v>402</v>
      </c>
      <c r="E206" s="111"/>
      <c r="F206" s="3" t="s">
        <v>56</v>
      </c>
      <c r="G206" s="30">
        <v>1</v>
      </c>
      <c r="H206" s="78">
        <v>0</v>
      </c>
    </row>
    <row r="207" spans="1:8" x14ac:dyDescent="0.25">
      <c r="A207" s="74"/>
      <c r="D207" s="75" t="s">
        <v>53</v>
      </c>
      <c r="E207" s="162" t="s">
        <v>50</v>
      </c>
      <c r="F207" s="162"/>
      <c r="G207" s="76">
        <v>1</v>
      </c>
      <c r="H207" s="77"/>
    </row>
    <row r="208" spans="1:8" x14ac:dyDescent="0.25">
      <c r="A208" s="2" t="s">
        <v>403</v>
      </c>
      <c r="B208" s="3" t="s">
        <v>50</v>
      </c>
      <c r="C208" s="3" t="s">
        <v>404</v>
      </c>
      <c r="D208" s="111" t="s">
        <v>405</v>
      </c>
      <c r="E208" s="111"/>
      <c r="F208" s="3" t="s">
        <v>56</v>
      </c>
      <c r="G208" s="30">
        <v>1</v>
      </c>
      <c r="H208" s="78">
        <v>0</v>
      </c>
    </row>
    <row r="209" spans="1:8" x14ac:dyDescent="0.25">
      <c r="A209" s="74"/>
      <c r="D209" s="75" t="s">
        <v>53</v>
      </c>
      <c r="E209" s="162" t="s">
        <v>50</v>
      </c>
      <c r="F209" s="162"/>
      <c r="G209" s="76">
        <v>1</v>
      </c>
      <c r="H209" s="77"/>
    </row>
    <row r="210" spans="1:8" x14ac:dyDescent="0.25">
      <c r="A210" s="2" t="s">
        <v>407</v>
      </c>
      <c r="B210" s="3" t="s">
        <v>50</v>
      </c>
      <c r="C210" s="3" t="s">
        <v>408</v>
      </c>
      <c r="D210" s="111" t="s">
        <v>409</v>
      </c>
      <c r="E210" s="111"/>
      <c r="F210" s="3" t="s">
        <v>86</v>
      </c>
      <c r="G210" s="30">
        <v>0.3206</v>
      </c>
      <c r="H210" s="78">
        <v>0</v>
      </c>
    </row>
    <row r="211" spans="1:8" x14ac:dyDescent="0.25">
      <c r="A211" s="2" t="s">
        <v>412</v>
      </c>
      <c r="B211" s="3" t="s">
        <v>50</v>
      </c>
      <c r="C211" s="3" t="s">
        <v>413</v>
      </c>
      <c r="D211" s="111" t="s">
        <v>414</v>
      </c>
      <c r="E211" s="111"/>
      <c r="F211" s="3" t="s">
        <v>76</v>
      </c>
      <c r="G211" s="30">
        <v>12.23</v>
      </c>
      <c r="H211" s="78">
        <v>0</v>
      </c>
    </row>
    <row r="212" spans="1:8" x14ac:dyDescent="0.25">
      <c r="A212" s="74"/>
      <c r="D212" s="75" t="s">
        <v>765</v>
      </c>
      <c r="E212" s="162" t="s">
        <v>766</v>
      </c>
      <c r="F212" s="162"/>
      <c r="G212" s="76">
        <v>12.23</v>
      </c>
      <c r="H212" s="77"/>
    </row>
    <row r="213" spans="1:8" x14ac:dyDescent="0.25">
      <c r="A213" s="2" t="s">
        <v>418</v>
      </c>
      <c r="B213" s="3" t="s">
        <v>50</v>
      </c>
      <c r="C213" s="3" t="s">
        <v>419</v>
      </c>
      <c r="D213" s="111" t="s">
        <v>420</v>
      </c>
      <c r="E213" s="111"/>
      <c r="F213" s="3" t="s">
        <v>76</v>
      </c>
      <c r="G213" s="30">
        <v>12.23</v>
      </c>
      <c r="H213" s="78">
        <v>0</v>
      </c>
    </row>
    <row r="214" spans="1:8" x14ac:dyDescent="0.25">
      <c r="A214" s="74"/>
      <c r="D214" s="75" t="s">
        <v>767</v>
      </c>
      <c r="E214" s="162" t="s">
        <v>768</v>
      </c>
      <c r="F214" s="162"/>
      <c r="G214" s="76">
        <v>12.23</v>
      </c>
      <c r="H214" s="77"/>
    </row>
    <row r="215" spans="1:8" x14ac:dyDescent="0.25">
      <c r="A215" s="2" t="s">
        <v>423</v>
      </c>
      <c r="B215" s="3" t="s">
        <v>50</v>
      </c>
      <c r="C215" s="3" t="s">
        <v>424</v>
      </c>
      <c r="D215" s="111" t="s">
        <v>425</v>
      </c>
      <c r="E215" s="111"/>
      <c r="F215" s="3" t="s">
        <v>64</v>
      </c>
      <c r="G215" s="30">
        <v>7.73</v>
      </c>
      <c r="H215" s="78">
        <v>0</v>
      </c>
    </row>
    <row r="216" spans="1:8" x14ac:dyDescent="0.25">
      <c r="A216" s="74"/>
      <c r="D216" s="75" t="s">
        <v>769</v>
      </c>
      <c r="E216" s="162" t="s">
        <v>770</v>
      </c>
      <c r="F216" s="162"/>
      <c r="G216" s="76">
        <v>7.73</v>
      </c>
      <c r="H216" s="77"/>
    </row>
    <row r="217" spans="1:8" x14ac:dyDescent="0.25">
      <c r="A217" s="2" t="s">
        <v>426</v>
      </c>
      <c r="B217" s="3" t="s">
        <v>50</v>
      </c>
      <c r="C217" s="3" t="s">
        <v>427</v>
      </c>
      <c r="D217" s="111" t="s">
        <v>428</v>
      </c>
      <c r="E217" s="111"/>
      <c r="F217" s="3" t="s">
        <v>97</v>
      </c>
      <c r="G217" s="30">
        <v>4.2745800000000003</v>
      </c>
      <c r="H217" s="78">
        <v>0</v>
      </c>
    </row>
    <row r="218" spans="1:8" x14ac:dyDescent="0.25">
      <c r="A218" s="74"/>
      <c r="D218" s="75" t="s">
        <v>771</v>
      </c>
      <c r="E218" s="162" t="s">
        <v>772</v>
      </c>
      <c r="F218" s="162"/>
      <c r="G218" s="76">
        <v>4.2745800000000003</v>
      </c>
      <c r="H218" s="77"/>
    </row>
    <row r="219" spans="1:8" x14ac:dyDescent="0.25">
      <c r="A219" s="2" t="s">
        <v>429</v>
      </c>
      <c r="B219" s="3" t="s">
        <v>50</v>
      </c>
      <c r="C219" s="3" t="s">
        <v>430</v>
      </c>
      <c r="D219" s="111" t="s">
        <v>431</v>
      </c>
      <c r="E219" s="111"/>
      <c r="F219" s="3" t="s">
        <v>64</v>
      </c>
      <c r="G219" s="30">
        <v>7.73</v>
      </c>
      <c r="H219" s="78">
        <v>0</v>
      </c>
    </row>
    <row r="220" spans="1:8" x14ac:dyDescent="0.25">
      <c r="A220" s="74"/>
      <c r="D220" s="75" t="s">
        <v>769</v>
      </c>
      <c r="E220" s="162" t="s">
        <v>770</v>
      </c>
      <c r="F220" s="162"/>
      <c r="G220" s="76">
        <v>7.73</v>
      </c>
      <c r="H220" s="77"/>
    </row>
    <row r="221" spans="1:8" x14ac:dyDescent="0.25">
      <c r="A221" s="2" t="s">
        <v>433</v>
      </c>
      <c r="B221" s="3" t="s">
        <v>50</v>
      </c>
      <c r="C221" s="3" t="s">
        <v>434</v>
      </c>
      <c r="D221" s="111" t="s">
        <v>435</v>
      </c>
      <c r="E221" s="111"/>
      <c r="F221" s="3" t="s">
        <v>64</v>
      </c>
      <c r="G221" s="30">
        <v>7.73</v>
      </c>
      <c r="H221" s="78">
        <v>0</v>
      </c>
    </row>
    <row r="222" spans="1:8" x14ac:dyDescent="0.25">
      <c r="A222" s="74"/>
      <c r="D222" s="75" t="s">
        <v>769</v>
      </c>
      <c r="E222" s="162" t="s">
        <v>770</v>
      </c>
      <c r="F222" s="162"/>
      <c r="G222" s="76">
        <v>7.73</v>
      </c>
      <c r="H222" s="77"/>
    </row>
    <row r="223" spans="1:8" x14ac:dyDescent="0.25">
      <c r="A223" s="2" t="s">
        <v>436</v>
      </c>
      <c r="B223" s="3" t="s">
        <v>50</v>
      </c>
      <c r="C223" s="3" t="s">
        <v>84</v>
      </c>
      <c r="D223" s="111" t="s">
        <v>85</v>
      </c>
      <c r="E223" s="111"/>
      <c r="F223" s="3" t="s">
        <v>86</v>
      </c>
      <c r="G223" s="30">
        <v>11.7342</v>
      </c>
      <c r="H223" s="78">
        <v>0</v>
      </c>
    </row>
    <row r="224" spans="1:8" x14ac:dyDescent="0.25">
      <c r="A224" s="2" t="s">
        <v>437</v>
      </c>
      <c r="B224" s="3" t="s">
        <v>50</v>
      </c>
      <c r="C224" s="3" t="s">
        <v>88</v>
      </c>
      <c r="D224" s="111" t="s">
        <v>89</v>
      </c>
      <c r="E224" s="111"/>
      <c r="F224" s="3" t="s">
        <v>86</v>
      </c>
      <c r="G224" s="30">
        <v>11.7342</v>
      </c>
      <c r="H224" s="78">
        <v>0</v>
      </c>
    </row>
    <row r="225" spans="1:8" x14ac:dyDescent="0.25">
      <c r="A225" s="2" t="s">
        <v>438</v>
      </c>
      <c r="B225" s="3" t="s">
        <v>50</v>
      </c>
      <c r="C225" s="3" t="s">
        <v>439</v>
      </c>
      <c r="D225" s="111" t="s">
        <v>440</v>
      </c>
      <c r="E225" s="111"/>
      <c r="F225" s="3" t="s">
        <v>86</v>
      </c>
      <c r="G225" s="30">
        <v>1.2174799999999999</v>
      </c>
      <c r="H225" s="78">
        <v>0</v>
      </c>
    </row>
    <row r="226" spans="1:8" x14ac:dyDescent="0.25">
      <c r="A226" s="2" t="s">
        <v>441</v>
      </c>
      <c r="B226" s="3" t="s">
        <v>50</v>
      </c>
      <c r="C226" s="3" t="s">
        <v>91</v>
      </c>
      <c r="D226" s="111" t="s">
        <v>92</v>
      </c>
      <c r="E226" s="111"/>
      <c r="F226" s="3" t="s">
        <v>86</v>
      </c>
      <c r="G226" s="30">
        <v>9.9065300000000001</v>
      </c>
      <c r="H226" s="78">
        <v>0</v>
      </c>
    </row>
    <row r="227" spans="1:8" x14ac:dyDescent="0.25">
      <c r="A227" s="2" t="s">
        <v>442</v>
      </c>
      <c r="B227" s="3" t="s">
        <v>50</v>
      </c>
      <c r="C227" s="3" t="s">
        <v>443</v>
      </c>
      <c r="D227" s="111" t="s">
        <v>444</v>
      </c>
      <c r="E227" s="111"/>
      <c r="F227" s="3" t="s">
        <v>64</v>
      </c>
      <c r="G227" s="30">
        <v>42.745800000000003</v>
      </c>
      <c r="H227" s="78">
        <v>0</v>
      </c>
    </row>
    <row r="228" spans="1:8" x14ac:dyDescent="0.25">
      <c r="A228" s="74"/>
      <c r="D228" s="75" t="s">
        <v>773</v>
      </c>
      <c r="E228" s="162" t="s">
        <v>772</v>
      </c>
      <c r="F228" s="162"/>
      <c r="G228" s="76">
        <v>42.745800000000003</v>
      </c>
      <c r="H228" s="77"/>
    </row>
    <row r="229" spans="1:8" x14ac:dyDescent="0.25">
      <c r="A229" s="2" t="s">
        <v>445</v>
      </c>
      <c r="B229" s="3" t="s">
        <v>50</v>
      </c>
      <c r="C229" s="3" t="s">
        <v>446</v>
      </c>
      <c r="D229" s="111" t="s">
        <v>447</v>
      </c>
      <c r="E229" s="111"/>
      <c r="F229" s="3" t="s">
        <v>64</v>
      </c>
      <c r="G229" s="30">
        <v>42.745800000000003</v>
      </c>
      <c r="H229" s="78">
        <v>0</v>
      </c>
    </row>
    <row r="230" spans="1:8" x14ac:dyDescent="0.25">
      <c r="A230" s="74"/>
      <c r="D230" s="75" t="s">
        <v>773</v>
      </c>
      <c r="E230" s="162" t="s">
        <v>772</v>
      </c>
      <c r="F230" s="162"/>
      <c r="G230" s="76">
        <v>42.745800000000003</v>
      </c>
      <c r="H230" s="77"/>
    </row>
    <row r="231" spans="1:8" x14ac:dyDescent="0.25">
      <c r="A231" s="2" t="s">
        <v>448</v>
      </c>
      <c r="B231" s="3" t="s">
        <v>50</v>
      </c>
      <c r="C231" s="3" t="s">
        <v>449</v>
      </c>
      <c r="D231" s="111" t="s">
        <v>450</v>
      </c>
      <c r="E231" s="111"/>
      <c r="F231" s="3" t="s">
        <v>97</v>
      </c>
      <c r="G231" s="30">
        <v>2.5647500000000001</v>
      </c>
      <c r="H231" s="78">
        <v>0</v>
      </c>
    </row>
    <row r="232" spans="1:8" x14ac:dyDescent="0.25">
      <c r="A232" s="74"/>
      <c r="D232" s="75" t="s">
        <v>774</v>
      </c>
      <c r="E232" s="162" t="s">
        <v>772</v>
      </c>
      <c r="F232" s="162"/>
      <c r="G232" s="76">
        <v>2.5647500000000001</v>
      </c>
      <c r="H232" s="77"/>
    </row>
    <row r="233" spans="1:8" x14ac:dyDescent="0.25">
      <c r="A233" s="2" t="s">
        <v>451</v>
      </c>
      <c r="B233" s="3" t="s">
        <v>50</v>
      </c>
      <c r="C233" s="3" t="s">
        <v>452</v>
      </c>
      <c r="D233" s="111" t="s">
        <v>453</v>
      </c>
      <c r="E233" s="111"/>
      <c r="F233" s="3" t="s">
        <v>64</v>
      </c>
      <c r="G233" s="30">
        <v>51.294960000000003</v>
      </c>
      <c r="H233" s="78">
        <v>0</v>
      </c>
    </row>
    <row r="234" spans="1:8" x14ac:dyDescent="0.25">
      <c r="A234" s="74"/>
      <c r="D234" s="75" t="s">
        <v>775</v>
      </c>
      <c r="E234" s="162" t="s">
        <v>772</v>
      </c>
      <c r="F234" s="162"/>
      <c r="G234" s="76">
        <v>51.294960000000003</v>
      </c>
      <c r="H234" s="77"/>
    </row>
    <row r="235" spans="1:8" x14ac:dyDescent="0.25">
      <c r="A235" s="2" t="s">
        <v>455</v>
      </c>
      <c r="B235" s="3" t="s">
        <v>50</v>
      </c>
      <c r="C235" s="3" t="s">
        <v>456</v>
      </c>
      <c r="D235" s="111" t="s">
        <v>457</v>
      </c>
      <c r="E235" s="111"/>
      <c r="F235" s="3" t="s">
        <v>64</v>
      </c>
      <c r="G235" s="30">
        <v>42.745800000000003</v>
      </c>
      <c r="H235" s="78">
        <v>0</v>
      </c>
    </row>
    <row r="236" spans="1:8" x14ac:dyDescent="0.25">
      <c r="A236" s="74"/>
      <c r="D236" s="75" t="s">
        <v>773</v>
      </c>
      <c r="E236" s="162" t="s">
        <v>772</v>
      </c>
      <c r="F236" s="162"/>
      <c r="G236" s="76">
        <v>42.745800000000003</v>
      </c>
      <c r="H236" s="77"/>
    </row>
    <row r="237" spans="1:8" x14ac:dyDescent="0.25">
      <c r="A237" s="2" t="s">
        <v>459</v>
      </c>
      <c r="B237" s="3" t="s">
        <v>50</v>
      </c>
      <c r="C237" s="3" t="s">
        <v>460</v>
      </c>
      <c r="D237" s="111" t="s">
        <v>461</v>
      </c>
      <c r="E237" s="111"/>
      <c r="F237" s="3" t="s">
        <v>76</v>
      </c>
      <c r="G237" s="30">
        <v>12.23</v>
      </c>
      <c r="H237" s="78">
        <v>0</v>
      </c>
    </row>
    <row r="238" spans="1:8" x14ac:dyDescent="0.25">
      <c r="A238" s="74"/>
      <c r="D238" s="75" t="s">
        <v>767</v>
      </c>
      <c r="E238" s="162" t="s">
        <v>776</v>
      </c>
      <c r="F238" s="162"/>
      <c r="G238" s="76">
        <v>12.23</v>
      </c>
      <c r="H238" s="77"/>
    </row>
    <row r="239" spans="1:8" x14ac:dyDescent="0.25">
      <c r="A239" s="2" t="s">
        <v>463</v>
      </c>
      <c r="B239" s="3" t="s">
        <v>50</v>
      </c>
      <c r="C239" s="3" t="s">
        <v>464</v>
      </c>
      <c r="D239" s="111" t="s">
        <v>465</v>
      </c>
      <c r="E239" s="111"/>
      <c r="F239" s="3" t="s">
        <v>76</v>
      </c>
      <c r="G239" s="30">
        <v>17.88</v>
      </c>
      <c r="H239" s="78">
        <v>0</v>
      </c>
    </row>
    <row r="240" spans="1:8" x14ac:dyDescent="0.25">
      <c r="A240" s="74"/>
      <c r="D240" s="75" t="s">
        <v>777</v>
      </c>
      <c r="E240" s="162" t="s">
        <v>772</v>
      </c>
      <c r="F240" s="162"/>
      <c r="G240" s="76">
        <v>17.88</v>
      </c>
      <c r="H240" s="77"/>
    </row>
    <row r="241" spans="1:8" x14ac:dyDescent="0.25">
      <c r="A241" s="2" t="s">
        <v>466</v>
      </c>
      <c r="B241" s="3" t="s">
        <v>50</v>
      </c>
      <c r="C241" s="3" t="s">
        <v>467</v>
      </c>
      <c r="D241" s="111" t="s">
        <v>468</v>
      </c>
      <c r="E241" s="111"/>
      <c r="F241" s="3" t="s">
        <v>64</v>
      </c>
      <c r="G241" s="30">
        <v>50.4758</v>
      </c>
      <c r="H241" s="78">
        <v>0</v>
      </c>
    </row>
    <row r="242" spans="1:8" x14ac:dyDescent="0.25">
      <c r="A242" s="74"/>
      <c r="D242" s="75" t="s">
        <v>769</v>
      </c>
      <c r="E242" s="162" t="s">
        <v>770</v>
      </c>
      <c r="F242" s="162"/>
      <c r="G242" s="76">
        <v>7.73</v>
      </c>
      <c r="H242" s="77"/>
    </row>
    <row r="243" spans="1:8" x14ac:dyDescent="0.25">
      <c r="A243" s="2" t="s">
        <v>50</v>
      </c>
      <c r="B243" s="3" t="s">
        <v>50</v>
      </c>
      <c r="C243" s="3" t="s">
        <v>50</v>
      </c>
      <c r="D243" s="75" t="s">
        <v>773</v>
      </c>
      <c r="E243" s="162" t="s">
        <v>772</v>
      </c>
      <c r="F243" s="162"/>
      <c r="G243" s="76">
        <v>42.745800000000003</v>
      </c>
      <c r="H243" s="79" t="s">
        <v>50</v>
      </c>
    </row>
    <row r="244" spans="1:8" x14ac:dyDescent="0.25">
      <c r="A244" s="2" t="s">
        <v>469</v>
      </c>
      <c r="B244" s="3" t="s">
        <v>50</v>
      </c>
      <c r="C244" s="3" t="s">
        <v>470</v>
      </c>
      <c r="D244" s="111" t="s">
        <v>471</v>
      </c>
      <c r="E244" s="111"/>
      <c r="F244" s="3" t="s">
        <v>64</v>
      </c>
      <c r="G244" s="30">
        <v>7.73</v>
      </c>
      <c r="H244" s="78">
        <v>0</v>
      </c>
    </row>
    <row r="245" spans="1:8" x14ac:dyDescent="0.25">
      <c r="A245" s="74"/>
      <c r="D245" s="75" t="s">
        <v>769</v>
      </c>
      <c r="E245" s="162" t="s">
        <v>770</v>
      </c>
      <c r="F245" s="162"/>
      <c r="G245" s="76">
        <v>7.73</v>
      </c>
      <c r="H245" s="77"/>
    </row>
    <row r="246" spans="1:8" x14ac:dyDescent="0.25">
      <c r="A246" s="2" t="s">
        <v>473</v>
      </c>
      <c r="B246" s="3" t="s">
        <v>50</v>
      </c>
      <c r="C246" s="3" t="s">
        <v>474</v>
      </c>
      <c r="D246" s="111" t="s">
        <v>475</v>
      </c>
      <c r="E246" s="111"/>
      <c r="F246" s="3" t="s">
        <v>97</v>
      </c>
      <c r="G246" s="30">
        <v>0.46379999999999999</v>
      </c>
      <c r="H246" s="78">
        <v>0</v>
      </c>
    </row>
    <row r="247" spans="1:8" x14ac:dyDescent="0.25">
      <c r="A247" s="74"/>
      <c r="D247" s="75" t="s">
        <v>778</v>
      </c>
      <c r="E247" s="162" t="s">
        <v>770</v>
      </c>
      <c r="F247" s="162"/>
      <c r="G247" s="76">
        <v>0.46379999999999999</v>
      </c>
      <c r="H247" s="77"/>
    </row>
    <row r="248" spans="1:8" x14ac:dyDescent="0.25">
      <c r="A248" s="2" t="s">
        <v>476</v>
      </c>
      <c r="B248" s="3" t="s">
        <v>50</v>
      </c>
      <c r="C248" s="3" t="s">
        <v>477</v>
      </c>
      <c r="D248" s="111" t="s">
        <v>478</v>
      </c>
      <c r="E248" s="111"/>
      <c r="F248" s="3" t="s">
        <v>64</v>
      </c>
      <c r="G248" s="30">
        <v>7.73</v>
      </c>
      <c r="H248" s="78">
        <v>0</v>
      </c>
    </row>
    <row r="249" spans="1:8" x14ac:dyDescent="0.25">
      <c r="A249" s="74"/>
      <c r="D249" s="75" t="s">
        <v>769</v>
      </c>
      <c r="E249" s="162" t="s">
        <v>770</v>
      </c>
      <c r="F249" s="162"/>
      <c r="G249" s="76">
        <v>7.73</v>
      </c>
      <c r="H249" s="77"/>
    </row>
    <row r="250" spans="1:8" x14ac:dyDescent="0.25">
      <c r="A250" s="2" t="s">
        <v>479</v>
      </c>
      <c r="B250" s="3" t="s">
        <v>50</v>
      </c>
      <c r="C250" s="3" t="s">
        <v>480</v>
      </c>
      <c r="D250" s="111" t="s">
        <v>481</v>
      </c>
      <c r="E250" s="111"/>
      <c r="F250" s="3" t="s">
        <v>64</v>
      </c>
      <c r="G250" s="30">
        <v>8.5030000000000001</v>
      </c>
      <c r="H250" s="78">
        <v>0</v>
      </c>
    </row>
    <row r="251" spans="1:8" x14ac:dyDescent="0.25">
      <c r="A251" s="74"/>
      <c r="D251" s="75" t="s">
        <v>769</v>
      </c>
      <c r="E251" s="162" t="s">
        <v>770</v>
      </c>
      <c r="F251" s="162"/>
      <c r="G251" s="76">
        <v>7.73</v>
      </c>
      <c r="H251" s="77"/>
    </row>
    <row r="252" spans="1:8" x14ac:dyDescent="0.25">
      <c r="A252" s="2" t="s">
        <v>50</v>
      </c>
      <c r="B252" s="3" t="s">
        <v>50</v>
      </c>
      <c r="C252" s="3" t="s">
        <v>50</v>
      </c>
      <c r="D252" s="75" t="s">
        <v>779</v>
      </c>
      <c r="E252" s="162" t="s">
        <v>50</v>
      </c>
      <c r="F252" s="162"/>
      <c r="G252" s="76">
        <v>0.77300000000000002</v>
      </c>
      <c r="H252" s="79" t="s">
        <v>50</v>
      </c>
    </row>
    <row r="253" spans="1:8" x14ac:dyDescent="0.25">
      <c r="A253" s="2" t="s">
        <v>482</v>
      </c>
      <c r="B253" s="3" t="s">
        <v>50</v>
      </c>
      <c r="C253" s="3" t="s">
        <v>483</v>
      </c>
      <c r="D253" s="111" t="s">
        <v>484</v>
      </c>
      <c r="E253" s="111"/>
      <c r="F253" s="3" t="s">
        <v>64</v>
      </c>
      <c r="G253" s="30">
        <v>7.73</v>
      </c>
      <c r="H253" s="78">
        <v>0</v>
      </c>
    </row>
    <row r="254" spans="1:8" x14ac:dyDescent="0.25">
      <c r="A254" s="74"/>
      <c r="D254" s="75" t="s">
        <v>769</v>
      </c>
      <c r="E254" s="162" t="s">
        <v>770</v>
      </c>
      <c r="F254" s="162"/>
      <c r="G254" s="76">
        <v>7.73</v>
      </c>
      <c r="H254" s="77"/>
    </row>
    <row r="255" spans="1:8" x14ac:dyDescent="0.25">
      <c r="A255" s="2" t="s">
        <v>486</v>
      </c>
      <c r="B255" s="3" t="s">
        <v>50</v>
      </c>
      <c r="C255" s="3" t="s">
        <v>487</v>
      </c>
      <c r="D255" s="111" t="s">
        <v>488</v>
      </c>
      <c r="E255" s="111"/>
      <c r="F255" s="3" t="s">
        <v>64</v>
      </c>
      <c r="G255" s="30">
        <v>8.5030000000000001</v>
      </c>
      <c r="H255" s="78">
        <v>0</v>
      </c>
    </row>
    <row r="256" spans="1:8" x14ac:dyDescent="0.25">
      <c r="A256" s="74"/>
      <c r="D256" s="75" t="s">
        <v>769</v>
      </c>
      <c r="E256" s="162" t="s">
        <v>770</v>
      </c>
      <c r="F256" s="162"/>
      <c r="G256" s="76">
        <v>7.73</v>
      </c>
      <c r="H256" s="77"/>
    </row>
    <row r="257" spans="1:8" x14ac:dyDescent="0.25">
      <c r="A257" s="2" t="s">
        <v>50</v>
      </c>
      <c r="B257" s="3" t="s">
        <v>50</v>
      </c>
      <c r="C257" s="3" t="s">
        <v>50</v>
      </c>
      <c r="D257" s="75" t="s">
        <v>779</v>
      </c>
      <c r="E257" s="162" t="s">
        <v>50</v>
      </c>
      <c r="F257" s="162"/>
      <c r="G257" s="76">
        <v>0.77300000000000002</v>
      </c>
      <c r="H257" s="79" t="s">
        <v>50</v>
      </c>
    </row>
    <row r="258" spans="1:8" x14ac:dyDescent="0.25">
      <c r="A258" s="2" t="s">
        <v>489</v>
      </c>
      <c r="B258" s="3" t="s">
        <v>50</v>
      </c>
      <c r="C258" s="3" t="s">
        <v>490</v>
      </c>
      <c r="D258" s="111" t="s">
        <v>491</v>
      </c>
      <c r="E258" s="111"/>
      <c r="F258" s="3" t="s">
        <v>64</v>
      </c>
      <c r="G258" s="30">
        <v>7.73</v>
      </c>
      <c r="H258" s="78">
        <v>0</v>
      </c>
    </row>
    <row r="259" spans="1:8" x14ac:dyDescent="0.25">
      <c r="A259" s="74"/>
      <c r="D259" s="75" t="s">
        <v>769</v>
      </c>
      <c r="E259" s="162" t="s">
        <v>770</v>
      </c>
      <c r="F259" s="162"/>
      <c r="G259" s="76">
        <v>7.73</v>
      </c>
      <c r="H259" s="77"/>
    </row>
    <row r="260" spans="1:8" x14ac:dyDescent="0.25">
      <c r="A260" s="2" t="s">
        <v>492</v>
      </c>
      <c r="B260" s="3" t="s">
        <v>50</v>
      </c>
      <c r="C260" s="3" t="s">
        <v>493</v>
      </c>
      <c r="D260" s="111" t="s">
        <v>494</v>
      </c>
      <c r="E260" s="111"/>
      <c r="F260" s="3" t="s">
        <v>64</v>
      </c>
      <c r="G260" s="30">
        <v>7.73</v>
      </c>
      <c r="H260" s="78">
        <v>0</v>
      </c>
    </row>
    <row r="261" spans="1:8" x14ac:dyDescent="0.25">
      <c r="A261" s="74"/>
      <c r="D261" s="75" t="s">
        <v>769</v>
      </c>
      <c r="E261" s="162" t="s">
        <v>770</v>
      </c>
      <c r="F261" s="162"/>
      <c r="G261" s="76">
        <v>7.73</v>
      </c>
      <c r="H261" s="77"/>
    </row>
    <row r="262" spans="1:8" x14ac:dyDescent="0.25">
      <c r="A262" s="2" t="s">
        <v>495</v>
      </c>
      <c r="B262" s="3" t="s">
        <v>50</v>
      </c>
      <c r="C262" s="3" t="s">
        <v>496</v>
      </c>
      <c r="D262" s="111" t="s">
        <v>497</v>
      </c>
      <c r="E262" s="111"/>
      <c r="F262" s="3" t="s">
        <v>56</v>
      </c>
      <c r="G262" s="30">
        <v>1</v>
      </c>
      <c r="H262" s="78">
        <v>0</v>
      </c>
    </row>
    <row r="263" spans="1:8" x14ac:dyDescent="0.25">
      <c r="A263" s="74"/>
      <c r="D263" s="75" t="s">
        <v>53</v>
      </c>
      <c r="E263" s="162" t="s">
        <v>50</v>
      </c>
      <c r="F263" s="162"/>
      <c r="G263" s="76">
        <v>1</v>
      </c>
      <c r="H263" s="77"/>
    </row>
    <row r="264" spans="1:8" x14ac:dyDescent="0.25">
      <c r="A264" s="2" t="s">
        <v>498</v>
      </c>
      <c r="B264" s="3" t="s">
        <v>50</v>
      </c>
      <c r="C264" s="3" t="s">
        <v>499</v>
      </c>
      <c r="D264" s="111" t="s">
        <v>500</v>
      </c>
      <c r="E264" s="111"/>
      <c r="F264" s="3" t="s">
        <v>76</v>
      </c>
      <c r="G264" s="30">
        <v>14.46</v>
      </c>
      <c r="H264" s="78">
        <v>0</v>
      </c>
    </row>
    <row r="265" spans="1:8" x14ac:dyDescent="0.25">
      <c r="A265" s="74"/>
      <c r="D265" s="75" t="s">
        <v>780</v>
      </c>
      <c r="E265" s="162" t="s">
        <v>781</v>
      </c>
      <c r="F265" s="162"/>
      <c r="G265" s="76">
        <v>14.46</v>
      </c>
      <c r="H265" s="77"/>
    </row>
    <row r="266" spans="1:8" x14ac:dyDescent="0.25">
      <c r="A266" s="2" t="s">
        <v>501</v>
      </c>
      <c r="B266" s="3" t="s">
        <v>50</v>
      </c>
      <c r="C266" s="3" t="s">
        <v>502</v>
      </c>
      <c r="D266" s="111" t="s">
        <v>503</v>
      </c>
      <c r="E266" s="111"/>
      <c r="F266" s="3" t="s">
        <v>64</v>
      </c>
      <c r="G266" s="30">
        <v>7.73</v>
      </c>
      <c r="H266" s="78">
        <v>0</v>
      </c>
    </row>
    <row r="267" spans="1:8" x14ac:dyDescent="0.25">
      <c r="A267" s="74"/>
      <c r="D267" s="75" t="s">
        <v>769</v>
      </c>
      <c r="E267" s="162" t="s">
        <v>770</v>
      </c>
      <c r="F267" s="162"/>
      <c r="G267" s="76">
        <v>7.73</v>
      </c>
      <c r="H267" s="77"/>
    </row>
    <row r="268" spans="1:8" x14ac:dyDescent="0.25">
      <c r="A268" s="2" t="s">
        <v>504</v>
      </c>
      <c r="B268" s="3" t="s">
        <v>50</v>
      </c>
      <c r="C268" s="3" t="s">
        <v>505</v>
      </c>
      <c r="D268" s="111" t="s">
        <v>506</v>
      </c>
      <c r="E268" s="111"/>
      <c r="F268" s="3" t="s">
        <v>86</v>
      </c>
      <c r="G268" s="30">
        <v>9.2196999999999996</v>
      </c>
      <c r="H268" s="78">
        <v>0</v>
      </c>
    </row>
    <row r="269" spans="1:8" x14ac:dyDescent="0.25">
      <c r="A269" s="2" t="s">
        <v>509</v>
      </c>
      <c r="B269" s="3" t="s">
        <v>50</v>
      </c>
      <c r="C269" s="3" t="s">
        <v>510</v>
      </c>
      <c r="D269" s="111" t="s">
        <v>511</v>
      </c>
      <c r="E269" s="111"/>
      <c r="F269" s="3" t="s">
        <v>64</v>
      </c>
      <c r="G269" s="30">
        <v>45.2</v>
      </c>
      <c r="H269" s="78">
        <v>0</v>
      </c>
    </row>
    <row r="270" spans="1:8" x14ac:dyDescent="0.25">
      <c r="A270" s="74"/>
      <c r="D270" s="75" t="s">
        <v>782</v>
      </c>
      <c r="E270" s="162" t="s">
        <v>783</v>
      </c>
      <c r="F270" s="162"/>
      <c r="G270" s="76">
        <v>23.2</v>
      </c>
      <c r="H270" s="77"/>
    </row>
    <row r="271" spans="1:8" x14ac:dyDescent="0.25">
      <c r="A271" s="2" t="s">
        <v>50</v>
      </c>
      <c r="B271" s="3" t="s">
        <v>50</v>
      </c>
      <c r="C271" s="3" t="s">
        <v>50</v>
      </c>
      <c r="D271" s="75" t="s">
        <v>784</v>
      </c>
      <c r="E271" s="162" t="s">
        <v>785</v>
      </c>
      <c r="F271" s="162"/>
      <c r="G271" s="76">
        <v>22</v>
      </c>
      <c r="H271" s="79" t="s">
        <v>50</v>
      </c>
    </row>
    <row r="272" spans="1:8" x14ac:dyDescent="0.25">
      <c r="A272" s="2" t="s">
        <v>515</v>
      </c>
      <c r="B272" s="3" t="s">
        <v>50</v>
      </c>
      <c r="C272" s="3" t="s">
        <v>516</v>
      </c>
      <c r="D272" s="111" t="s">
        <v>517</v>
      </c>
      <c r="E272" s="111"/>
      <c r="F272" s="3" t="s">
        <v>64</v>
      </c>
      <c r="G272" s="30">
        <v>45.2</v>
      </c>
      <c r="H272" s="78">
        <v>0</v>
      </c>
    </row>
    <row r="273" spans="1:8" x14ac:dyDescent="0.25">
      <c r="A273" s="74"/>
      <c r="D273" s="75" t="s">
        <v>782</v>
      </c>
      <c r="E273" s="162" t="s">
        <v>783</v>
      </c>
      <c r="F273" s="162"/>
      <c r="G273" s="76">
        <v>23.2</v>
      </c>
      <c r="H273" s="77"/>
    </row>
    <row r="274" spans="1:8" x14ac:dyDescent="0.25">
      <c r="A274" s="2" t="s">
        <v>50</v>
      </c>
      <c r="B274" s="3" t="s">
        <v>50</v>
      </c>
      <c r="C274" s="3" t="s">
        <v>50</v>
      </c>
      <c r="D274" s="75" t="s">
        <v>784</v>
      </c>
      <c r="E274" s="162" t="s">
        <v>785</v>
      </c>
      <c r="F274" s="162"/>
      <c r="G274" s="76">
        <v>22</v>
      </c>
      <c r="H274" s="79" t="s">
        <v>50</v>
      </c>
    </row>
    <row r="275" spans="1:8" x14ac:dyDescent="0.25">
      <c r="A275" s="2" t="s">
        <v>518</v>
      </c>
      <c r="B275" s="3" t="s">
        <v>50</v>
      </c>
      <c r="C275" s="3" t="s">
        <v>519</v>
      </c>
      <c r="D275" s="111" t="s">
        <v>520</v>
      </c>
      <c r="E275" s="111"/>
      <c r="F275" s="3" t="s">
        <v>64</v>
      </c>
      <c r="G275" s="30">
        <v>5.25</v>
      </c>
      <c r="H275" s="78">
        <v>0</v>
      </c>
    </row>
    <row r="276" spans="1:8" x14ac:dyDescent="0.25">
      <c r="A276" s="74"/>
      <c r="D276" s="75" t="s">
        <v>786</v>
      </c>
      <c r="E276" s="162" t="s">
        <v>787</v>
      </c>
      <c r="F276" s="162"/>
      <c r="G276" s="76">
        <v>5.25</v>
      </c>
      <c r="H276" s="77"/>
    </row>
    <row r="277" spans="1:8" x14ac:dyDescent="0.25">
      <c r="A277" s="2" t="s">
        <v>524</v>
      </c>
      <c r="B277" s="3" t="s">
        <v>50</v>
      </c>
      <c r="C277" s="3" t="s">
        <v>525</v>
      </c>
      <c r="D277" s="111" t="s">
        <v>526</v>
      </c>
      <c r="E277" s="111"/>
      <c r="F277" s="3" t="s">
        <v>64</v>
      </c>
      <c r="G277" s="30">
        <v>303.67230999999998</v>
      </c>
      <c r="H277" s="78">
        <v>0</v>
      </c>
    </row>
    <row r="278" spans="1:8" x14ac:dyDescent="0.25">
      <c r="A278" s="74"/>
      <c r="D278" s="75" t="s">
        <v>788</v>
      </c>
      <c r="E278" s="162" t="s">
        <v>789</v>
      </c>
      <c r="F278" s="162"/>
      <c r="G278" s="76">
        <v>24.127400000000002</v>
      </c>
      <c r="H278" s="77"/>
    </row>
    <row r="279" spans="1:8" x14ac:dyDescent="0.25">
      <c r="A279" s="2" t="s">
        <v>50</v>
      </c>
      <c r="B279" s="3" t="s">
        <v>50</v>
      </c>
      <c r="C279" s="3" t="s">
        <v>50</v>
      </c>
      <c r="D279" s="75" t="s">
        <v>790</v>
      </c>
      <c r="E279" s="162" t="s">
        <v>791</v>
      </c>
      <c r="F279" s="162"/>
      <c r="G279" s="76">
        <v>10.790800000000001</v>
      </c>
      <c r="H279" s="79" t="s">
        <v>50</v>
      </c>
    </row>
    <row r="280" spans="1:8" x14ac:dyDescent="0.25">
      <c r="A280" s="2" t="s">
        <v>50</v>
      </c>
      <c r="B280" s="3" t="s">
        <v>50</v>
      </c>
      <c r="C280" s="3" t="s">
        <v>50</v>
      </c>
      <c r="D280" s="75" t="s">
        <v>792</v>
      </c>
      <c r="E280" s="162" t="s">
        <v>793</v>
      </c>
      <c r="F280" s="162"/>
      <c r="G280" s="76">
        <v>35.332859999999997</v>
      </c>
      <c r="H280" s="79" t="s">
        <v>50</v>
      </c>
    </row>
    <row r="281" spans="1:8" x14ac:dyDescent="0.25">
      <c r="A281" s="2" t="s">
        <v>50</v>
      </c>
      <c r="B281" s="3" t="s">
        <v>50</v>
      </c>
      <c r="C281" s="3" t="s">
        <v>50</v>
      </c>
      <c r="D281" s="75" t="s">
        <v>794</v>
      </c>
      <c r="E281" s="162" t="s">
        <v>795</v>
      </c>
      <c r="F281" s="162"/>
      <c r="G281" s="76">
        <v>7.7306499999999998</v>
      </c>
      <c r="H281" s="79" t="s">
        <v>50</v>
      </c>
    </row>
    <row r="282" spans="1:8" x14ac:dyDescent="0.25">
      <c r="A282" s="2" t="s">
        <v>50</v>
      </c>
      <c r="B282" s="3" t="s">
        <v>50</v>
      </c>
      <c r="C282" s="3" t="s">
        <v>50</v>
      </c>
      <c r="D282" s="75" t="s">
        <v>796</v>
      </c>
      <c r="E282" s="162" t="s">
        <v>797</v>
      </c>
      <c r="F282" s="162"/>
      <c r="G282" s="76">
        <v>51.923999999999999</v>
      </c>
      <c r="H282" s="79" t="s">
        <v>50</v>
      </c>
    </row>
    <row r="283" spans="1:8" x14ac:dyDescent="0.25">
      <c r="A283" s="2" t="s">
        <v>50</v>
      </c>
      <c r="B283" s="3" t="s">
        <v>50</v>
      </c>
      <c r="C283" s="3" t="s">
        <v>50</v>
      </c>
      <c r="D283" s="75" t="s">
        <v>798</v>
      </c>
      <c r="E283" s="162" t="s">
        <v>799</v>
      </c>
      <c r="F283" s="162"/>
      <c r="G283" s="76">
        <v>45.083199999999998</v>
      </c>
      <c r="H283" s="79" t="s">
        <v>50</v>
      </c>
    </row>
    <row r="284" spans="1:8" x14ac:dyDescent="0.25">
      <c r="A284" s="2" t="s">
        <v>50</v>
      </c>
      <c r="B284" s="3" t="s">
        <v>50</v>
      </c>
      <c r="C284" s="3" t="s">
        <v>50</v>
      </c>
      <c r="D284" s="75" t="s">
        <v>800</v>
      </c>
      <c r="E284" s="162" t="s">
        <v>801</v>
      </c>
      <c r="F284" s="162"/>
      <c r="G284" s="76">
        <v>44.333399999999997</v>
      </c>
      <c r="H284" s="79" t="s">
        <v>50</v>
      </c>
    </row>
    <row r="285" spans="1:8" x14ac:dyDescent="0.25">
      <c r="A285" s="2" t="s">
        <v>50</v>
      </c>
      <c r="B285" s="3" t="s">
        <v>50</v>
      </c>
      <c r="C285" s="3" t="s">
        <v>50</v>
      </c>
      <c r="D285" s="75" t="s">
        <v>802</v>
      </c>
      <c r="E285" s="162" t="s">
        <v>803</v>
      </c>
      <c r="F285" s="162"/>
      <c r="G285" s="76">
        <v>84.35</v>
      </c>
      <c r="H285" s="79" t="s">
        <v>50</v>
      </c>
    </row>
    <row r="286" spans="1:8" x14ac:dyDescent="0.25">
      <c r="A286" s="2" t="s">
        <v>529</v>
      </c>
      <c r="B286" s="3" t="s">
        <v>50</v>
      </c>
      <c r="C286" s="3" t="s">
        <v>530</v>
      </c>
      <c r="D286" s="111" t="s">
        <v>531</v>
      </c>
      <c r="E286" s="111"/>
      <c r="F286" s="3" t="s">
        <v>56</v>
      </c>
      <c r="G286" s="30">
        <v>1</v>
      </c>
      <c r="H286" s="78">
        <v>0</v>
      </c>
    </row>
    <row r="287" spans="1:8" x14ac:dyDescent="0.25">
      <c r="A287" s="74"/>
      <c r="D287" s="75" t="s">
        <v>53</v>
      </c>
      <c r="E287" s="162" t="s">
        <v>804</v>
      </c>
      <c r="F287" s="162"/>
      <c r="G287" s="76">
        <v>1</v>
      </c>
      <c r="H287" s="77"/>
    </row>
    <row r="288" spans="1:8" x14ac:dyDescent="0.25">
      <c r="A288" s="2" t="s">
        <v>534</v>
      </c>
      <c r="B288" s="3" t="s">
        <v>50</v>
      </c>
      <c r="C288" s="3" t="s">
        <v>535</v>
      </c>
      <c r="D288" s="111" t="s">
        <v>536</v>
      </c>
      <c r="E288" s="111"/>
      <c r="F288" s="3" t="s">
        <v>56</v>
      </c>
      <c r="G288" s="30">
        <v>1</v>
      </c>
      <c r="H288" s="78">
        <v>0</v>
      </c>
    </row>
    <row r="289" spans="1:8" x14ac:dyDescent="0.25">
      <c r="A289" s="74"/>
      <c r="D289" s="75" t="s">
        <v>53</v>
      </c>
      <c r="E289" s="162" t="s">
        <v>804</v>
      </c>
      <c r="F289" s="162"/>
      <c r="G289" s="76">
        <v>1</v>
      </c>
      <c r="H289" s="77"/>
    </row>
    <row r="290" spans="1:8" x14ac:dyDescent="0.25">
      <c r="A290" s="2" t="s">
        <v>537</v>
      </c>
      <c r="B290" s="3" t="s">
        <v>50</v>
      </c>
      <c r="C290" s="3" t="s">
        <v>538</v>
      </c>
      <c r="D290" s="111" t="s">
        <v>539</v>
      </c>
      <c r="E290" s="111"/>
      <c r="F290" s="3" t="s">
        <v>56</v>
      </c>
      <c r="G290" s="30">
        <v>1</v>
      </c>
      <c r="H290" s="78">
        <v>0</v>
      </c>
    </row>
    <row r="291" spans="1:8" x14ac:dyDescent="0.25">
      <c r="A291" s="74"/>
      <c r="D291" s="75" t="s">
        <v>53</v>
      </c>
      <c r="E291" s="162" t="s">
        <v>804</v>
      </c>
      <c r="F291" s="162"/>
      <c r="G291" s="76">
        <v>1</v>
      </c>
      <c r="H291" s="77"/>
    </row>
    <row r="292" spans="1:8" x14ac:dyDescent="0.25">
      <c r="A292" s="2" t="s">
        <v>540</v>
      </c>
      <c r="B292" s="3" t="s">
        <v>50</v>
      </c>
      <c r="C292" s="3" t="s">
        <v>541</v>
      </c>
      <c r="D292" s="111" t="s">
        <v>542</v>
      </c>
      <c r="E292" s="111"/>
      <c r="F292" s="3" t="s">
        <v>56</v>
      </c>
      <c r="G292" s="30">
        <v>1</v>
      </c>
      <c r="H292" s="78">
        <v>0</v>
      </c>
    </row>
    <row r="293" spans="1:8" x14ac:dyDescent="0.25">
      <c r="A293" s="74"/>
      <c r="D293" s="75" t="s">
        <v>53</v>
      </c>
      <c r="E293" s="162" t="s">
        <v>805</v>
      </c>
      <c r="F293" s="162"/>
      <c r="G293" s="76">
        <v>1</v>
      </c>
      <c r="H293" s="77"/>
    </row>
    <row r="294" spans="1:8" x14ac:dyDescent="0.25">
      <c r="A294" s="2" t="s">
        <v>545</v>
      </c>
      <c r="B294" s="3" t="s">
        <v>50</v>
      </c>
      <c r="C294" s="3" t="s">
        <v>546</v>
      </c>
      <c r="D294" s="111" t="s">
        <v>547</v>
      </c>
      <c r="E294" s="111"/>
      <c r="F294" s="3" t="s">
        <v>548</v>
      </c>
      <c r="G294" s="30">
        <v>1</v>
      </c>
      <c r="H294" s="78">
        <v>0</v>
      </c>
    </row>
    <row r="295" spans="1:8" x14ac:dyDescent="0.25">
      <c r="A295" s="74"/>
      <c r="D295" s="75" t="s">
        <v>53</v>
      </c>
      <c r="E295" s="162" t="s">
        <v>50</v>
      </c>
      <c r="F295" s="162"/>
      <c r="G295" s="76">
        <v>1</v>
      </c>
      <c r="H295" s="77"/>
    </row>
    <row r="296" spans="1:8" x14ac:dyDescent="0.25">
      <c r="A296" s="2" t="s">
        <v>550</v>
      </c>
      <c r="B296" s="3" t="s">
        <v>50</v>
      </c>
      <c r="C296" s="3" t="s">
        <v>551</v>
      </c>
      <c r="D296" s="111" t="s">
        <v>552</v>
      </c>
      <c r="E296" s="111"/>
      <c r="F296" s="3" t="s">
        <v>56</v>
      </c>
      <c r="G296" s="30">
        <v>1</v>
      </c>
      <c r="H296" s="78">
        <v>0</v>
      </c>
    </row>
    <row r="297" spans="1:8" x14ac:dyDescent="0.25">
      <c r="A297" s="74"/>
      <c r="D297" s="75" t="s">
        <v>53</v>
      </c>
      <c r="E297" s="162" t="s">
        <v>740</v>
      </c>
      <c r="F297" s="162"/>
      <c r="G297" s="76">
        <v>1</v>
      </c>
      <c r="H297" s="77"/>
    </row>
    <row r="298" spans="1:8" x14ac:dyDescent="0.25">
      <c r="A298" s="2" t="s">
        <v>553</v>
      </c>
      <c r="B298" s="3" t="s">
        <v>50</v>
      </c>
      <c r="C298" s="3" t="s">
        <v>554</v>
      </c>
      <c r="D298" s="111" t="s">
        <v>555</v>
      </c>
      <c r="E298" s="111"/>
      <c r="F298" s="3" t="s">
        <v>56</v>
      </c>
      <c r="G298" s="30">
        <v>1</v>
      </c>
      <c r="H298" s="78">
        <v>0</v>
      </c>
    </row>
    <row r="299" spans="1:8" x14ac:dyDescent="0.25">
      <c r="A299" s="74"/>
      <c r="D299" s="75" t="s">
        <v>53</v>
      </c>
      <c r="E299" s="162" t="s">
        <v>740</v>
      </c>
      <c r="F299" s="162"/>
      <c r="G299" s="76">
        <v>1</v>
      </c>
      <c r="H299" s="77"/>
    </row>
    <row r="300" spans="1:8" x14ac:dyDescent="0.25">
      <c r="A300" s="2" t="s">
        <v>556</v>
      </c>
      <c r="B300" s="3" t="s">
        <v>50</v>
      </c>
      <c r="C300" s="3" t="s">
        <v>557</v>
      </c>
      <c r="D300" s="111" t="s">
        <v>558</v>
      </c>
      <c r="E300" s="111"/>
      <c r="F300" s="3" t="s">
        <v>56</v>
      </c>
      <c r="G300" s="30">
        <v>1</v>
      </c>
      <c r="H300" s="78">
        <v>0</v>
      </c>
    </row>
    <row r="301" spans="1:8" x14ac:dyDescent="0.25">
      <c r="A301" s="74"/>
      <c r="D301" s="75" t="s">
        <v>53</v>
      </c>
      <c r="E301" s="162" t="s">
        <v>740</v>
      </c>
      <c r="F301" s="162"/>
      <c r="G301" s="76">
        <v>1</v>
      </c>
      <c r="H301" s="77"/>
    </row>
    <row r="302" spans="1:8" x14ac:dyDescent="0.25">
      <c r="A302" s="2" t="s">
        <v>559</v>
      </c>
      <c r="B302" s="3" t="s">
        <v>50</v>
      </c>
      <c r="C302" s="3" t="s">
        <v>560</v>
      </c>
      <c r="D302" s="111" t="s">
        <v>561</v>
      </c>
      <c r="E302" s="111"/>
      <c r="F302" s="3" t="s">
        <v>56</v>
      </c>
      <c r="G302" s="30">
        <v>1</v>
      </c>
      <c r="H302" s="78">
        <v>0</v>
      </c>
    </row>
    <row r="303" spans="1:8" x14ac:dyDescent="0.25">
      <c r="A303" s="74"/>
      <c r="D303" s="75" t="s">
        <v>53</v>
      </c>
      <c r="E303" s="162" t="s">
        <v>740</v>
      </c>
      <c r="F303" s="162"/>
      <c r="G303" s="76">
        <v>1</v>
      </c>
      <c r="H303" s="77"/>
    </row>
    <row r="304" spans="1:8" x14ac:dyDescent="0.25">
      <c r="A304" s="2" t="s">
        <v>562</v>
      </c>
      <c r="B304" s="3" t="s">
        <v>50</v>
      </c>
      <c r="C304" s="3" t="s">
        <v>563</v>
      </c>
      <c r="D304" s="111" t="s">
        <v>564</v>
      </c>
      <c r="E304" s="111"/>
      <c r="F304" s="3" t="s">
        <v>56</v>
      </c>
      <c r="G304" s="30">
        <v>1</v>
      </c>
      <c r="H304" s="78">
        <v>0</v>
      </c>
    </row>
    <row r="305" spans="1:8" x14ac:dyDescent="0.25">
      <c r="A305" s="74"/>
      <c r="D305" s="75" t="s">
        <v>53</v>
      </c>
      <c r="E305" s="162" t="s">
        <v>740</v>
      </c>
      <c r="F305" s="162"/>
      <c r="G305" s="76">
        <v>1</v>
      </c>
      <c r="H305" s="77"/>
    </row>
    <row r="306" spans="1:8" x14ac:dyDescent="0.25">
      <c r="A306" s="2" t="s">
        <v>565</v>
      </c>
      <c r="B306" s="3" t="s">
        <v>50</v>
      </c>
      <c r="C306" s="3" t="s">
        <v>566</v>
      </c>
      <c r="D306" s="111" t="s">
        <v>567</v>
      </c>
      <c r="E306" s="111"/>
      <c r="F306" s="3" t="s">
        <v>56</v>
      </c>
      <c r="G306" s="30">
        <v>1</v>
      </c>
      <c r="H306" s="78">
        <v>0</v>
      </c>
    </row>
    <row r="307" spans="1:8" x14ac:dyDescent="0.25">
      <c r="A307" s="74"/>
      <c r="D307" s="75" t="s">
        <v>53</v>
      </c>
      <c r="E307" s="162" t="s">
        <v>740</v>
      </c>
      <c r="F307" s="162"/>
      <c r="G307" s="76">
        <v>1</v>
      </c>
      <c r="H307" s="77"/>
    </row>
    <row r="308" spans="1:8" x14ac:dyDescent="0.25">
      <c r="A308" s="2" t="s">
        <v>568</v>
      </c>
      <c r="B308" s="3" t="s">
        <v>50</v>
      </c>
      <c r="C308" s="3" t="s">
        <v>569</v>
      </c>
      <c r="D308" s="111" t="s">
        <v>570</v>
      </c>
      <c r="E308" s="111"/>
      <c r="F308" s="3" t="s">
        <v>56</v>
      </c>
      <c r="G308" s="30">
        <v>14</v>
      </c>
      <c r="H308" s="78">
        <v>0</v>
      </c>
    </row>
    <row r="309" spans="1:8" x14ac:dyDescent="0.25">
      <c r="A309" s="74"/>
      <c r="D309" s="75" t="s">
        <v>806</v>
      </c>
      <c r="E309" s="162" t="s">
        <v>740</v>
      </c>
      <c r="F309" s="162"/>
      <c r="G309" s="76">
        <v>14</v>
      </c>
      <c r="H309" s="77"/>
    </row>
    <row r="310" spans="1:8" x14ac:dyDescent="0.25">
      <c r="A310" s="2" t="s">
        <v>571</v>
      </c>
      <c r="B310" s="3" t="s">
        <v>50</v>
      </c>
      <c r="C310" s="3" t="s">
        <v>572</v>
      </c>
      <c r="D310" s="111" t="s">
        <v>573</v>
      </c>
      <c r="E310" s="111"/>
      <c r="F310" s="3" t="s">
        <v>56</v>
      </c>
      <c r="G310" s="30">
        <v>2</v>
      </c>
      <c r="H310" s="78">
        <v>0</v>
      </c>
    </row>
    <row r="311" spans="1:8" x14ac:dyDescent="0.25">
      <c r="A311" s="74"/>
      <c r="D311" s="75" t="s">
        <v>61</v>
      </c>
      <c r="E311" s="162" t="s">
        <v>740</v>
      </c>
      <c r="F311" s="162"/>
      <c r="G311" s="76">
        <v>2</v>
      </c>
      <c r="H311" s="77"/>
    </row>
    <row r="312" spans="1:8" x14ac:dyDescent="0.25">
      <c r="A312" s="2" t="s">
        <v>574</v>
      </c>
      <c r="B312" s="3" t="s">
        <v>50</v>
      </c>
      <c r="C312" s="3" t="s">
        <v>575</v>
      </c>
      <c r="D312" s="111" t="s">
        <v>576</v>
      </c>
      <c r="E312" s="111"/>
      <c r="F312" s="3" t="s">
        <v>56</v>
      </c>
      <c r="G312" s="30">
        <v>10</v>
      </c>
      <c r="H312" s="78">
        <v>0</v>
      </c>
    </row>
    <row r="313" spans="1:8" x14ac:dyDescent="0.25">
      <c r="A313" s="74"/>
      <c r="D313" s="75" t="s">
        <v>90</v>
      </c>
      <c r="E313" s="162" t="s">
        <v>740</v>
      </c>
      <c r="F313" s="162"/>
      <c r="G313" s="76">
        <v>10</v>
      </c>
      <c r="H313" s="77"/>
    </row>
    <row r="314" spans="1:8" x14ac:dyDescent="0.25">
      <c r="A314" s="2" t="s">
        <v>577</v>
      </c>
      <c r="B314" s="3" t="s">
        <v>50</v>
      </c>
      <c r="C314" s="3" t="s">
        <v>578</v>
      </c>
      <c r="D314" s="111" t="s">
        <v>579</v>
      </c>
      <c r="E314" s="111"/>
      <c r="F314" s="3" t="s">
        <v>56</v>
      </c>
      <c r="G314" s="30">
        <v>1</v>
      </c>
      <c r="H314" s="78">
        <v>0</v>
      </c>
    </row>
    <row r="315" spans="1:8" x14ac:dyDescent="0.25">
      <c r="A315" s="74"/>
      <c r="D315" s="75" t="s">
        <v>53</v>
      </c>
      <c r="E315" s="162" t="s">
        <v>740</v>
      </c>
      <c r="F315" s="162"/>
      <c r="G315" s="76">
        <v>1</v>
      </c>
      <c r="H315" s="77"/>
    </row>
    <row r="316" spans="1:8" x14ac:dyDescent="0.25">
      <c r="A316" s="2" t="s">
        <v>580</v>
      </c>
      <c r="B316" s="3" t="s">
        <v>50</v>
      </c>
      <c r="C316" s="3" t="s">
        <v>581</v>
      </c>
      <c r="D316" s="111" t="s">
        <v>582</v>
      </c>
      <c r="E316" s="111"/>
      <c r="F316" s="3" t="s">
        <v>56</v>
      </c>
      <c r="G316" s="30">
        <v>1</v>
      </c>
      <c r="H316" s="78">
        <v>0</v>
      </c>
    </row>
    <row r="317" spans="1:8" x14ac:dyDescent="0.25">
      <c r="A317" s="74"/>
      <c r="D317" s="75" t="s">
        <v>53</v>
      </c>
      <c r="E317" s="162" t="s">
        <v>740</v>
      </c>
      <c r="F317" s="162"/>
      <c r="G317" s="76">
        <v>1</v>
      </c>
      <c r="H317" s="77"/>
    </row>
    <row r="318" spans="1:8" x14ac:dyDescent="0.25">
      <c r="A318" s="2" t="s">
        <v>583</v>
      </c>
      <c r="B318" s="3" t="s">
        <v>50</v>
      </c>
      <c r="C318" s="3" t="s">
        <v>584</v>
      </c>
      <c r="D318" s="111" t="s">
        <v>585</v>
      </c>
      <c r="E318" s="111"/>
      <c r="F318" s="3" t="s">
        <v>56</v>
      </c>
      <c r="G318" s="30">
        <v>1</v>
      </c>
      <c r="H318" s="78">
        <v>0</v>
      </c>
    </row>
    <row r="319" spans="1:8" x14ac:dyDescent="0.25">
      <c r="A319" s="74"/>
      <c r="D319" s="75" t="s">
        <v>53</v>
      </c>
      <c r="E319" s="162" t="s">
        <v>740</v>
      </c>
      <c r="F319" s="162"/>
      <c r="G319" s="76">
        <v>1</v>
      </c>
      <c r="H319" s="77"/>
    </row>
    <row r="320" spans="1:8" x14ac:dyDescent="0.25">
      <c r="A320" s="2" t="s">
        <v>586</v>
      </c>
      <c r="B320" s="3" t="s">
        <v>50</v>
      </c>
      <c r="C320" s="3" t="s">
        <v>587</v>
      </c>
      <c r="D320" s="111" t="s">
        <v>588</v>
      </c>
      <c r="E320" s="111"/>
      <c r="F320" s="3" t="s">
        <v>56</v>
      </c>
      <c r="G320" s="30">
        <v>1</v>
      </c>
      <c r="H320" s="78">
        <v>0</v>
      </c>
    </row>
    <row r="321" spans="1:8" x14ac:dyDescent="0.25">
      <c r="A321" s="74"/>
      <c r="D321" s="75" t="s">
        <v>53</v>
      </c>
      <c r="E321" s="162" t="s">
        <v>740</v>
      </c>
      <c r="F321" s="162"/>
      <c r="G321" s="76">
        <v>1</v>
      </c>
      <c r="H321" s="77"/>
    </row>
    <row r="322" spans="1:8" x14ac:dyDescent="0.25">
      <c r="A322" s="2" t="s">
        <v>589</v>
      </c>
      <c r="B322" s="3" t="s">
        <v>50</v>
      </c>
      <c r="C322" s="3" t="s">
        <v>590</v>
      </c>
      <c r="D322" s="111" t="s">
        <v>591</v>
      </c>
      <c r="E322" s="111"/>
      <c r="F322" s="3" t="s">
        <v>56</v>
      </c>
      <c r="G322" s="30">
        <v>9</v>
      </c>
      <c r="H322" s="78">
        <v>0</v>
      </c>
    </row>
    <row r="323" spans="1:8" x14ac:dyDescent="0.25">
      <c r="A323" s="74"/>
      <c r="D323" s="75" t="s">
        <v>87</v>
      </c>
      <c r="E323" s="162" t="s">
        <v>740</v>
      </c>
      <c r="F323" s="162"/>
      <c r="G323" s="76">
        <v>9</v>
      </c>
      <c r="H323" s="77"/>
    </row>
    <row r="324" spans="1:8" x14ac:dyDescent="0.25">
      <c r="A324" s="2" t="s">
        <v>593</v>
      </c>
      <c r="B324" s="3" t="s">
        <v>50</v>
      </c>
      <c r="C324" s="3" t="s">
        <v>594</v>
      </c>
      <c r="D324" s="111" t="s">
        <v>595</v>
      </c>
      <c r="E324" s="111"/>
      <c r="F324" s="3" t="s">
        <v>56</v>
      </c>
      <c r="G324" s="30">
        <v>6</v>
      </c>
      <c r="H324" s="78">
        <v>0</v>
      </c>
    </row>
    <row r="325" spans="1:8" x14ac:dyDescent="0.25">
      <c r="A325" s="74"/>
      <c r="D325" s="75" t="s">
        <v>77</v>
      </c>
      <c r="E325" s="162" t="s">
        <v>740</v>
      </c>
      <c r="F325" s="162"/>
      <c r="G325" s="76">
        <v>6</v>
      </c>
      <c r="H325" s="77"/>
    </row>
    <row r="326" spans="1:8" x14ac:dyDescent="0.25">
      <c r="A326" s="2" t="s">
        <v>597</v>
      </c>
      <c r="B326" s="3" t="s">
        <v>50</v>
      </c>
      <c r="C326" s="3" t="s">
        <v>598</v>
      </c>
      <c r="D326" s="111" t="s">
        <v>599</v>
      </c>
      <c r="E326" s="111"/>
      <c r="F326" s="3" t="s">
        <v>56</v>
      </c>
      <c r="G326" s="30">
        <v>4</v>
      </c>
      <c r="H326" s="78">
        <v>0</v>
      </c>
    </row>
    <row r="327" spans="1:8" x14ac:dyDescent="0.25">
      <c r="A327" s="74"/>
      <c r="D327" s="75" t="s">
        <v>70</v>
      </c>
      <c r="E327" s="162" t="s">
        <v>740</v>
      </c>
      <c r="F327" s="162"/>
      <c r="G327" s="76">
        <v>4</v>
      </c>
      <c r="H327" s="77"/>
    </row>
    <row r="328" spans="1:8" x14ac:dyDescent="0.25">
      <c r="A328" s="2" t="s">
        <v>600</v>
      </c>
      <c r="B328" s="3" t="s">
        <v>50</v>
      </c>
      <c r="C328" s="3" t="s">
        <v>601</v>
      </c>
      <c r="D328" s="111" t="s">
        <v>602</v>
      </c>
      <c r="E328" s="111"/>
      <c r="F328" s="3" t="s">
        <v>56</v>
      </c>
      <c r="G328" s="30">
        <v>1</v>
      </c>
      <c r="H328" s="78">
        <v>0</v>
      </c>
    </row>
    <row r="329" spans="1:8" x14ac:dyDescent="0.25">
      <c r="A329" s="74"/>
      <c r="D329" s="75" t="s">
        <v>53</v>
      </c>
      <c r="E329" s="162" t="s">
        <v>740</v>
      </c>
      <c r="F329" s="162"/>
      <c r="G329" s="76">
        <v>1</v>
      </c>
      <c r="H329" s="77"/>
    </row>
    <row r="330" spans="1:8" x14ac:dyDescent="0.25">
      <c r="A330" s="2" t="s">
        <v>603</v>
      </c>
      <c r="B330" s="3" t="s">
        <v>50</v>
      </c>
      <c r="C330" s="3" t="s">
        <v>604</v>
      </c>
      <c r="D330" s="111" t="s">
        <v>605</v>
      </c>
      <c r="E330" s="111"/>
      <c r="F330" s="3" t="s">
        <v>56</v>
      </c>
      <c r="G330" s="30">
        <v>1</v>
      </c>
      <c r="H330" s="78">
        <v>0</v>
      </c>
    </row>
    <row r="331" spans="1:8" x14ac:dyDescent="0.25">
      <c r="A331" s="74"/>
      <c r="D331" s="75" t="s">
        <v>53</v>
      </c>
      <c r="E331" s="162" t="s">
        <v>740</v>
      </c>
      <c r="F331" s="162"/>
      <c r="G331" s="76">
        <v>1</v>
      </c>
      <c r="H331" s="77"/>
    </row>
    <row r="332" spans="1:8" x14ac:dyDescent="0.25">
      <c r="A332" s="2" t="s">
        <v>606</v>
      </c>
      <c r="B332" s="3" t="s">
        <v>50</v>
      </c>
      <c r="C332" s="3" t="s">
        <v>607</v>
      </c>
      <c r="D332" s="111" t="s">
        <v>608</v>
      </c>
      <c r="E332" s="111"/>
      <c r="F332" s="3" t="s">
        <v>56</v>
      </c>
      <c r="G332" s="30">
        <v>1</v>
      </c>
      <c r="H332" s="78">
        <v>0</v>
      </c>
    </row>
    <row r="333" spans="1:8" x14ac:dyDescent="0.25">
      <c r="A333" s="74"/>
      <c r="D333" s="75" t="s">
        <v>53</v>
      </c>
      <c r="E333" s="162" t="s">
        <v>740</v>
      </c>
      <c r="F333" s="162"/>
      <c r="G333" s="76">
        <v>1</v>
      </c>
      <c r="H333" s="77"/>
    </row>
    <row r="334" spans="1:8" x14ac:dyDescent="0.25">
      <c r="A334" s="2" t="s">
        <v>609</v>
      </c>
      <c r="B334" s="3" t="s">
        <v>50</v>
      </c>
      <c r="C334" s="3" t="s">
        <v>610</v>
      </c>
      <c r="D334" s="111" t="s">
        <v>611</v>
      </c>
      <c r="E334" s="111"/>
      <c r="F334" s="3" t="s">
        <v>56</v>
      </c>
      <c r="G334" s="30">
        <v>4</v>
      </c>
      <c r="H334" s="78">
        <v>0</v>
      </c>
    </row>
    <row r="335" spans="1:8" x14ac:dyDescent="0.25">
      <c r="A335" s="74"/>
      <c r="D335" s="75" t="s">
        <v>70</v>
      </c>
      <c r="E335" s="162" t="s">
        <v>740</v>
      </c>
      <c r="F335" s="162"/>
      <c r="G335" s="76">
        <v>4</v>
      </c>
      <c r="H335" s="77"/>
    </row>
    <row r="336" spans="1:8" x14ac:dyDescent="0.25">
      <c r="A336" s="2" t="s">
        <v>612</v>
      </c>
      <c r="B336" s="3" t="s">
        <v>50</v>
      </c>
      <c r="C336" s="3" t="s">
        <v>613</v>
      </c>
      <c r="D336" s="111" t="s">
        <v>614</v>
      </c>
      <c r="E336" s="111"/>
      <c r="F336" s="3" t="s">
        <v>56</v>
      </c>
      <c r="G336" s="30">
        <v>3</v>
      </c>
      <c r="H336" s="78">
        <v>0</v>
      </c>
    </row>
    <row r="337" spans="1:8" x14ac:dyDescent="0.25">
      <c r="A337" s="74"/>
      <c r="D337" s="75" t="s">
        <v>65</v>
      </c>
      <c r="E337" s="162" t="s">
        <v>740</v>
      </c>
      <c r="F337" s="162"/>
      <c r="G337" s="76">
        <v>3</v>
      </c>
      <c r="H337" s="77"/>
    </row>
    <row r="338" spans="1:8" x14ac:dyDescent="0.25">
      <c r="A338" s="2" t="s">
        <v>615</v>
      </c>
      <c r="B338" s="3" t="s">
        <v>50</v>
      </c>
      <c r="C338" s="3" t="s">
        <v>616</v>
      </c>
      <c r="D338" s="111" t="s">
        <v>617</v>
      </c>
      <c r="E338" s="111"/>
      <c r="F338" s="3" t="s">
        <v>56</v>
      </c>
      <c r="G338" s="30">
        <v>1</v>
      </c>
      <c r="H338" s="78">
        <v>0</v>
      </c>
    </row>
    <row r="339" spans="1:8" x14ac:dyDescent="0.25">
      <c r="A339" s="74"/>
      <c r="D339" s="75" t="s">
        <v>53</v>
      </c>
      <c r="E339" s="162" t="s">
        <v>50</v>
      </c>
      <c r="F339" s="162"/>
      <c r="G339" s="76">
        <v>1</v>
      </c>
      <c r="H339" s="77"/>
    </row>
    <row r="340" spans="1:8" x14ac:dyDescent="0.25">
      <c r="A340" s="2" t="s">
        <v>618</v>
      </c>
      <c r="B340" s="3" t="s">
        <v>50</v>
      </c>
      <c r="C340" s="3" t="s">
        <v>619</v>
      </c>
      <c r="D340" s="111" t="s">
        <v>620</v>
      </c>
      <c r="E340" s="111"/>
      <c r="F340" s="3" t="s">
        <v>56</v>
      </c>
      <c r="G340" s="30">
        <v>11</v>
      </c>
      <c r="H340" s="78">
        <v>0</v>
      </c>
    </row>
    <row r="341" spans="1:8" x14ac:dyDescent="0.25">
      <c r="A341" s="74"/>
      <c r="D341" s="75" t="s">
        <v>94</v>
      </c>
      <c r="E341" s="162" t="s">
        <v>740</v>
      </c>
      <c r="F341" s="162"/>
      <c r="G341" s="76">
        <v>11</v>
      </c>
      <c r="H341" s="77"/>
    </row>
    <row r="342" spans="1:8" x14ac:dyDescent="0.25">
      <c r="A342" s="2" t="s">
        <v>621</v>
      </c>
      <c r="B342" s="3" t="s">
        <v>50</v>
      </c>
      <c r="C342" s="3" t="s">
        <v>622</v>
      </c>
      <c r="D342" s="111" t="s">
        <v>623</v>
      </c>
      <c r="E342" s="111"/>
      <c r="F342" s="3" t="s">
        <v>56</v>
      </c>
      <c r="G342" s="30">
        <v>7</v>
      </c>
      <c r="H342" s="78">
        <v>0</v>
      </c>
    </row>
    <row r="343" spans="1:8" x14ac:dyDescent="0.25">
      <c r="A343" s="74"/>
      <c r="D343" s="75" t="s">
        <v>80</v>
      </c>
      <c r="E343" s="162" t="s">
        <v>740</v>
      </c>
      <c r="F343" s="162"/>
      <c r="G343" s="76">
        <v>7</v>
      </c>
      <c r="H343" s="77"/>
    </row>
    <row r="344" spans="1:8" x14ac:dyDescent="0.25">
      <c r="A344" s="2" t="s">
        <v>624</v>
      </c>
      <c r="B344" s="3" t="s">
        <v>50</v>
      </c>
      <c r="C344" s="3" t="s">
        <v>625</v>
      </c>
      <c r="D344" s="111" t="s">
        <v>626</v>
      </c>
      <c r="E344" s="111"/>
      <c r="F344" s="3" t="s">
        <v>56</v>
      </c>
      <c r="G344" s="30">
        <v>2</v>
      </c>
      <c r="H344" s="78">
        <v>0</v>
      </c>
    </row>
    <row r="345" spans="1:8" x14ac:dyDescent="0.25">
      <c r="A345" s="74"/>
      <c r="D345" s="75" t="s">
        <v>61</v>
      </c>
      <c r="E345" s="162" t="s">
        <v>740</v>
      </c>
      <c r="F345" s="162"/>
      <c r="G345" s="76">
        <v>2</v>
      </c>
      <c r="H345" s="77"/>
    </row>
    <row r="346" spans="1:8" x14ac:dyDescent="0.25">
      <c r="A346" s="2" t="s">
        <v>627</v>
      </c>
      <c r="B346" s="3" t="s">
        <v>50</v>
      </c>
      <c r="C346" s="3" t="s">
        <v>628</v>
      </c>
      <c r="D346" s="111" t="s">
        <v>629</v>
      </c>
      <c r="E346" s="111"/>
      <c r="F346" s="3" t="s">
        <v>56</v>
      </c>
      <c r="G346" s="30">
        <v>1</v>
      </c>
      <c r="H346" s="78">
        <v>0</v>
      </c>
    </row>
    <row r="347" spans="1:8" x14ac:dyDescent="0.25">
      <c r="A347" s="74"/>
      <c r="D347" s="75" t="s">
        <v>53</v>
      </c>
      <c r="E347" s="162" t="s">
        <v>740</v>
      </c>
      <c r="F347" s="162"/>
      <c r="G347" s="76">
        <v>1</v>
      </c>
      <c r="H347" s="77"/>
    </row>
    <row r="348" spans="1:8" x14ac:dyDescent="0.25">
      <c r="A348" s="2" t="s">
        <v>630</v>
      </c>
      <c r="B348" s="3" t="s">
        <v>50</v>
      </c>
      <c r="C348" s="3" t="s">
        <v>560</v>
      </c>
      <c r="D348" s="111" t="s">
        <v>631</v>
      </c>
      <c r="E348" s="111"/>
      <c r="F348" s="3" t="s">
        <v>56</v>
      </c>
      <c r="G348" s="30">
        <v>1</v>
      </c>
      <c r="H348" s="78">
        <v>0</v>
      </c>
    </row>
    <row r="349" spans="1:8" x14ac:dyDescent="0.25">
      <c r="A349" s="74"/>
      <c r="D349" s="75" t="s">
        <v>53</v>
      </c>
      <c r="E349" s="162" t="s">
        <v>740</v>
      </c>
      <c r="F349" s="162"/>
      <c r="G349" s="76">
        <v>1</v>
      </c>
      <c r="H349" s="77"/>
    </row>
    <row r="350" spans="1:8" x14ac:dyDescent="0.25">
      <c r="A350" s="2" t="s">
        <v>632</v>
      </c>
      <c r="B350" s="3" t="s">
        <v>50</v>
      </c>
      <c r="C350" s="3" t="s">
        <v>633</v>
      </c>
      <c r="D350" s="111" t="s">
        <v>634</v>
      </c>
      <c r="E350" s="111"/>
      <c r="F350" s="3" t="s">
        <v>56</v>
      </c>
      <c r="G350" s="30">
        <v>1</v>
      </c>
      <c r="H350" s="78">
        <v>0</v>
      </c>
    </row>
    <row r="351" spans="1:8" x14ac:dyDescent="0.25">
      <c r="A351" s="74"/>
      <c r="D351" s="75" t="s">
        <v>53</v>
      </c>
      <c r="E351" s="162" t="s">
        <v>740</v>
      </c>
      <c r="F351" s="162"/>
      <c r="G351" s="76">
        <v>1</v>
      </c>
      <c r="H351" s="77"/>
    </row>
    <row r="352" spans="1:8" x14ac:dyDescent="0.25">
      <c r="A352" s="2" t="s">
        <v>635</v>
      </c>
      <c r="B352" s="3" t="s">
        <v>50</v>
      </c>
      <c r="C352" s="3" t="s">
        <v>636</v>
      </c>
      <c r="D352" s="111" t="s">
        <v>637</v>
      </c>
      <c r="E352" s="111"/>
      <c r="F352" s="3" t="s">
        <v>56</v>
      </c>
      <c r="G352" s="30">
        <v>1</v>
      </c>
      <c r="H352" s="78">
        <v>0</v>
      </c>
    </row>
    <row r="353" spans="1:8" x14ac:dyDescent="0.25">
      <c r="A353" s="74"/>
      <c r="D353" s="75" t="s">
        <v>53</v>
      </c>
      <c r="E353" s="162" t="s">
        <v>740</v>
      </c>
      <c r="F353" s="162"/>
      <c r="G353" s="76">
        <v>1</v>
      </c>
      <c r="H353" s="77"/>
    </row>
    <row r="354" spans="1:8" x14ac:dyDescent="0.25">
      <c r="A354" s="2" t="s">
        <v>638</v>
      </c>
      <c r="B354" s="3" t="s">
        <v>50</v>
      </c>
      <c r="C354" s="3" t="s">
        <v>639</v>
      </c>
      <c r="D354" s="111" t="s">
        <v>640</v>
      </c>
      <c r="E354" s="111"/>
      <c r="F354" s="3" t="s">
        <v>218</v>
      </c>
      <c r="G354" s="30">
        <v>1</v>
      </c>
      <c r="H354" s="78">
        <v>0</v>
      </c>
    </row>
    <row r="355" spans="1:8" x14ac:dyDescent="0.25">
      <c r="A355" s="74"/>
      <c r="D355" s="75" t="s">
        <v>53</v>
      </c>
      <c r="E355" s="162" t="s">
        <v>740</v>
      </c>
      <c r="F355" s="162"/>
      <c r="G355" s="76">
        <v>1</v>
      </c>
      <c r="H355" s="77"/>
    </row>
    <row r="356" spans="1:8" x14ac:dyDescent="0.25">
      <c r="A356" s="2" t="s">
        <v>642</v>
      </c>
      <c r="B356" s="3" t="s">
        <v>50</v>
      </c>
      <c r="C356" s="3" t="s">
        <v>643</v>
      </c>
      <c r="D356" s="111" t="s">
        <v>644</v>
      </c>
      <c r="E356" s="111"/>
      <c r="F356" s="3" t="s">
        <v>56</v>
      </c>
      <c r="G356" s="30">
        <v>1</v>
      </c>
      <c r="H356" s="78">
        <v>0</v>
      </c>
    </row>
    <row r="357" spans="1:8" x14ac:dyDescent="0.25">
      <c r="A357" s="74"/>
      <c r="D357" s="75" t="s">
        <v>53</v>
      </c>
      <c r="E357" s="162" t="s">
        <v>740</v>
      </c>
      <c r="F357" s="162"/>
      <c r="G357" s="76">
        <v>1</v>
      </c>
      <c r="H357" s="77"/>
    </row>
    <row r="358" spans="1:8" x14ac:dyDescent="0.25">
      <c r="A358" s="2" t="s">
        <v>645</v>
      </c>
      <c r="B358" s="3" t="s">
        <v>50</v>
      </c>
      <c r="C358" s="3" t="s">
        <v>646</v>
      </c>
      <c r="D358" s="111" t="s">
        <v>647</v>
      </c>
      <c r="E358" s="111"/>
      <c r="F358" s="3" t="s">
        <v>548</v>
      </c>
      <c r="G358" s="30">
        <v>1</v>
      </c>
      <c r="H358" s="78">
        <v>0</v>
      </c>
    </row>
    <row r="359" spans="1:8" x14ac:dyDescent="0.25">
      <c r="A359" s="74"/>
      <c r="D359" s="75" t="s">
        <v>53</v>
      </c>
      <c r="E359" s="162" t="s">
        <v>50</v>
      </c>
      <c r="F359" s="162"/>
      <c r="G359" s="76">
        <v>1</v>
      </c>
      <c r="H359" s="77"/>
    </row>
    <row r="360" spans="1:8" x14ac:dyDescent="0.25">
      <c r="A360" s="2" t="s">
        <v>648</v>
      </c>
      <c r="B360" s="3" t="s">
        <v>50</v>
      </c>
      <c r="C360" s="3" t="s">
        <v>151</v>
      </c>
      <c r="D360" s="111" t="s">
        <v>152</v>
      </c>
      <c r="E360" s="111"/>
      <c r="F360" s="3" t="s">
        <v>86</v>
      </c>
      <c r="G360" s="30">
        <v>5.1929999999999997E-2</v>
      </c>
      <c r="H360" s="78">
        <v>0</v>
      </c>
    </row>
    <row r="361" spans="1:8" x14ac:dyDescent="0.25">
      <c r="A361" s="2" t="s">
        <v>651</v>
      </c>
      <c r="B361" s="3" t="s">
        <v>50</v>
      </c>
      <c r="C361" s="3" t="s">
        <v>652</v>
      </c>
      <c r="D361" s="111" t="s">
        <v>653</v>
      </c>
      <c r="E361" s="111"/>
      <c r="F361" s="3" t="s">
        <v>76</v>
      </c>
      <c r="G361" s="30">
        <v>15</v>
      </c>
      <c r="H361" s="78">
        <v>0</v>
      </c>
    </row>
    <row r="362" spans="1:8" x14ac:dyDescent="0.25">
      <c r="A362" s="74"/>
      <c r="D362" s="75" t="s">
        <v>109</v>
      </c>
      <c r="E362" s="162" t="s">
        <v>50</v>
      </c>
      <c r="F362" s="162"/>
      <c r="G362" s="76">
        <v>15</v>
      </c>
      <c r="H362" s="77"/>
    </row>
    <row r="363" spans="1:8" x14ac:dyDescent="0.25">
      <c r="A363" s="2" t="s">
        <v>656</v>
      </c>
      <c r="B363" s="3" t="s">
        <v>50</v>
      </c>
      <c r="C363" s="3" t="s">
        <v>657</v>
      </c>
      <c r="D363" s="111" t="s">
        <v>658</v>
      </c>
      <c r="E363" s="111"/>
      <c r="F363" s="3" t="s">
        <v>76</v>
      </c>
      <c r="G363" s="30">
        <v>10</v>
      </c>
      <c r="H363" s="78">
        <v>0</v>
      </c>
    </row>
    <row r="364" spans="1:8" x14ac:dyDescent="0.25">
      <c r="A364" s="74"/>
      <c r="D364" s="75" t="s">
        <v>90</v>
      </c>
      <c r="E364" s="162" t="s">
        <v>50</v>
      </c>
      <c r="F364" s="162"/>
      <c r="G364" s="76">
        <v>10</v>
      </c>
      <c r="H364" s="77"/>
    </row>
    <row r="365" spans="1:8" x14ac:dyDescent="0.25">
      <c r="A365" s="2" t="s">
        <v>660</v>
      </c>
      <c r="B365" s="3" t="s">
        <v>50</v>
      </c>
      <c r="C365" s="3" t="s">
        <v>661</v>
      </c>
      <c r="D365" s="111" t="s">
        <v>662</v>
      </c>
      <c r="E365" s="111"/>
      <c r="F365" s="3" t="s">
        <v>76</v>
      </c>
      <c r="G365" s="30">
        <v>100</v>
      </c>
      <c r="H365" s="78">
        <v>0</v>
      </c>
    </row>
    <row r="366" spans="1:8" x14ac:dyDescent="0.25">
      <c r="A366" s="74"/>
      <c r="D366" s="75" t="s">
        <v>412</v>
      </c>
      <c r="E366" s="162" t="s">
        <v>50</v>
      </c>
      <c r="F366" s="162"/>
      <c r="G366" s="76">
        <v>100</v>
      </c>
      <c r="H366" s="77"/>
    </row>
    <row r="367" spans="1:8" x14ac:dyDescent="0.25">
      <c r="A367" s="2" t="s">
        <v>664</v>
      </c>
      <c r="B367" s="3" t="s">
        <v>50</v>
      </c>
      <c r="C367" s="3" t="s">
        <v>665</v>
      </c>
      <c r="D367" s="111" t="s">
        <v>666</v>
      </c>
      <c r="E367" s="111"/>
      <c r="F367" s="3" t="s">
        <v>76</v>
      </c>
      <c r="G367" s="30">
        <v>15</v>
      </c>
      <c r="H367" s="78">
        <v>0</v>
      </c>
    </row>
    <row r="368" spans="1:8" x14ac:dyDescent="0.25">
      <c r="A368" s="74"/>
      <c r="D368" s="75" t="s">
        <v>109</v>
      </c>
      <c r="E368" s="162" t="s">
        <v>50</v>
      </c>
      <c r="F368" s="162"/>
      <c r="G368" s="76">
        <v>15</v>
      </c>
      <c r="H368" s="77"/>
    </row>
    <row r="369" spans="1:8" x14ac:dyDescent="0.25">
      <c r="A369" s="2" t="s">
        <v>668</v>
      </c>
      <c r="B369" s="3" t="s">
        <v>50</v>
      </c>
      <c r="C369" s="3" t="s">
        <v>669</v>
      </c>
      <c r="D369" s="111" t="s">
        <v>670</v>
      </c>
      <c r="E369" s="111"/>
      <c r="F369" s="3" t="s">
        <v>76</v>
      </c>
      <c r="G369" s="30">
        <v>100</v>
      </c>
      <c r="H369" s="78">
        <v>0</v>
      </c>
    </row>
    <row r="370" spans="1:8" x14ac:dyDescent="0.25">
      <c r="A370" s="74"/>
      <c r="D370" s="75" t="s">
        <v>412</v>
      </c>
      <c r="E370" s="162" t="s">
        <v>50</v>
      </c>
      <c r="F370" s="162"/>
      <c r="G370" s="76">
        <v>100</v>
      </c>
      <c r="H370" s="77"/>
    </row>
    <row r="371" spans="1:8" x14ac:dyDescent="0.25">
      <c r="A371" s="2" t="s">
        <v>672</v>
      </c>
      <c r="B371" s="3" t="s">
        <v>50</v>
      </c>
      <c r="C371" s="3" t="s">
        <v>673</v>
      </c>
      <c r="D371" s="111" t="s">
        <v>674</v>
      </c>
      <c r="E371" s="111"/>
      <c r="F371" s="3" t="s">
        <v>76</v>
      </c>
      <c r="G371" s="30">
        <v>50</v>
      </c>
      <c r="H371" s="78">
        <v>0</v>
      </c>
    </row>
    <row r="372" spans="1:8" x14ac:dyDescent="0.25">
      <c r="A372" s="74"/>
      <c r="D372" s="75" t="s">
        <v>232</v>
      </c>
      <c r="E372" s="162" t="s">
        <v>50</v>
      </c>
      <c r="F372" s="162"/>
      <c r="G372" s="76">
        <v>50</v>
      </c>
      <c r="H372" s="77"/>
    </row>
    <row r="373" spans="1:8" x14ac:dyDescent="0.25">
      <c r="A373" s="2" t="s">
        <v>676</v>
      </c>
      <c r="B373" s="3" t="s">
        <v>50</v>
      </c>
      <c r="C373" s="3" t="s">
        <v>677</v>
      </c>
      <c r="D373" s="111" t="s">
        <v>678</v>
      </c>
      <c r="E373" s="111"/>
      <c r="F373" s="3" t="s">
        <v>76</v>
      </c>
      <c r="G373" s="30">
        <v>40</v>
      </c>
      <c r="H373" s="78">
        <v>0</v>
      </c>
    </row>
    <row r="374" spans="1:8" x14ac:dyDescent="0.25">
      <c r="A374" s="74"/>
      <c r="D374" s="75" t="s">
        <v>196</v>
      </c>
      <c r="E374" s="162" t="s">
        <v>50</v>
      </c>
      <c r="F374" s="162"/>
      <c r="G374" s="76">
        <v>40</v>
      </c>
      <c r="H374" s="77"/>
    </row>
    <row r="375" spans="1:8" x14ac:dyDescent="0.25">
      <c r="A375" s="2" t="s">
        <v>680</v>
      </c>
      <c r="B375" s="3" t="s">
        <v>50</v>
      </c>
      <c r="C375" s="3" t="s">
        <v>681</v>
      </c>
      <c r="D375" s="111" t="s">
        <v>682</v>
      </c>
      <c r="E375" s="111"/>
      <c r="F375" s="3" t="s">
        <v>76</v>
      </c>
      <c r="G375" s="30">
        <v>2.5</v>
      </c>
      <c r="H375" s="78">
        <v>0</v>
      </c>
    </row>
    <row r="376" spans="1:8" x14ac:dyDescent="0.25">
      <c r="A376" s="74"/>
      <c r="D376" s="75" t="s">
        <v>708</v>
      </c>
      <c r="E376" s="162" t="s">
        <v>50</v>
      </c>
      <c r="F376" s="162"/>
      <c r="G376" s="76">
        <v>2.5</v>
      </c>
      <c r="H376" s="77"/>
    </row>
    <row r="377" spans="1:8" x14ac:dyDescent="0.25">
      <c r="A377" s="2" t="s">
        <v>684</v>
      </c>
      <c r="B377" s="3" t="s">
        <v>50</v>
      </c>
      <c r="C377" s="3" t="s">
        <v>685</v>
      </c>
      <c r="D377" s="111" t="s">
        <v>686</v>
      </c>
      <c r="E377" s="111"/>
      <c r="F377" s="3" t="s">
        <v>76</v>
      </c>
      <c r="G377" s="30">
        <v>45</v>
      </c>
      <c r="H377" s="78">
        <v>0</v>
      </c>
    </row>
    <row r="378" spans="1:8" x14ac:dyDescent="0.25">
      <c r="A378" s="74"/>
      <c r="D378" s="75" t="s">
        <v>215</v>
      </c>
      <c r="E378" s="162" t="s">
        <v>50</v>
      </c>
      <c r="F378" s="162"/>
      <c r="G378" s="76">
        <v>45</v>
      </c>
      <c r="H378" s="77"/>
    </row>
    <row r="379" spans="1:8" x14ac:dyDescent="0.25">
      <c r="A379" s="2" t="s">
        <v>688</v>
      </c>
      <c r="B379" s="3" t="s">
        <v>50</v>
      </c>
      <c r="C379" s="3" t="s">
        <v>689</v>
      </c>
      <c r="D379" s="111" t="s">
        <v>690</v>
      </c>
      <c r="E379" s="111"/>
      <c r="F379" s="3" t="s">
        <v>76</v>
      </c>
      <c r="G379" s="30">
        <v>50</v>
      </c>
      <c r="H379" s="78">
        <v>0</v>
      </c>
    </row>
    <row r="380" spans="1:8" x14ac:dyDescent="0.25">
      <c r="A380" s="74"/>
      <c r="D380" s="75" t="s">
        <v>232</v>
      </c>
      <c r="E380" s="162" t="s">
        <v>50</v>
      </c>
      <c r="F380" s="162"/>
      <c r="G380" s="76">
        <v>50</v>
      </c>
      <c r="H380" s="77"/>
    </row>
    <row r="381" spans="1:8" x14ac:dyDescent="0.25">
      <c r="A381" s="2" t="s">
        <v>692</v>
      </c>
      <c r="B381" s="3" t="s">
        <v>50</v>
      </c>
      <c r="C381" s="3" t="s">
        <v>693</v>
      </c>
      <c r="D381" s="111" t="s">
        <v>694</v>
      </c>
      <c r="E381" s="111"/>
      <c r="F381" s="3" t="s">
        <v>76</v>
      </c>
      <c r="G381" s="30">
        <v>10</v>
      </c>
      <c r="H381" s="78">
        <v>0</v>
      </c>
    </row>
    <row r="382" spans="1:8" x14ac:dyDescent="0.25">
      <c r="A382" s="74"/>
      <c r="D382" s="75" t="s">
        <v>90</v>
      </c>
      <c r="E382" s="162" t="s">
        <v>50</v>
      </c>
      <c r="F382" s="162"/>
      <c r="G382" s="76">
        <v>10</v>
      </c>
      <c r="H382" s="77"/>
    </row>
    <row r="383" spans="1:8" x14ac:dyDescent="0.25">
      <c r="A383" s="2" t="s">
        <v>696</v>
      </c>
      <c r="B383" s="3" t="s">
        <v>50</v>
      </c>
      <c r="C383" s="3" t="s">
        <v>151</v>
      </c>
      <c r="D383" s="111" t="s">
        <v>152</v>
      </c>
      <c r="E383" s="111"/>
      <c r="F383" s="3" t="s">
        <v>86</v>
      </c>
      <c r="G383" s="30">
        <v>0.74231999999999998</v>
      </c>
      <c r="H383" s="78">
        <v>0</v>
      </c>
    </row>
    <row r="384" spans="1:8" x14ac:dyDescent="0.25">
      <c r="A384" s="80"/>
      <c r="B384" s="81"/>
      <c r="C384" s="81"/>
      <c r="D384" s="82" t="s">
        <v>807</v>
      </c>
      <c r="E384" s="163" t="s">
        <v>50</v>
      </c>
      <c r="F384" s="163"/>
      <c r="G384" s="83">
        <v>0.13800000000000001</v>
      </c>
      <c r="H384" s="84"/>
    </row>
    <row r="386" spans="1:7" x14ac:dyDescent="0.25">
      <c r="A386" s="65" t="s">
        <v>698</v>
      </c>
    </row>
    <row r="387" spans="1:7" ht="12.75" customHeight="1" x14ac:dyDescent="0.25">
      <c r="A387" s="116" t="s">
        <v>50</v>
      </c>
      <c r="B387" s="111"/>
      <c r="C387" s="111"/>
      <c r="D387" s="111"/>
      <c r="E387" s="111"/>
      <c r="F387" s="111"/>
      <c r="G387" s="111"/>
    </row>
  </sheetData>
  <sheetProtection password="C7C0" sheet="1"/>
  <mergeCells count="393">
    <mergeCell ref="E384:F384"/>
    <mergeCell ref="A387:G387"/>
    <mergeCell ref="D379:E379"/>
    <mergeCell ref="E380:F380"/>
    <mergeCell ref="D381:E381"/>
    <mergeCell ref="E382:F382"/>
    <mergeCell ref="D383:E383"/>
    <mergeCell ref="E374:F374"/>
    <mergeCell ref="D375:E375"/>
    <mergeCell ref="E376:F376"/>
    <mergeCell ref="D377:E377"/>
    <mergeCell ref="E378:F378"/>
    <mergeCell ref="D369:E369"/>
    <mergeCell ref="E370:F370"/>
    <mergeCell ref="D371:E371"/>
    <mergeCell ref="E372:F372"/>
    <mergeCell ref="D373:E373"/>
    <mergeCell ref="E364:F364"/>
    <mergeCell ref="D365:E365"/>
    <mergeCell ref="E366:F366"/>
    <mergeCell ref="D367:E367"/>
    <mergeCell ref="E368:F368"/>
    <mergeCell ref="E359:F359"/>
    <mergeCell ref="D360:E360"/>
    <mergeCell ref="D361:E361"/>
    <mergeCell ref="E362:F362"/>
    <mergeCell ref="D363:E363"/>
    <mergeCell ref="D354:E354"/>
    <mergeCell ref="E355:F355"/>
    <mergeCell ref="D356:E356"/>
    <mergeCell ref="E357:F357"/>
    <mergeCell ref="D358:E358"/>
    <mergeCell ref="E349:F349"/>
    <mergeCell ref="D350:E350"/>
    <mergeCell ref="E351:F351"/>
    <mergeCell ref="D352:E352"/>
    <mergeCell ref="E353:F353"/>
    <mergeCell ref="D344:E344"/>
    <mergeCell ref="E345:F345"/>
    <mergeCell ref="D346:E346"/>
    <mergeCell ref="E347:F347"/>
    <mergeCell ref="D348:E348"/>
    <mergeCell ref="E339:F339"/>
    <mergeCell ref="D340:E340"/>
    <mergeCell ref="E341:F341"/>
    <mergeCell ref="D342:E342"/>
    <mergeCell ref="E343:F343"/>
    <mergeCell ref="D334:E334"/>
    <mergeCell ref="E335:F335"/>
    <mergeCell ref="D336:E336"/>
    <mergeCell ref="E337:F337"/>
    <mergeCell ref="D338:E338"/>
    <mergeCell ref="E329:F329"/>
    <mergeCell ref="D330:E330"/>
    <mergeCell ref="E331:F331"/>
    <mergeCell ref="D332:E332"/>
    <mergeCell ref="E333:F333"/>
    <mergeCell ref="D324:E324"/>
    <mergeCell ref="E325:F325"/>
    <mergeCell ref="D326:E326"/>
    <mergeCell ref="E327:F327"/>
    <mergeCell ref="D328:E328"/>
    <mergeCell ref="E319:F319"/>
    <mergeCell ref="D320:E320"/>
    <mergeCell ref="E321:F321"/>
    <mergeCell ref="D322:E322"/>
    <mergeCell ref="E323:F323"/>
    <mergeCell ref="D314:E314"/>
    <mergeCell ref="E315:F315"/>
    <mergeCell ref="D316:E316"/>
    <mergeCell ref="E317:F317"/>
    <mergeCell ref="D318:E318"/>
    <mergeCell ref="E309:F309"/>
    <mergeCell ref="D310:E310"/>
    <mergeCell ref="E311:F311"/>
    <mergeCell ref="D312:E312"/>
    <mergeCell ref="E313:F313"/>
    <mergeCell ref="D304:E304"/>
    <mergeCell ref="E305:F305"/>
    <mergeCell ref="D306:E306"/>
    <mergeCell ref="E307:F307"/>
    <mergeCell ref="D308:E308"/>
    <mergeCell ref="E299:F299"/>
    <mergeCell ref="D300:E300"/>
    <mergeCell ref="E301:F301"/>
    <mergeCell ref="D302:E302"/>
    <mergeCell ref="E303:F303"/>
    <mergeCell ref="D294:E294"/>
    <mergeCell ref="E295:F295"/>
    <mergeCell ref="D296:E296"/>
    <mergeCell ref="E297:F297"/>
    <mergeCell ref="D298:E298"/>
    <mergeCell ref="E289:F289"/>
    <mergeCell ref="D290:E290"/>
    <mergeCell ref="E291:F291"/>
    <mergeCell ref="D292:E292"/>
    <mergeCell ref="E293:F293"/>
    <mergeCell ref="E284:F284"/>
    <mergeCell ref="E285:F285"/>
    <mergeCell ref="D286:E286"/>
    <mergeCell ref="E287:F287"/>
    <mergeCell ref="D288:E288"/>
    <mergeCell ref="E279:F279"/>
    <mergeCell ref="E280:F280"/>
    <mergeCell ref="E281:F281"/>
    <mergeCell ref="E282:F282"/>
    <mergeCell ref="E283:F283"/>
    <mergeCell ref="E274:F274"/>
    <mergeCell ref="D275:E275"/>
    <mergeCell ref="E276:F276"/>
    <mergeCell ref="D277:E277"/>
    <mergeCell ref="E278:F278"/>
    <mergeCell ref="D269:E269"/>
    <mergeCell ref="E270:F270"/>
    <mergeCell ref="E271:F271"/>
    <mergeCell ref="D272:E272"/>
    <mergeCell ref="E273:F273"/>
    <mergeCell ref="D264:E264"/>
    <mergeCell ref="E265:F265"/>
    <mergeCell ref="D266:E266"/>
    <mergeCell ref="E267:F267"/>
    <mergeCell ref="D268:E268"/>
    <mergeCell ref="E259:F259"/>
    <mergeCell ref="D260:E260"/>
    <mergeCell ref="E261:F261"/>
    <mergeCell ref="D262:E262"/>
    <mergeCell ref="E263:F263"/>
    <mergeCell ref="E254:F254"/>
    <mergeCell ref="D255:E255"/>
    <mergeCell ref="E256:F256"/>
    <mergeCell ref="E257:F257"/>
    <mergeCell ref="D258:E258"/>
    <mergeCell ref="E249:F249"/>
    <mergeCell ref="D250:E250"/>
    <mergeCell ref="E251:F251"/>
    <mergeCell ref="E252:F252"/>
    <mergeCell ref="D253:E253"/>
    <mergeCell ref="D244:E244"/>
    <mergeCell ref="E245:F245"/>
    <mergeCell ref="D246:E246"/>
    <mergeCell ref="E247:F247"/>
    <mergeCell ref="D248:E248"/>
    <mergeCell ref="D239:E239"/>
    <mergeCell ref="E240:F240"/>
    <mergeCell ref="D241:E241"/>
    <mergeCell ref="E242:F242"/>
    <mergeCell ref="E243:F243"/>
    <mergeCell ref="E234:F234"/>
    <mergeCell ref="D235:E235"/>
    <mergeCell ref="E236:F236"/>
    <mergeCell ref="D237:E237"/>
    <mergeCell ref="E238:F238"/>
    <mergeCell ref="D229:E229"/>
    <mergeCell ref="E230:F230"/>
    <mergeCell ref="D231:E231"/>
    <mergeCell ref="E232:F232"/>
    <mergeCell ref="D233:E233"/>
    <mergeCell ref="D224:E224"/>
    <mergeCell ref="D225:E225"/>
    <mergeCell ref="D226:E226"/>
    <mergeCell ref="D227:E227"/>
    <mergeCell ref="E228:F228"/>
    <mergeCell ref="D219:E219"/>
    <mergeCell ref="E220:F220"/>
    <mergeCell ref="D221:E221"/>
    <mergeCell ref="E222:F222"/>
    <mergeCell ref="D223:E223"/>
    <mergeCell ref="E214:F214"/>
    <mergeCell ref="D215:E215"/>
    <mergeCell ref="E216:F216"/>
    <mergeCell ref="D217:E217"/>
    <mergeCell ref="E218:F218"/>
    <mergeCell ref="E209:F209"/>
    <mergeCell ref="D210:E210"/>
    <mergeCell ref="D211:E211"/>
    <mergeCell ref="E212:F212"/>
    <mergeCell ref="D213:E213"/>
    <mergeCell ref="D204:E204"/>
    <mergeCell ref="E205:F205"/>
    <mergeCell ref="D206:E206"/>
    <mergeCell ref="E207:F207"/>
    <mergeCell ref="D208:E208"/>
    <mergeCell ref="D199:E199"/>
    <mergeCell ref="E200:F200"/>
    <mergeCell ref="D201:E201"/>
    <mergeCell ref="E202:F202"/>
    <mergeCell ref="D203:E203"/>
    <mergeCell ref="D194:E194"/>
    <mergeCell ref="E195:F195"/>
    <mergeCell ref="D196:E196"/>
    <mergeCell ref="E197:F197"/>
    <mergeCell ref="D198:E198"/>
    <mergeCell ref="D189:E189"/>
    <mergeCell ref="E190:F190"/>
    <mergeCell ref="D191:E191"/>
    <mergeCell ref="E192:F192"/>
    <mergeCell ref="D193:E193"/>
    <mergeCell ref="D184:E184"/>
    <mergeCell ref="D185:E185"/>
    <mergeCell ref="E186:F186"/>
    <mergeCell ref="D187:E187"/>
    <mergeCell ref="E188:F188"/>
    <mergeCell ref="E179:F179"/>
    <mergeCell ref="D180:E180"/>
    <mergeCell ref="E181:F181"/>
    <mergeCell ref="D182:E182"/>
    <mergeCell ref="E183:F183"/>
    <mergeCell ref="D174:E174"/>
    <mergeCell ref="E175:F175"/>
    <mergeCell ref="D176:E176"/>
    <mergeCell ref="E177:F177"/>
    <mergeCell ref="D178:E178"/>
    <mergeCell ref="E169:F169"/>
    <mergeCell ref="D170:E170"/>
    <mergeCell ref="E171:F171"/>
    <mergeCell ref="D172:E172"/>
    <mergeCell ref="E173:F173"/>
    <mergeCell ref="E164:F164"/>
    <mergeCell ref="D165:E165"/>
    <mergeCell ref="D166:E166"/>
    <mergeCell ref="E167:F167"/>
    <mergeCell ref="D168:E168"/>
    <mergeCell ref="D159:E159"/>
    <mergeCell ref="E160:F160"/>
    <mergeCell ref="D161:E161"/>
    <mergeCell ref="E162:F162"/>
    <mergeCell ref="D163:E163"/>
    <mergeCell ref="D154:E154"/>
    <mergeCell ref="D155:E155"/>
    <mergeCell ref="E156:F156"/>
    <mergeCell ref="D157:E157"/>
    <mergeCell ref="E158:F158"/>
    <mergeCell ref="E149:F149"/>
    <mergeCell ref="D150:E150"/>
    <mergeCell ref="E151:F151"/>
    <mergeCell ref="D152:E152"/>
    <mergeCell ref="E153:F153"/>
    <mergeCell ref="D144:E144"/>
    <mergeCell ref="E145:F145"/>
    <mergeCell ref="D146:E146"/>
    <mergeCell ref="E147:F147"/>
    <mergeCell ref="D148:E148"/>
    <mergeCell ref="E139:F139"/>
    <mergeCell ref="D140:E140"/>
    <mergeCell ref="E141:F141"/>
    <mergeCell ref="D142:E142"/>
    <mergeCell ref="E143:F143"/>
    <mergeCell ref="D134:E134"/>
    <mergeCell ref="E135:F135"/>
    <mergeCell ref="D136:E136"/>
    <mergeCell ref="E137:F137"/>
    <mergeCell ref="D138:E138"/>
    <mergeCell ref="E129:F129"/>
    <mergeCell ref="D130:E130"/>
    <mergeCell ref="E131:F131"/>
    <mergeCell ref="D132:E132"/>
    <mergeCell ref="E133:F133"/>
    <mergeCell ref="D124:E124"/>
    <mergeCell ref="E125:F125"/>
    <mergeCell ref="D126:E126"/>
    <mergeCell ref="E127:F127"/>
    <mergeCell ref="D128:E128"/>
    <mergeCell ref="E119:F119"/>
    <mergeCell ref="D120:E120"/>
    <mergeCell ref="E121:F121"/>
    <mergeCell ref="D122:E122"/>
    <mergeCell ref="E123:F123"/>
    <mergeCell ref="D114:E114"/>
    <mergeCell ref="E115:F115"/>
    <mergeCell ref="D116:E116"/>
    <mergeCell ref="E117:F117"/>
    <mergeCell ref="D118:E118"/>
    <mergeCell ref="E109:F109"/>
    <mergeCell ref="D110:E110"/>
    <mergeCell ref="E111:F111"/>
    <mergeCell ref="D112:E112"/>
    <mergeCell ref="E113:F113"/>
    <mergeCell ref="E104:F104"/>
    <mergeCell ref="D105:E105"/>
    <mergeCell ref="D106:E106"/>
    <mergeCell ref="E107:F107"/>
    <mergeCell ref="D108:E108"/>
    <mergeCell ref="D99:E99"/>
    <mergeCell ref="E100:F100"/>
    <mergeCell ref="D101:E101"/>
    <mergeCell ref="E102:F102"/>
    <mergeCell ref="D103:E103"/>
    <mergeCell ref="E94:F94"/>
    <mergeCell ref="D95:E95"/>
    <mergeCell ref="E96:F96"/>
    <mergeCell ref="D97:E97"/>
    <mergeCell ref="E98:F98"/>
    <mergeCell ref="D89:E89"/>
    <mergeCell ref="E90:F90"/>
    <mergeCell ref="E91:F91"/>
    <mergeCell ref="D92:E92"/>
    <mergeCell ref="E93:F93"/>
    <mergeCell ref="E84:F84"/>
    <mergeCell ref="D85:E85"/>
    <mergeCell ref="D86:E86"/>
    <mergeCell ref="E87:F87"/>
    <mergeCell ref="E88:F88"/>
    <mergeCell ref="D79:E79"/>
    <mergeCell ref="E80:F80"/>
    <mergeCell ref="D81:E81"/>
    <mergeCell ref="E82:F82"/>
    <mergeCell ref="D83:E83"/>
    <mergeCell ref="D74:E74"/>
    <mergeCell ref="D75:E75"/>
    <mergeCell ref="E76:F76"/>
    <mergeCell ref="D77:E77"/>
    <mergeCell ref="E78:F78"/>
    <mergeCell ref="D69:E69"/>
    <mergeCell ref="E70:F70"/>
    <mergeCell ref="E71:F71"/>
    <mergeCell ref="D72:E72"/>
    <mergeCell ref="E73:F73"/>
    <mergeCell ref="E64:F64"/>
    <mergeCell ref="E65:F65"/>
    <mergeCell ref="D66:E66"/>
    <mergeCell ref="E67:F67"/>
    <mergeCell ref="E68:F68"/>
    <mergeCell ref="E59:F59"/>
    <mergeCell ref="E60:F60"/>
    <mergeCell ref="D61:E61"/>
    <mergeCell ref="E62:F62"/>
    <mergeCell ref="D63:E63"/>
    <mergeCell ref="D54:E54"/>
    <mergeCell ref="E55:F55"/>
    <mergeCell ref="E56:F56"/>
    <mergeCell ref="E57:F57"/>
    <mergeCell ref="D58:E58"/>
    <mergeCell ref="E49:F49"/>
    <mergeCell ref="E50:F50"/>
    <mergeCell ref="D51:E51"/>
    <mergeCell ref="E52:F52"/>
    <mergeCell ref="E53:F53"/>
    <mergeCell ref="E44:F44"/>
    <mergeCell ref="D45:E45"/>
    <mergeCell ref="E46:F46"/>
    <mergeCell ref="E47:F47"/>
    <mergeCell ref="D48:E48"/>
    <mergeCell ref="D39:E39"/>
    <mergeCell ref="E40:F40"/>
    <mergeCell ref="D41:E41"/>
    <mergeCell ref="E42:F42"/>
    <mergeCell ref="D43:E43"/>
    <mergeCell ref="E34:F34"/>
    <mergeCell ref="D35:E35"/>
    <mergeCell ref="E36:F36"/>
    <mergeCell ref="E37:F37"/>
    <mergeCell ref="D38:E38"/>
    <mergeCell ref="E29:F29"/>
    <mergeCell ref="D30:E30"/>
    <mergeCell ref="E31:F31"/>
    <mergeCell ref="D32:E32"/>
    <mergeCell ref="E33:F33"/>
    <mergeCell ref="D24:E24"/>
    <mergeCell ref="E25:F25"/>
    <mergeCell ref="D26:E26"/>
    <mergeCell ref="D27:E27"/>
    <mergeCell ref="D28:E28"/>
    <mergeCell ref="D19:E19"/>
    <mergeCell ref="E20:F20"/>
    <mergeCell ref="D21:E21"/>
    <mergeCell ref="E22:F22"/>
    <mergeCell ref="E23:F23"/>
    <mergeCell ref="E14:F14"/>
    <mergeCell ref="D15:E15"/>
    <mergeCell ref="E16:F16"/>
    <mergeCell ref="D17:E17"/>
    <mergeCell ref="E18:F18"/>
    <mergeCell ref="F8:H9"/>
    <mergeCell ref="D10:E10"/>
    <mergeCell ref="D11:E11"/>
    <mergeCell ref="E12:F12"/>
    <mergeCell ref="D13:E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964-DAD2-4BA4-A117-6BE72698579C}">
  <dimension ref="A1:C27"/>
  <sheetViews>
    <sheetView tabSelected="1" workbookViewId="0">
      <selection activeCell="Q14" sqref="Q14"/>
    </sheetView>
  </sheetViews>
  <sheetFormatPr defaultRowHeight="15" x14ac:dyDescent="0.25"/>
  <cols>
    <col min="1" max="1" width="53.140625" style="225" customWidth="1"/>
    <col min="2" max="2" width="19.140625" style="227" customWidth="1"/>
    <col min="3" max="3" width="13.140625" style="227" customWidth="1"/>
    <col min="4" max="16384" width="9.140625" style="225"/>
  </cols>
  <sheetData>
    <row r="1" spans="1:3" ht="15.75" thickBot="1" x14ac:dyDescent="0.3">
      <c r="A1" s="222" t="s">
        <v>898</v>
      </c>
      <c r="B1" s="223"/>
      <c r="C1" s="224"/>
    </row>
    <row r="2" spans="1:3" x14ac:dyDescent="0.25">
      <c r="A2" s="229" t="s">
        <v>866</v>
      </c>
      <c r="B2" s="230" t="s">
        <v>867</v>
      </c>
      <c r="C2" s="231" t="s">
        <v>868</v>
      </c>
    </row>
    <row r="3" spans="1:3" x14ac:dyDescent="0.25">
      <c r="A3" s="226" t="s">
        <v>555</v>
      </c>
      <c r="B3" s="227" t="s">
        <v>869</v>
      </c>
      <c r="C3" s="228">
        <v>1</v>
      </c>
    </row>
    <row r="4" spans="1:3" x14ac:dyDescent="0.25">
      <c r="A4" s="226" t="s">
        <v>870</v>
      </c>
      <c r="B4" s="227" t="s">
        <v>871</v>
      </c>
      <c r="C4" s="228">
        <v>1</v>
      </c>
    </row>
    <row r="5" spans="1:3" x14ac:dyDescent="0.25">
      <c r="A5" s="226" t="s">
        <v>567</v>
      </c>
      <c r="B5" s="227" t="s">
        <v>872</v>
      </c>
      <c r="C5" s="228">
        <v>1</v>
      </c>
    </row>
    <row r="6" spans="1:3" x14ac:dyDescent="0.25">
      <c r="A6" s="226" t="s">
        <v>573</v>
      </c>
      <c r="B6" s="227" t="s">
        <v>873</v>
      </c>
      <c r="C6" s="228">
        <v>2</v>
      </c>
    </row>
    <row r="7" spans="1:3" x14ac:dyDescent="0.25">
      <c r="A7" s="226" t="s">
        <v>899</v>
      </c>
      <c r="B7" s="227" t="s">
        <v>874</v>
      </c>
      <c r="C7" s="232">
        <v>10</v>
      </c>
    </row>
    <row r="8" spans="1:3" x14ac:dyDescent="0.25">
      <c r="A8" s="226" t="s">
        <v>579</v>
      </c>
      <c r="B8" s="227" t="s">
        <v>875</v>
      </c>
      <c r="C8" s="232">
        <v>1</v>
      </c>
    </row>
    <row r="9" spans="1:3" x14ac:dyDescent="0.25">
      <c r="A9" s="226" t="s">
        <v>582</v>
      </c>
      <c r="B9" s="227" t="s">
        <v>900</v>
      </c>
      <c r="C9" s="237">
        <v>1</v>
      </c>
    </row>
    <row r="10" spans="1:3" x14ac:dyDescent="0.25">
      <c r="A10" s="226" t="s">
        <v>876</v>
      </c>
      <c r="B10" s="227" t="s">
        <v>877</v>
      </c>
      <c r="C10" s="232">
        <v>1</v>
      </c>
    </row>
    <row r="11" spans="1:3" x14ac:dyDescent="0.25">
      <c r="A11" s="226" t="s">
        <v>878</v>
      </c>
      <c r="B11" s="227" t="s">
        <v>879</v>
      </c>
      <c r="C11" s="232">
        <v>9</v>
      </c>
    </row>
    <row r="12" spans="1:3" x14ac:dyDescent="0.25">
      <c r="A12" s="226" t="s">
        <v>901</v>
      </c>
      <c r="B12" s="227" t="s">
        <v>902</v>
      </c>
      <c r="C12" s="232">
        <v>10</v>
      </c>
    </row>
    <row r="13" spans="1:3" x14ac:dyDescent="0.25">
      <c r="A13" s="226" t="s">
        <v>880</v>
      </c>
      <c r="B13" s="227" t="s">
        <v>881</v>
      </c>
      <c r="C13" s="232">
        <v>6</v>
      </c>
    </row>
    <row r="14" spans="1:3" x14ac:dyDescent="0.25">
      <c r="A14" s="226" t="s">
        <v>882</v>
      </c>
      <c r="B14" s="227" t="s">
        <v>883</v>
      </c>
      <c r="C14" s="232">
        <v>4</v>
      </c>
    </row>
    <row r="15" spans="1:3" x14ac:dyDescent="0.25">
      <c r="A15" s="226" t="s">
        <v>884</v>
      </c>
      <c r="B15" s="227" t="s">
        <v>885</v>
      </c>
      <c r="C15" s="232">
        <v>1</v>
      </c>
    </row>
    <row r="16" spans="1:3" x14ac:dyDescent="0.25">
      <c r="A16" s="226" t="s">
        <v>886</v>
      </c>
      <c r="B16" s="227" t="s">
        <v>887</v>
      </c>
      <c r="C16" s="232">
        <v>1</v>
      </c>
    </row>
    <row r="17" spans="1:3" x14ac:dyDescent="0.25">
      <c r="A17" s="226" t="s">
        <v>888</v>
      </c>
      <c r="B17" s="227" t="s">
        <v>889</v>
      </c>
      <c r="C17" s="232">
        <v>6</v>
      </c>
    </row>
    <row r="18" spans="1:3" x14ac:dyDescent="0.25">
      <c r="A18" s="226" t="s">
        <v>890</v>
      </c>
      <c r="B18" s="227" t="s">
        <v>891</v>
      </c>
      <c r="C18" s="232">
        <v>1</v>
      </c>
    </row>
    <row r="19" spans="1:3" x14ac:dyDescent="0.25">
      <c r="A19" s="226" t="s">
        <v>892</v>
      </c>
      <c r="B19" s="227" t="s">
        <v>893</v>
      </c>
      <c r="C19" s="232">
        <v>3</v>
      </c>
    </row>
    <row r="20" spans="1:3" x14ac:dyDescent="0.25">
      <c r="A20" s="226" t="s">
        <v>903</v>
      </c>
      <c r="B20" s="227" t="s">
        <v>904</v>
      </c>
      <c r="C20" s="237">
        <v>1</v>
      </c>
    </row>
    <row r="21" spans="1:3" x14ac:dyDescent="0.25">
      <c r="A21" s="226" t="s">
        <v>894</v>
      </c>
      <c r="B21" s="227" t="s">
        <v>895</v>
      </c>
      <c r="C21" s="232">
        <v>11</v>
      </c>
    </row>
    <row r="22" spans="1:3" x14ac:dyDescent="0.25">
      <c r="A22" s="226" t="s">
        <v>896</v>
      </c>
      <c r="B22" s="227" t="s">
        <v>897</v>
      </c>
      <c r="C22" s="232">
        <v>7</v>
      </c>
    </row>
    <row r="23" spans="1:3" x14ac:dyDescent="0.25">
      <c r="A23" s="226" t="s">
        <v>905</v>
      </c>
      <c r="B23" s="227" t="s">
        <v>906</v>
      </c>
      <c r="C23" s="232">
        <v>1</v>
      </c>
    </row>
    <row r="24" spans="1:3" x14ac:dyDescent="0.25">
      <c r="A24" s="226" t="s">
        <v>907</v>
      </c>
      <c r="B24" s="227" t="s">
        <v>908</v>
      </c>
      <c r="C24" s="232">
        <v>1</v>
      </c>
    </row>
    <row r="25" spans="1:3" ht="27.95" customHeight="1" x14ac:dyDescent="0.25">
      <c r="A25" s="233" t="s">
        <v>909</v>
      </c>
      <c r="B25" s="234"/>
      <c r="C25" s="238">
        <v>1</v>
      </c>
    </row>
    <row r="26" spans="1:3" ht="15" customHeight="1" thickBot="1" x14ac:dyDescent="0.3">
      <c r="A26" s="235" t="s">
        <v>910</v>
      </c>
      <c r="B26" s="236" t="s">
        <v>911</v>
      </c>
      <c r="C26" s="239">
        <v>1</v>
      </c>
    </row>
    <row r="27" spans="1:3" x14ac:dyDescent="0.25">
      <c r="C27" s="240"/>
    </row>
  </sheetData>
  <mergeCells count="1">
    <mergeCell ref="A1:C1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64" t="s">
        <v>854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5">
      <c r="A2" s="108" t="s">
        <v>1</v>
      </c>
      <c r="B2" s="109"/>
      <c r="C2" s="117" t="str">
        <f>'Stavební rozpočet'!C2</f>
        <v>Revitalizace městských bytů v Šumperku - BJ č.2</v>
      </c>
      <c r="D2" s="118"/>
      <c r="E2" s="115" t="s">
        <v>5</v>
      </c>
      <c r="F2" s="115" t="str">
        <f>'Stavební rozpočet'!I2</f>
        <v>Město Šumperk, nám. Míru 1, 787 01 Šumperk</v>
      </c>
      <c r="G2" s="109"/>
      <c r="H2" s="115" t="s">
        <v>809</v>
      </c>
      <c r="I2" s="123" t="s">
        <v>810</v>
      </c>
    </row>
    <row r="3" spans="1:9" ht="15" customHeight="1" x14ac:dyDescent="0.25">
      <c r="A3" s="110"/>
      <c r="B3" s="111"/>
      <c r="C3" s="119"/>
      <c r="D3" s="119"/>
      <c r="E3" s="111"/>
      <c r="F3" s="111"/>
      <c r="G3" s="111"/>
      <c r="H3" s="111"/>
      <c r="I3" s="124"/>
    </row>
    <row r="4" spans="1:9" x14ac:dyDescent="0.25">
      <c r="A4" s="112" t="s">
        <v>7</v>
      </c>
      <c r="B4" s="111"/>
      <c r="C4" s="116" t="str">
        <f>'Stavební rozpočet'!C4</f>
        <v>Bytový dům</v>
      </c>
      <c r="D4" s="111"/>
      <c r="E4" s="116" t="s">
        <v>10</v>
      </c>
      <c r="F4" s="116" t="str">
        <f>'Stavební rozpočet'!I4</f>
        <v>Ing. Petr Doleček</v>
      </c>
      <c r="G4" s="111"/>
      <c r="H4" s="116" t="s">
        <v>809</v>
      </c>
      <c r="I4" s="124" t="s">
        <v>811</v>
      </c>
    </row>
    <row r="5" spans="1:9" ht="15" customHeight="1" x14ac:dyDescent="0.25">
      <c r="A5" s="110"/>
      <c r="B5" s="111"/>
      <c r="C5" s="111"/>
      <c r="D5" s="111"/>
      <c r="E5" s="111"/>
      <c r="F5" s="111"/>
      <c r="G5" s="111"/>
      <c r="H5" s="111"/>
      <c r="I5" s="124"/>
    </row>
    <row r="6" spans="1:9" x14ac:dyDescent="0.25">
      <c r="A6" s="112" t="s">
        <v>12</v>
      </c>
      <c r="B6" s="111"/>
      <c r="C6" s="116" t="str">
        <f>'Stavební rozpočet'!C6</f>
        <v>17.listopadu 1326/5 Šumperk</v>
      </c>
      <c r="D6" s="111"/>
      <c r="E6" s="116" t="s">
        <v>15</v>
      </c>
      <c r="F6" s="116" t="str">
        <f>'Stavební rozpočet'!I6</f>
        <v> </v>
      </c>
      <c r="G6" s="111"/>
      <c r="H6" s="116" t="s">
        <v>809</v>
      </c>
      <c r="I6" s="124" t="s">
        <v>50</v>
      </c>
    </row>
    <row r="7" spans="1:9" ht="15" customHeight="1" x14ac:dyDescent="0.25">
      <c r="A7" s="110"/>
      <c r="B7" s="111"/>
      <c r="C7" s="111"/>
      <c r="D7" s="111"/>
      <c r="E7" s="111"/>
      <c r="F7" s="111"/>
      <c r="G7" s="111"/>
      <c r="H7" s="111"/>
      <c r="I7" s="124"/>
    </row>
    <row r="8" spans="1:9" x14ac:dyDescent="0.25">
      <c r="A8" s="112" t="s">
        <v>9</v>
      </c>
      <c r="B8" s="111"/>
      <c r="C8" s="116" t="str">
        <f>'Stavební rozpočet'!G4</f>
        <v xml:space="preserve"> </v>
      </c>
      <c r="D8" s="111"/>
      <c r="E8" s="116" t="s">
        <v>14</v>
      </c>
      <c r="F8" s="116" t="str">
        <f>'Stavební rozpočet'!G6</f>
        <v xml:space="preserve"> </v>
      </c>
      <c r="G8" s="111"/>
      <c r="H8" s="111" t="s">
        <v>812</v>
      </c>
      <c r="I8" s="167">
        <v>183</v>
      </c>
    </row>
    <row r="9" spans="1:9" x14ac:dyDescent="0.25">
      <c r="A9" s="110"/>
      <c r="B9" s="111"/>
      <c r="C9" s="111"/>
      <c r="D9" s="111"/>
      <c r="E9" s="111"/>
      <c r="F9" s="111"/>
      <c r="G9" s="111"/>
      <c r="H9" s="111"/>
      <c r="I9" s="124"/>
    </row>
    <row r="10" spans="1:9" x14ac:dyDescent="0.25">
      <c r="A10" s="112" t="s">
        <v>17</v>
      </c>
      <c r="B10" s="111"/>
      <c r="C10" s="116" t="str">
        <f>'Stavební rozpočet'!C8</f>
        <v xml:space="preserve"> </v>
      </c>
      <c r="D10" s="111"/>
      <c r="E10" s="116" t="s">
        <v>20</v>
      </c>
      <c r="F10" s="116" t="str">
        <f>'Stavební rozpočet'!I8</f>
        <v>Ing. Petr Doleček</v>
      </c>
      <c r="G10" s="111"/>
      <c r="H10" s="111" t="s">
        <v>813</v>
      </c>
      <c r="I10" s="168" t="str">
        <f>'Stavební rozpočet'!G8</f>
        <v>26.06.2024</v>
      </c>
    </row>
    <row r="11" spans="1:9" x14ac:dyDescent="0.25">
      <c r="A11" s="165"/>
      <c r="B11" s="166"/>
      <c r="C11" s="166"/>
      <c r="D11" s="166"/>
      <c r="E11" s="166"/>
      <c r="F11" s="166"/>
      <c r="G11" s="166"/>
      <c r="H11" s="166"/>
      <c r="I11" s="169"/>
    </row>
    <row r="13" spans="1:9" ht="15.75" x14ac:dyDescent="0.25">
      <c r="A13" s="203" t="s">
        <v>855</v>
      </c>
      <c r="B13" s="203"/>
      <c r="C13" s="203"/>
      <c r="D13" s="203"/>
      <c r="E13" s="203"/>
    </row>
    <row r="14" spans="1:9" x14ac:dyDescent="0.25">
      <c r="A14" s="204" t="s">
        <v>856</v>
      </c>
      <c r="B14" s="205"/>
      <c r="C14" s="205"/>
      <c r="D14" s="205"/>
      <c r="E14" s="206"/>
      <c r="F14" s="99" t="s">
        <v>857</v>
      </c>
      <c r="G14" s="99" t="s">
        <v>858</v>
      </c>
      <c r="H14" s="99" t="s">
        <v>859</v>
      </c>
      <c r="I14" s="99" t="s">
        <v>857</v>
      </c>
    </row>
    <row r="15" spans="1:9" x14ac:dyDescent="0.25">
      <c r="A15" s="207" t="s">
        <v>823</v>
      </c>
      <c r="B15" s="208"/>
      <c r="C15" s="208"/>
      <c r="D15" s="208"/>
      <c r="E15" s="209"/>
      <c r="F15" s="100">
        <v>0</v>
      </c>
      <c r="G15" s="101" t="s">
        <v>50</v>
      </c>
      <c r="H15" s="101" t="s">
        <v>50</v>
      </c>
      <c r="I15" s="100">
        <f>F15</f>
        <v>0</v>
      </c>
    </row>
    <row r="16" spans="1:9" x14ac:dyDescent="0.25">
      <c r="A16" s="207" t="s">
        <v>825</v>
      </c>
      <c r="B16" s="208"/>
      <c r="C16" s="208"/>
      <c r="D16" s="208"/>
      <c r="E16" s="209"/>
      <c r="F16" s="100">
        <v>0</v>
      </c>
      <c r="G16" s="101" t="s">
        <v>50</v>
      </c>
      <c r="H16" s="101" t="s">
        <v>50</v>
      </c>
      <c r="I16" s="100">
        <f>F16</f>
        <v>0</v>
      </c>
    </row>
    <row r="17" spans="1:9" x14ac:dyDescent="0.25">
      <c r="A17" s="210" t="s">
        <v>828</v>
      </c>
      <c r="B17" s="211"/>
      <c r="C17" s="211"/>
      <c r="D17" s="211"/>
      <c r="E17" s="212"/>
      <c r="F17" s="102">
        <v>0</v>
      </c>
      <c r="G17" s="103" t="s">
        <v>50</v>
      </c>
      <c r="H17" s="103" t="s">
        <v>50</v>
      </c>
      <c r="I17" s="102">
        <f>F17</f>
        <v>0</v>
      </c>
    </row>
    <row r="18" spans="1:9" x14ac:dyDescent="0.25">
      <c r="A18" s="213" t="s">
        <v>860</v>
      </c>
      <c r="B18" s="214"/>
      <c r="C18" s="214"/>
      <c r="D18" s="214"/>
      <c r="E18" s="215"/>
      <c r="F18" s="104" t="s">
        <v>50</v>
      </c>
      <c r="G18" s="105" t="s">
        <v>50</v>
      </c>
      <c r="H18" s="105" t="s">
        <v>50</v>
      </c>
      <c r="I18" s="106">
        <f>SUM(I15:I17)</f>
        <v>0</v>
      </c>
    </row>
    <row r="20" spans="1:9" x14ac:dyDescent="0.25">
      <c r="A20" s="204" t="s">
        <v>820</v>
      </c>
      <c r="B20" s="205"/>
      <c r="C20" s="205"/>
      <c r="D20" s="205"/>
      <c r="E20" s="206"/>
      <c r="F20" s="99" t="s">
        <v>857</v>
      </c>
      <c r="G20" s="99" t="s">
        <v>858</v>
      </c>
      <c r="H20" s="99" t="s">
        <v>859</v>
      </c>
      <c r="I20" s="99" t="s">
        <v>857</v>
      </c>
    </row>
    <row r="21" spans="1:9" x14ac:dyDescent="0.25">
      <c r="A21" s="207" t="s">
        <v>824</v>
      </c>
      <c r="B21" s="208"/>
      <c r="C21" s="208"/>
      <c r="D21" s="208"/>
      <c r="E21" s="209"/>
      <c r="F21" s="100">
        <v>0</v>
      </c>
      <c r="G21" s="101" t="s">
        <v>50</v>
      </c>
      <c r="H21" s="101" t="s">
        <v>50</v>
      </c>
      <c r="I21" s="100">
        <f t="shared" ref="I21:I26" si="0">F21</f>
        <v>0</v>
      </c>
    </row>
    <row r="22" spans="1:9" x14ac:dyDescent="0.25">
      <c r="A22" s="207" t="s">
        <v>826</v>
      </c>
      <c r="B22" s="208"/>
      <c r="C22" s="208"/>
      <c r="D22" s="208"/>
      <c r="E22" s="209"/>
      <c r="F22" s="100">
        <v>0</v>
      </c>
      <c r="G22" s="101" t="s">
        <v>50</v>
      </c>
      <c r="H22" s="101" t="s">
        <v>50</v>
      </c>
      <c r="I22" s="100">
        <f t="shared" si="0"/>
        <v>0</v>
      </c>
    </row>
    <row r="23" spans="1:9" x14ac:dyDescent="0.25">
      <c r="A23" s="207" t="s">
        <v>829</v>
      </c>
      <c r="B23" s="208"/>
      <c r="C23" s="208"/>
      <c r="D23" s="208"/>
      <c r="E23" s="209"/>
      <c r="F23" s="100">
        <v>0</v>
      </c>
      <c r="G23" s="101" t="s">
        <v>50</v>
      </c>
      <c r="H23" s="101" t="s">
        <v>50</v>
      </c>
      <c r="I23" s="100">
        <f t="shared" si="0"/>
        <v>0</v>
      </c>
    </row>
    <row r="24" spans="1:9" x14ac:dyDescent="0.25">
      <c r="A24" s="207" t="s">
        <v>830</v>
      </c>
      <c r="B24" s="208"/>
      <c r="C24" s="208"/>
      <c r="D24" s="208"/>
      <c r="E24" s="209"/>
      <c r="F24" s="100">
        <v>0</v>
      </c>
      <c r="G24" s="101" t="s">
        <v>50</v>
      </c>
      <c r="H24" s="101" t="s">
        <v>50</v>
      </c>
      <c r="I24" s="100">
        <f t="shared" si="0"/>
        <v>0</v>
      </c>
    </row>
    <row r="25" spans="1:9" x14ac:dyDescent="0.25">
      <c r="A25" s="207" t="s">
        <v>832</v>
      </c>
      <c r="B25" s="208"/>
      <c r="C25" s="208"/>
      <c r="D25" s="208"/>
      <c r="E25" s="209"/>
      <c r="F25" s="100">
        <v>0</v>
      </c>
      <c r="G25" s="101" t="s">
        <v>50</v>
      </c>
      <c r="H25" s="101" t="s">
        <v>50</v>
      </c>
      <c r="I25" s="100">
        <f t="shared" si="0"/>
        <v>0</v>
      </c>
    </row>
    <row r="26" spans="1:9" x14ac:dyDescent="0.25">
      <c r="A26" s="210" t="s">
        <v>833</v>
      </c>
      <c r="B26" s="211"/>
      <c r="C26" s="211"/>
      <c r="D26" s="211"/>
      <c r="E26" s="212"/>
      <c r="F26" s="102">
        <v>0</v>
      </c>
      <c r="G26" s="103" t="s">
        <v>50</v>
      </c>
      <c r="H26" s="103" t="s">
        <v>50</v>
      </c>
      <c r="I26" s="102">
        <f t="shared" si="0"/>
        <v>0</v>
      </c>
    </row>
    <row r="27" spans="1:9" x14ac:dyDescent="0.25">
      <c r="A27" s="213" t="s">
        <v>861</v>
      </c>
      <c r="B27" s="214"/>
      <c r="C27" s="214"/>
      <c r="D27" s="214"/>
      <c r="E27" s="215"/>
      <c r="F27" s="104" t="s">
        <v>50</v>
      </c>
      <c r="G27" s="106">
        <v>2</v>
      </c>
      <c r="H27" s="106">
        <f>'Krycí list rozpočtu'!C22</f>
        <v>0</v>
      </c>
      <c r="I27" s="106">
        <f>ROUND((G27/100)*H27,2)</f>
        <v>0</v>
      </c>
    </row>
    <row r="29" spans="1:9" ht="15.75" x14ac:dyDescent="0.25">
      <c r="A29" s="216" t="s">
        <v>862</v>
      </c>
      <c r="B29" s="217"/>
      <c r="C29" s="217"/>
      <c r="D29" s="217"/>
      <c r="E29" s="218"/>
      <c r="F29" s="219">
        <f>I18+I27</f>
        <v>0</v>
      </c>
      <c r="G29" s="220"/>
      <c r="H29" s="220"/>
      <c r="I29" s="221"/>
    </row>
    <row r="33" spans="1:9" ht="15.75" x14ac:dyDescent="0.25">
      <c r="A33" s="203" t="s">
        <v>863</v>
      </c>
      <c r="B33" s="203"/>
      <c r="C33" s="203"/>
      <c r="D33" s="203"/>
      <c r="E33" s="203"/>
    </row>
    <row r="34" spans="1:9" x14ac:dyDescent="0.25">
      <c r="A34" s="204" t="s">
        <v>864</v>
      </c>
      <c r="B34" s="205"/>
      <c r="C34" s="205"/>
      <c r="D34" s="205"/>
      <c r="E34" s="206"/>
      <c r="F34" s="99" t="s">
        <v>857</v>
      </c>
      <c r="G34" s="99" t="s">
        <v>858</v>
      </c>
      <c r="H34" s="99" t="s">
        <v>859</v>
      </c>
      <c r="I34" s="99" t="s">
        <v>857</v>
      </c>
    </row>
    <row r="35" spans="1:9" x14ac:dyDescent="0.25">
      <c r="A35" s="210" t="s">
        <v>50</v>
      </c>
      <c r="B35" s="211"/>
      <c r="C35" s="211"/>
      <c r="D35" s="211"/>
      <c r="E35" s="212"/>
      <c r="F35" s="102">
        <v>0</v>
      </c>
      <c r="G35" s="103" t="s">
        <v>50</v>
      </c>
      <c r="H35" s="103" t="s">
        <v>50</v>
      </c>
      <c r="I35" s="102">
        <f>F35</f>
        <v>0</v>
      </c>
    </row>
    <row r="36" spans="1:9" x14ac:dyDescent="0.25">
      <c r="A36" s="213" t="s">
        <v>865</v>
      </c>
      <c r="B36" s="214"/>
      <c r="C36" s="214"/>
      <c r="D36" s="214"/>
      <c r="E36" s="215"/>
      <c r="F36" s="104" t="s">
        <v>50</v>
      </c>
      <c r="G36" s="105" t="s">
        <v>50</v>
      </c>
      <c r="H36" s="105" t="s">
        <v>50</v>
      </c>
      <c r="I36" s="106">
        <f>SUM(I35:I35)</f>
        <v>0</v>
      </c>
    </row>
  </sheetData>
  <sheetProtection password="C7C0" sheet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Stavební rozpočet</vt:lpstr>
      <vt:lpstr>Výkaz výměr</vt:lpstr>
      <vt:lpstr>Výpis materiálu elektro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Salcburgerová Lenka, Ing.</cp:lastModifiedBy>
  <dcterms:created xsi:type="dcterms:W3CDTF">2021-06-10T20:06:38Z</dcterms:created>
  <dcterms:modified xsi:type="dcterms:W3CDTF">2024-12-09T13:19:40Z</dcterms:modified>
</cp:coreProperties>
</file>