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cburgerova\Desktop\Revitalizace městských bytů v Šumperku\E_Rozpočet\"/>
    </mc:Choice>
  </mc:AlternateContent>
  <xr:revisionPtr revIDLastSave="0" documentId="13_ncr:1_{2BB6EF5E-AD48-45F3-9A62-C4674B99EB70}" xr6:coauthVersionLast="47" xr6:coauthVersionMax="47" xr10:uidLastSave="{00000000-0000-0000-0000-000000000000}"/>
  <bookViews>
    <workbookView xWindow="1470" yWindow="1470" windowWidth="25110" windowHeight="11850" activeTab="3" xr2:uid="{00000000-000D-0000-FFFF-FFFF00000000}"/>
  </bookViews>
  <sheets>
    <sheet name="Krycí list rozpočtu" sheetId="3" r:id="rId1"/>
    <sheet name="Stavební rozpočet" sheetId="1" r:id="rId2"/>
    <sheet name="Výkaz výměr" sheetId="2" r:id="rId3"/>
    <sheet name="Výpis materiálu elektro" sheetId="5" r:id="rId4"/>
    <sheet name="VORN" sheetId="4" state="hidden" r:id="rId5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4" l="1"/>
  <c r="I36" i="4" s="1"/>
  <c r="I26" i="4"/>
  <c r="I25" i="4"/>
  <c r="I24" i="4"/>
  <c r="I23" i="4"/>
  <c r="I22" i="4"/>
  <c r="I15" i="3" s="1"/>
  <c r="I21" i="4"/>
  <c r="I14" i="3" s="1"/>
  <c r="I18" i="4"/>
  <c r="I17" i="4"/>
  <c r="I16" i="4"/>
  <c r="I15" i="4"/>
  <c r="F14" i="3" s="1"/>
  <c r="F22" i="3" s="1"/>
  <c r="I10" i="4"/>
  <c r="F10" i="4"/>
  <c r="C10" i="4"/>
  <c r="F8" i="4"/>
  <c r="C8" i="4"/>
  <c r="F6" i="4"/>
  <c r="C6" i="4"/>
  <c r="F4" i="4"/>
  <c r="C4" i="4"/>
  <c r="F2" i="4"/>
  <c r="C2" i="4"/>
  <c r="I24" i="3"/>
  <c r="I19" i="3"/>
  <c r="I18" i="3"/>
  <c r="I17" i="3"/>
  <c r="I16" i="3"/>
  <c r="F16" i="3"/>
  <c r="F15" i="3"/>
  <c r="I10" i="3"/>
  <c r="F10" i="3"/>
  <c r="C10" i="3"/>
  <c r="F8" i="3"/>
  <c r="C8" i="3"/>
  <c r="F6" i="3"/>
  <c r="C6" i="3"/>
  <c r="F4" i="3"/>
  <c r="C4" i="3"/>
  <c r="F2" i="3"/>
  <c r="C2" i="3"/>
  <c r="F8" i="2"/>
  <c r="C8" i="2"/>
  <c r="F6" i="2"/>
  <c r="C6" i="2"/>
  <c r="F4" i="2"/>
  <c r="C4" i="2"/>
  <c r="F2" i="2"/>
  <c r="C2" i="2"/>
  <c r="BJ299" i="1"/>
  <c r="BF299" i="1"/>
  <c r="BD299" i="1"/>
  <c r="AW299" i="1"/>
  <c r="AP299" i="1"/>
  <c r="AO299" i="1"/>
  <c r="BH299" i="1" s="1"/>
  <c r="AL299" i="1"/>
  <c r="AJ299" i="1"/>
  <c r="AH299" i="1"/>
  <c r="AG299" i="1"/>
  <c r="AF299" i="1"/>
  <c r="AE299" i="1"/>
  <c r="AD299" i="1"/>
  <c r="AC299" i="1"/>
  <c r="AB299" i="1"/>
  <c r="Z299" i="1"/>
  <c r="J299" i="1"/>
  <c r="AK299" i="1" s="1"/>
  <c r="H299" i="1"/>
  <c r="BJ297" i="1"/>
  <c r="BF297" i="1"/>
  <c r="BD297" i="1"/>
  <c r="AX297" i="1"/>
  <c r="AV297" i="1" s="1"/>
  <c r="AW297" i="1"/>
  <c r="AP297" i="1"/>
  <c r="BI297" i="1" s="1"/>
  <c r="AO297" i="1"/>
  <c r="H297" i="1" s="1"/>
  <c r="AL297" i="1"/>
  <c r="AJ297" i="1"/>
  <c r="AH297" i="1"/>
  <c r="AG297" i="1"/>
  <c r="AF297" i="1"/>
  <c r="AE297" i="1"/>
  <c r="AD297" i="1"/>
  <c r="AC297" i="1"/>
  <c r="Z297" i="1"/>
  <c r="J297" i="1"/>
  <c r="AK297" i="1" s="1"/>
  <c r="I297" i="1"/>
  <c r="BJ295" i="1"/>
  <c r="BH295" i="1"/>
  <c r="AF295" i="1" s="1"/>
  <c r="BF295" i="1"/>
  <c r="BD295" i="1"/>
  <c r="AX295" i="1"/>
  <c r="BC295" i="1" s="1"/>
  <c r="AW295" i="1"/>
  <c r="AP295" i="1"/>
  <c r="I295" i="1" s="1"/>
  <c r="AO295" i="1"/>
  <c r="AL295" i="1"/>
  <c r="AJ295" i="1"/>
  <c r="AH295" i="1"/>
  <c r="AE295" i="1"/>
  <c r="AD295" i="1"/>
  <c r="AC295" i="1"/>
  <c r="AB295" i="1"/>
  <c r="Z295" i="1"/>
  <c r="J295" i="1"/>
  <c r="AK295" i="1" s="1"/>
  <c r="H295" i="1"/>
  <c r="BJ293" i="1"/>
  <c r="BI293" i="1"/>
  <c r="AG293" i="1" s="1"/>
  <c r="BH293" i="1"/>
  <c r="BF293" i="1"/>
  <c r="BD293" i="1"/>
  <c r="BC293" i="1"/>
  <c r="AX293" i="1"/>
  <c r="AV293" i="1" s="1"/>
  <c r="AW293" i="1"/>
  <c r="AP293" i="1"/>
  <c r="AO293" i="1"/>
  <c r="AL293" i="1"/>
  <c r="AK293" i="1"/>
  <c r="AJ293" i="1"/>
  <c r="AH293" i="1"/>
  <c r="AF293" i="1"/>
  <c r="AE293" i="1"/>
  <c r="AD293" i="1"/>
  <c r="AC293" i="1"/>
  <c r="AB293" i="1"/>
  <c r="Z293" i="1"/>
  <c r="J293" i="1"/>
  <c r="I293" i="1"/>
  <c r="H293" i="1"/>
  <c r="BJ291" i="1"/>
  <c r="BI291" i="1"/>
  <c r="BF291" i="1"/>
  <c r="BD291" i="1"/>
  <c r="BC291" i="1"/>
  <c r="AX291" i="1"/>
  <c r="AW291" i="1"/>
  <c r="AV291" i="1" s="1"/>
  <c r="AP291" i="1"/>
  <c r="AO291" i="1"/>
  <c r="BH291" i="1" s="1"/>
  <c r="AF291" i="1" s="1"/>
  <c r="AL291" i="1"/>
  <c r="AK291" i="1"/>
  <c r="AJ291" i="1"/>
  <c r="AH291" i="1"/>
  <c r="AG291" i="1"/>
  <c r="AE291" i="1"/>
  <c r="AD291" i="1"/>
  <c r="AC291" i="1"/>
  <c r="AB291" i="1"/>
  <c r="Z291" i="1"/>
  <c r="J291" i="1"/>
  <c r="I291" i="1"/>
  <c r="H291" i="1"/>
  <c r="BJ289" i="1"/>
  <c r="BH289" i="1"/>
  <c r="BF289" i="1"/>
  <c r="BD289" i="1"/>
  <c r="AX289" i="1"/>
  <c r="AW289" i="1"/>
  <c r="BC289" i="1" s="1"/>
  <c r="AP289" i="1"/>
  <c r="BI289" i="1" s="1"/>
  <c r="AO289" i="1"/>
  <c r="AL289" i="1"/>
  <c r="AK289" i="1"/>
  <c r="AJ289" i="1"/>
  <c r="AH289" i="1"/>
  <c r="AG289" i="1"/>
  <c r="AF289" i="1"/>
  <c r="AE289" i="1"/>
  <c r="AD289" i="1"/>
  <c r="AC289" i="1"/>
  <c r="AB289" i="1"/>
  <c r="Z289" i="1"/>
  <c r="J289" i="1"/>
  <c r="I289" i="1"/>
  <c r="H289" i="1"/>
  <c r="BJ287" i="1"/>
  <c r="BI287" i="1"/>
  <c r="AG287" i="1" s="1"/>
  <c r="BH287" i="1"/>
  <c r="AF287" i="1" s="1"/>
  <c r="BF287" i="1"/>
  <c r="BD287" i="1"/>
  <c r="AX287" i="1"/>
  <c r="AP287" i="1"/>
  <c r="AO287" i="1"/>
  <c r="AW287" i="1" s="1"/>
  <c r="AL287" i="1"/>
  <c r="AJ287" i="1"/>
  <c r="AH287" i="1"/>
  <c r="AE287" i="1"/>
  <c r="AD287" i="1"/>
  <c r="AC287" i="1"/>
  <c r="AB287" i="1"/>
  <c r="Z287" i="1"/>
  <c r="J287" i="1"/>
  <c r="AK287" i="1" s="1"/>
  <c r="I287" i="1"/>
  <c r="BJ285" i="1"/>
  <c r="BI285" i="1"/>
  <c r="AG285" i="1" s="1"/>
  <c r="BH285" i="1"/>
  <c r="AF285" i="1" s="1"/>
  <c r="BF285" i="1"/>
  <c r="BD285" i="1"/>
  <c r="AP285" i="1"/>
  <c r="AX285" i="1" s="1"/>
  <c r="AO285" i="1"/>
  <c r="AW285" i="1" s="1"/>
  <c r="AL285" i="1"/>
  <c r="AK285" i="1"/>
  <c r="AJ285" i="1"/>
  <c r="AH285" i="1"/>
  <c r="AE285" i="1"/>
  <c r="AD285" i="1"/>
  <c r="AC285" i="1"/>
  <c r="AB285" i="1"/>
  <c r="Z285" i="1"/>
  <c r="J285" i="1"/>
  <c r="H285" i="1"/>
  <c r="BJ283" i="1"/>
  <c r="BI283" i="1"/>
  <c r="AG283" i="1" s="1"/>
  <c r="BH283" i="1"/>
  <c r="BF283" i="1"/>
  <c r="BD283" i="1"/>
  <c r="AW283" i="1"/>
  <c r="BC283" i="1" s="1"/>
  <c r="AP283" i="1"/>
  <c r="AX283" i="1" s="1"/>
  <c r="AV283" i="1" s="1"/>
  <c r="AO283" i="1"/>
  <c r="AL283" i="1"/>
  <c r="AK283" i="1"/>
  <c r="AJ283" i="1"/>
  <c r="AH283" i="1"/>
  <c r="AF283" i="1"/>
  <c r="AE283" i="1"/>
  <c r="AD283" i="1"/>
  <c r="AC283" i="1"/>
  <c r="AB283" i="1"/>
  <c r="Z283" i="1"/>
  <c r="J283" i="1"/>
  <c r="I283" i="1"/>
  <c r="H283" i="1"/>
  <c r="BJ281" i="1"/>
  <c r="BI281" i="1"/>
  <c r="BF281" i="1"/>
  <c r="BD281" i="1"/>
  <c r="AX281" i="1"/>
  <c r="AP281" i="1"/>
  <c r="AO281" i="1"/>
  <c r="H281" i="1" s="1"/>
  <c r="AL281" i="1"/>
  <c r="AJ281" i="1"/>
  <c r="AH281" i="1"/>
  <c r="AG281" i="1"/>
  <c r="AE281" i="1"/>
  <c r="AD281" i="1"/>
  <c r="AC281" i="1"/>
  <c r="AB281" i="1"/>
  <c r="Z281" i="1"/>
  <c r="J281" i="1"/>
  <c r="AK281" i="1" s="1"/>
  <c r="I281" i="1"/>
  <c r="BJ279" i="1"/>
  <c r="BF279" i="1"/>
  <c r="BD279" i="1"/>
  <c r="AP279" i="1"/>
  <c r="AO279" i="1"/>
  <c r="AL279" i="1"/>
  <c r="AJ279" i="1"/>
  <c r="AH279" i="1"/>
  <c r="AE279" i="1"/>
  <c r="AD279" i="1"/>
  <c r="AC279" i="1"/>
  <c r="AB279" i="1"/>
  <c r="Z279" i="1"/>
  <c r="J279" i="1"/>
  <c r="AK279" i="1" s="1"/>
  <c r="BJ277" i="1"/>
  <c r="BF277" i="1"/>
  <c r="BD277" i="1"/>
  <c r="AP277" i="1"/>
  <c r="AO277" i="1"/>
  <c r="AL277" i="1"/>
  <c r="AJ277" i="1"/>
  <c r="AH277" i="1"/>
  <c r="AE277" i="1"/>
  <c r="AD277" i="1"/>
  <c r="AC277" i="1"/>
  <c r="AB277" i="1"/>
  <c r="Z277" i="1"/>
  <c r="J277" i="1"/>
  <c r="BJ275" i="1"/>
  <c r="BI275" i="1"/>
  <c r="BH275" i="1"/>
  <c r="BF275" i="1"/>
  <c r="BD275" i="1"/>
  <c r="AP275" i="1"/>
  <c r="AX275" i="1" s="1"/>
  <c r="AO275" i="1"/>
  <c r="AW275" i="1" s="1"/>
  <c r="AL275" i="1"/>
  <c r="AJ275" i="1"/>
  <c r="AH275" i="1"/>
  <c r="AG275" i="1"/>
  <c r="AF275" i="1"/>
  <c r="AE275" i="1"/>
  <c r="AD275" i="1"/>
  <c r="AC275" i="1"/>
  <c r="AB275" i="1"/>
  <c r="Z275" i="1"/>
  <c r="J275" i="1"/>
  <c r="AK275" i="1" s="1"/>
  <c r="I275" i="1"/>
  <c r="BJ274" i="1"/>
  <c r="BI274" i="1"/>
  <c r="AG274" i="1" s="1"/>
  <c r="BH274" i="1"/>
  <c r="AF274" i="1" s="1"/>
  <c r="BF274" i="1"/>
  <c r="BD274" i="1"/>
  <c r="AP274" i="1"/>
  <c r="AX274" i="1" s="1"/>
  <c r="AO274" i="1"/>
  <c r="AW274" i="1" s="1"/>
  <c r="AL274" i="1"/>
  <c r="AK274" i="1"/>
  <c r="AJ274" i="1"/>
  <c r="AH274" i="1"/>
  <c r="AE274" i="1"/>
  <c r="AD274" i="1"/>
  <c r="AC274" i="1"/>
  <c r="AB274" i="1"/>
  <c r="Z274" i="1"/>
  <c r="J274" i="1"/>
  <c r="H274" i="1"/>
  <c r="BJ273" i="1"/>
  <c r="BI273" i="1"/>
  <c r="AC273" i="1" s="1"/>
  <c r="BH273" i="1"/>
  <c r="BF273" i="1"/>
  <c r="BD273" i="1"/>
  <c r="AW273" i="1"/>
  <c r="BC273" i="1" s="1"/>
  <c r="AP273" i="1"/>
  <c r="AX273" i="1" s="1"/>
  <c r="AO273" i="1"/>
  <c r="AL273" i="1"/>
  <c r="AK273" i="1"/>
  <c r="AJ273" i="1"/>
  <c r="AH273" i="1"/>
  <c r="AG273" i="1"/>
  <c r="AF273" i="1"/>
  <c r="AE273" i="1"/>
  <c r="AD273" i="1"/>
  <c r="AB273" i="1"/>
  <c r="Z273" i="1"/>
  <c r="J273" i="1"/>
  <c r="I273" i="1"/>
  <c r="H273" i="1"/>
  <c r="BJ272" i="1"/>
  <c r="BI272" i="1"/>
  <c r="BF272" i="1"/>
  <c r="BD272" i="1"/>
  <c r="AX272" i="1"/>
  <c r="AP272" i="1"/>
  <c r="AO272" i="1"/>
  <c r="H272" i="1" s="1"/>
  <c r="AL272" i="1"/>
  <c r="AJ272" i="1"/>
  <c r="AH272" i="1"/>
  <c r="AG272" i="1"/>
  <c r="AF272" i="1"/>
  <c r="AE272" i="1"/>
  <c r="AD272" i="1"/>
  <c r="AC272" i="1"/>
  <c r="Z272" i="1"/>
  <c r="J272" i="1"/>
  <c r="AK272" i="1" s="1"/>
  <c r="I272" i="1"/>
  <c r="BJ271" i="1"/>
  <c r="BF271" i="1"/>
  <c r="BD271" i="1"/>
  <c r="AP271" i="1"/>
  <c r="AO271" i="1"/>
  <c r="AL271" i="1"/>
  <c r="AJ271" i="1"/>
  <c r="AH271" i="1"/>
  <c r="AG271" i="1"/>
  <c r="AF271" i="1"/>
  <c r="AE271" i="1"/>
  <c r="AD271" i="1"/>
  <c r="Z271" i="1"/>
  <c r="J271" i="1"/>
  <c r="AK271" i="1" s="1"/>
  <c r="BJ270" i="1"/>
  <c r="BF270" i="1"/>
  <c r="BD270" i="1"/>
  <c r="AP270" i="1"/>
  <c r="AO270" i="1"/>
  <c r="AL270" i="1"/>
  <c r="AJ270" i="1"/>
  <c r="AH270" i="1"/>
  <c r="AE270" i="1"/>
  <c r="AD270" i="1"/>
  <c r="AC270" i="1"/>
  <c r="AB270" i="1"/>
  <c r="Z270" i="1"/>
  <c r="J270" i="1"/>
  <c r="AK270" i="1" s="1"/>
  <c r="BJ269" i="1"/>
  <c r="BF269" i="1"/>
  <c r="BD269" i="1"/>
  <c r="AW269" i="1"/>
  <c r="AP269" i="1"/>
  <c r="AO269" i="1"/>
  <c r="BH269" i="1" s="1"/>
  <c r="AL269" i="1"/>
  <c r="AJ269" i="1"/>
  <c r="AH269" i="1"/>
  <c r="AG269" i="1"/>
  <c r="AF269" i="1"/>
  <c r="AE269" i="1"/>
  <c r="AD269" i="1"/>
  <c r="AB269" i="1"/>
  <c r="Z269" i="1"/>
  <c r="J269" i="1"/>
  <c r="AK269" i="1" s="1"/>
  <c r="H269" i="1"/>
  <c r="BJ268" i="1"/>
  <c r="BH268" i="1"/>
  <c r="BF268" i="1"/>
  <c r="BD268" i="1"/>
  <c r="AX268" i="1"/>
  <c r="AW268" i="1"/>
  <c r="BC268" i="1" s="1"/>
  <c r="AV268" i="1"/>
  <c r="AP268" i="1"/>
  <c r="BI268" i="1" s="1"/>
  <c r="AG268" i="1" s="1"/>
  <c r="AO268" i="1"/>
  <c r="H268" i="1" s="1"/>
  <c r="AL268" i="1"/>
  <c r="AJ268" i="1"/>
  <c r="AH268" i="1"/>
  <c r="AF268" i="1"/>
  <c r="AE268" i="1"/>
  <c r="AD268" i="1"/>
  <c r="AC268" i="1"/>
  <c r="AB268" i="1"/>
  <c r="Z268" i="1"/>
  <c r="J268" i="1"/>
  <c r="AK268" i="1" s="1"/>
  <c r="I268" i="1"/>
  <c r="BJ267" i="1"/>
  <c r="BI267" i="1"/>
  <c r="BH267" i="1"/>
  <c r="AB267" i="1" s="1"/>
  <c r="BF267" i="1"/>
  <c r="BD267" i="1"/>
  <c r="AX267" i="1"/>
  <c r="BC267" i="1" s="1"/>
  <c r="AW267" i="1"/>
  <c r="AP267" i="1"/>
  <c r="I267" i="1" s="1"/>
  <c r="AO267" i="1"/>
  <c r="AL267" i="1"/>
  <c r="AJ267" i="1"/>
  <c r="AH267" i="1"/>
  <c r="AG267" i="1"/>
  <c r="AF267" i="1"/>
  <c r="AE267" i="1"/>
  <c r="AD267" i="1"/>
  <c r="AC267" i="1"/>
  <c r="Z267" i="1"/>
  <c r="J267" i="1"/>
  <c r="AK267" i="1" s="1"/>
  <c r="H267" i="1"/>
  <c r="BJ266" i="1"/>
  <c r="BI266" i="1"/>
  <c r="AC266" i="1" s="1"/>
  <c r="BH266" i="1"/>
  <c r="AB266" i="1" s="1"/>
  <c r="BF266" i="1"/>
  <c r="BD266" i="1"/>
  <c r="AX266" i="1"/>
  <c r="BC266" i="1" s="1"/>
  <c r="AW266" i="1"/>
  <c r="AP266" i="1"/>
  <c r="AO266" i="1"/>
  <c r="AL266" i="1"/>
  <c r="AK266" i="1"/>
  <c r="AJ266" i="1"/>
  <c r="AH266" i="1"/>
  <c r="AG266" i="1"/>
  <c r="AF266" i="1"/>
  <c r="AE266" i="1"/>
  <c r="AD266" i="1"/>
  <c r="Z266" i="1"/>
  <c r="J266" i="1"/>
  <c r="I266" i="1"/>
  <c r="H266" i="1"/>
  <c r="BJ265" i="1"/>
  <c r="BI265" i="1"/>
  <c r="AC265" i="1" s="1"/>
  <c r="BF265" i="1"/>
  <c r="BD265" i="1"/>
  <c r="BC265" i="1"/>
  <c r="AX265" i="1"/>
  <c r="AP265" i="1"/>
  <c r="AO265" i="1"/>
  <c r="AW265" i="1" s="1"/>
  <c r="AV265" i="1" s="1"/>
  <c r="AL265" i="1"/>
  <c r="AK265" i="1"/>
  <c r="AJ265" i="1"/>
  <c r="AH265" i="1"/>
  <c r="AG265" i="1"/>
  <c r="AF265" i="1"/>
  <c r="AE265" i="1"/>
  <c r="AD265" i="1"/>
  <c r="Z265" i="1"/>
  <c r="J265" i="1"/>
  <c r="I265" i="1"/>
  <c r="H265" i="1"/>
  <c r="BJ264" i="1"/>
  <c r="BH264" i="1"/>
  <c r="AB264" i="1" s="1"/>
  <c r="BF264" i="1"/>
  <c r="BD264" i="1"/>
  <c r="AX264" i="1"/>
  <c r="AP264" i="1"/>
  <c r="BI264" i="1" s="1"/>
  <c r="AC264" i="1" s="1"/>
  <c r="AO264" i="1"/>
  <c r="AW264" i="1" s="1"/>
  <c r="AL264" i="1"/>
  <c r="AK264" i="1"/>
  <c r="AJ264" i="1"/>
  <c r="AH264" i="1"/>
  <c r="AG264" i="1"/>
  <c r="AF264" i="1"/>
  <c r="AE264" i="1"/>
  <c r="AD264" i="1"/>
  <c r="Z264" i="1"/>
  <c r="J264" i="1"/>
  <c r="I264" i="1"/>
  <c r="H264" i="1"/>
  <c r="BJ263" i="1"/>
  <c r="BI263" i="1"/>
  <c r="AC263" i="1" s="1"/>
  <c r="BH263" i="1"/>
  <c r="AB263" i="1" s="1"/>
  <c r="BF263" i="1"/>
  <c r="BD263" i="1"/>
  <c r="AP263" i="1"/>
  <c r="AX263" i="1" s="1"/>
  <c r="AO263" i="1"/>
  <c r="AW263" i="1" s="1"/>
  <c r="AL263" i="1"/>
  <c r="AJ263" i="1"/>
  <c r="AH263" i="1"/>
  <c r="AG263" i="1"/>
  <c r="AF263" i="1"/>
  <c r="AE263" i="1"/>
  <c r="AD263" i="1"/>
  <c r="Z263" i="1"/>
  <c r="J263" i="1"/>
  <c r="AK263" i="1" s="1"/>
  <c r="I263" i="1"/>
  <c r="BJ262" i="1"/>
  <c r="BI262" i="1"/>
  <c r="AG262" i="1" s="1"/>
  <c r="BH262" i="1"/>
  <c r="AF262" i="1" s="1"/>
  <c r="BF262" i="1"/>
  <c r="BD262" i="1"/>
  <c r="AP262" i="1"/>
  <c r="AX262" i="1" s="1"/>
  <c r="AO262" i="1"/>
  <c r="AW262" i="1" s="1"/>
  <c r="AL262" i="1"/>
  <c r="AK262" i="1"/>
  <c r="AJ262" i="1"/>
  <c r="AH262" i="1"/>
  <c r="AE262" i="1"/>
  <c r="AD262" i="1"/>
  <c r="AC262" i="1"/>
  <c r="AB262" i="1"/>
  <c r="Z262" i="1"/>
  <c r="J262" i="1"/>
  <c r="H262" i="1"/>
  <c r="BJ261" i="1"/>
  <c r="BI261" i="1"/>
  <c r="AC261" i="1" s="1"/>
  <c r="BH261" i="1"/>
  <c r="BF261" i="1"/>
  <c r="BD261" i="1"/>
  <c r="AW261" i="1"/>
  <c r="AP261" i="1"/>
  <c r="AX261" i="1" s="1"/>
  <c r="AO261" i="1"/>
  <c r="AL261" i="1"/>
  <c r="AK261" i="1"/>
  <c r="AJ261" i="1"/>
  <c r="AH261" i="1"/>
  <c r="AG261" i="1"/>
  <c r="AF261" i="1"/>
  <c r="AE261" i="1"/>
  <c r="AD261" i="1"/>
  <c r="AB261" i="1"/>
  <c r="Z261" i="1"/>
  <c r="J261" i="1"/>
  <c r="I261" i="1"/>
  <c r="H261" i="1"/>
  <c r="BJ260" i="1"/>
  <c r="BI260" i="1"/>
  <c r="BF260" i="1"/>
  <c r="BD260" i="1"/>
  <c r="AX260" i="1"/>
  <c r="AP260" i="1"/>
  <c r="AO260" i="1"/>
  <c r="AL260" i="1"/>
  <c r="AJ260" i="1"/>
  <c r="AH260" i="1"/>
  <c r="AG260" i="1"/>
  <c r="AE260" i="1"/>
  <c r="AD260" i="1"/>
  <c r="AC260" i="1"/>
  <c r="AB260" i="1"/>
  <c r="Z260" i="1"/>
  <c r="J260" i="1"/>
  <c r="AK260" i="1" s="1"/>
  <c r="I260" i="1"/>
  <c r="H260" i="1"/>
  <c r="BJ258" i="1"/>
  <c r="BF258" i="1"/>
  <c r="BD258" i="1"/>
  <c r="AP258" i="1"/>
  <c r="AO258" i="1"/>
  <c r="AL258" i="1"/>
  <c r="AJ258" i="1"/>
  <c r="AH258" i="1"/>
  <c r="AE258" i="1"/>
  <c r="AD258" i="1"/>
  <c r="AC258" i="1"/>
  <c r="AB258" i="1"/>
  <c r="Z258" i="1"/>
  <c r="J258" i="1"/>
  <c r="AK258" i="1" s="1"/>
  <c r="BJ256" i="1"/>
  <c r="BF256" i="1"/>
  <c r="BD256" i="1"/>
  <c r="AP256" i="1"/>
  <c r="AO256" i="1"/>
  <c r="AL256" i="1"/>
  <c r="AJ256" i="1"/>
  <c r="AH256" i="1"/>
  <c r="AE256" i="1"/>
  <c r="AD256" i="1"/>
  <c r="AC256" i="1"/>
  <c r="AB256" i="1"/>
  <c r="Z256" i="1"/>
  <c r="J256" i="1"/>
  <c r="AK256" i="1" s="1"/>
  <c r="BJ254" i="1"/>
  <c r="BH254" i="1"/>
  <c r="BF254" i="1"/>
  <c r="BD254" i="1"/>
  <c r="AW254" i="1"/>
  <c r="AP254" i="1"/>
  <c r="AO254" i="1"/>
  <c r="AL254" i="1"/>
  <c r="AJ254" i="1"/>
  <c r="AH254" i="1"/>
  <c r="AF254" i="1"/>
  <c r="AE254" i="1"/>
  <c r="AD254" i="1"/>
  <c r="AC254" i="1"/>
  <c r="AB254" i="1"/>
  <c r="Z254" i="1"/>
  <c r="J254" i="1"/>
  <c r="AK254" i="1" s="1"/>
  <c r="H254" i="1"/>
  <c r="BJ252" i="1"/>
  <c r="BI252" i="1"/>
  <c r="BH252" i="1"/>
  <c r="AF252" i="1" s="1"/>
  <c r="BF252" i="1"/>
  <c r="BD252" i="1"/>
  <c r="AX252" i="1"/>
  <c r="AW252" i="1"/>
  <c r="BC252" i="1" s="1"/>
  <c r="AP252" i="1"/>
  <c r="AO252" i="1"/>
  <c r="H252" i="1" s="1"/>
  <c r="AL252" i="1"/>
  <c r="AJ252" i="1"/>
  <c r="AH252" i="1"/>
  <c r="AG252" i="1"/>
  <c r="AE252" i="1"/>
  <c r="AD252" i="1"/>
  <c r="AC252" i="1"/>
  <c r="AB252" i="1"/>
  <c r="Z252" i="1"/>
  <c r="J252" i="1"/>
  <c r="AK252" i="1" s="1"/>
  <c r="I252" i="1"/>
  <c r="BJ251" i="1"/>
  <c r="BI251" i="1"/>
  <c r="BH251" i="1"/>
  <c r="AB251" i="1" s="1"/>
  <c r="BF251" i="1"/>
  <c r="BD251" i="1"/>
  <c r="AX251" i="1"/>
  <c r="BC251" i="1" s="1"/>
  <c r="AW251" i="1"/>
  <c r="AP251" i="1"/>
  <c r="I251" i="1" s="1"/>
  <c r="AO251" i="1"/>
  <c r="AL251" i="1"/>
  <c r="AK251" i="1"/>
  <c r="AJ251" i="1"/>
  <c r="AH251" i="1"/>
  <c r="AG251" i="1"/>
  <c r="AF251" i="1"/>
  <c r="AE251" i="1"/>
  <c r="AD251" i="1"/>
  <c r="AC251" i="1"/>
  <c r="Z251" i="1"/>
  <c r="J251" i="1"/>
  <c r="H251" i="1"/>
  <c r="BJ250" i="1"/>
  <c r="BI250" i="1"/>
  <c r="AC250" i="1" s="1"/>
  <c r="BH250" i="1"/>
  <c r="AB250" i="1" s="1"/>
  <c r="BF250" i="1"/>
  <c r="BD250" i="1"/>
  <c r="BC250" i="1"/>
  <c r="AX250" i="1"/>
  <c r="AW250" i="1"/>
  <c r="AV250" i="1" s="1"/>
  <c r="AP250" i="1"/>
  <c r="AO250" i="1"/>
  <c r="AL250" i="1"/>
  <c r="AK250" i="1"/>
  <c r="AJ250" i="1"/>
  <c r="AH250" i="1"/>
  <c r="AG250" i="1"/>
  <c r="AF250" i="1"/>
  <c r="AE250" i="1"/>
  <c r="AD250" i="1"/>
  <c r="Z250" i="1"/>
  <c r="J250" i="1"/>
  <c r="I250" i="1"/>
  <c r="H250" i="1"/>
  <c r="BJ249" i="1"/>
  <c r="BI249" i="1"/>
  <c r="AC249" i="1" s="1"/>
  <c r="BF249" i="1"/>
  <c r="BD249" i="1"/>
  <c r="BC249" i="1"/>
  <c r="AX249" i="1"/>
  <c r="AP249" i="1"/>
  <c r="AO249" i="1"/>
  <c r="AW249" i="1" s="1"/>
  <c r="AV249" i="1" s="1"/>
  <c r="AL249" i="1"/>
  <c r="AK249" i="1"/>
  <c r="AJ249" i="1"/>
  <c r="AH249" i="1"/>
  <c r="AG249" i="1"/>
  <c r="AF249" i="1"/>
  <c r="AE249" i="1"/>
  <c r="AD249" i="1"/>
  <c r="Z249" i="1"/>
  <c r="J249" i="1"/>
  <c r="I249" i="1"/>
  <c r="H249" i="1"/>
  <c r="BJ248" i="1"/>
  <c r="BH248" i="1"/>
  <c r="AF248" i="1" s="1"/>
  <c r="BF248" i="1"/>
  <c r="BD248" i="1"/>
  <c r="AP248" i="1"/>
  <c r="AX248" i="1" s="1"/>
  <c r="AO248" i="1"/>
  <c r="AW248" i="1" s="1"/>
  <c r="AL248" i="1"/>
  <c r="AJ248" i="1"/>
  <c r="AH248" i="1"/>
  <c r="AE248" i="1"/>
  <c r="AD248" i="1"/>
  <c r="AC248" i="1"/>
  <c r="AB248" i="1"/>
  <c r="Z248" i="1"/>
  <c r="J248" i="1"/>
  <c r="AK248" i="1" s="1"/>
  <c r="I248" i="1"/>
  <c r="H248" i="1"/>
  <c r="BJ247" i="1"/>
  <c r="BI247" i="1"/>
  <c r="AC247" i="1" s="1"/>
  <c r="BH247" i="1"/>
  <c r="AB247" i="1" s="1"/>
  <c r="BF247" i="1"/>
  <c r="BD247" i="1"/>
  <c r="AP247" i="1"/>
  <c r="AX247" i="1" s="1"/>
  <c r="AO247" i="1"/>
  <c r="AW247" i="1" s="1"/>
  <c r="AL247" i="1"/>
  <c r="AJ247" i="1"/>
  <c r="AH247" i="1"/>
  <c r="AG247" i="1"/>
  <c r="AF247" i="1"/>
  <c r="AE247" i="1"/>
  <c r="AD247" i="1"/>
  <c r="Z247" i="1"/>
  <c r="J247" i="1"/>
  <c r="AK247" i="1" s="1"/>
  <c r="I247" i="1"/>
  <c r="BJ246" i="1"/>
  <c r="BI246" i="1"/>
  <c r="AG246" i="1" s="1"/>
  <c r="BH246" i="1"/>
  <c r="AF246" i="1" s="1"/>
  <c r="BF246" i="1"/>
  <c r="BD246" i="1"/>
  <c r="AP246" i="1"/>
  <c r="AX246" i="1" s="1"/>
  <c r="AO246" i="1"/>
  <c r="AW246" i="1" s="1"/>
  <c r="AL246" i="1"/>
  <c r="AK246" i="1"/>
  <c r="AJ246" i="1"/>
  <c r="AH246" i="1"/>
  <c r="AE246" i="1"/>
  <c r="AD246" i="1"/>
  <c r="AC246" i="1"/>
  <c r="AB246" i="1"/>
  <c r="Z246" i="1"/>
  <c r="J246" i="1"/>
  <c r="H246" i="1"/>
  <c r="BJ245" i="1"/>
  <c r="BI245" i="1"/>
  <c r="AC245" i="1" s="1"/>
  <c r="BH245" i="1"/>
  <c r="BF245" i="1"/>
  <c r="BD245" i="1"/>
  <c r="AW245" i="1"/>
  <c r="BC245" i="1" s="1"/>
  <c r="AP245" i="1"/>
  <c r="AX245" i="1" s="1"/>
  <c r="AO245" i="1"/>
  <c r="AL245" i="1"/>
  <c r="AK245" i="1"/>
  <c r="AJ245" i="1"/>
  <c r="AH245" i="1"/>
  <c r="AG245" i="1"/>
  <c r="AF245" i="1"/>
  <c r="AE245" i="1"/>
  <c r="AD245" i="1"/>
  <c r="AB245" i="1"/>
  <c r="Z245" i="1"/>
  <c r="J245" i="1"/>
  <c r="I245" i="1"/>
  <c r="H245" i="1"/>
  <c r="BJ244" i="1"/>
  <c r="BI244" i="1"/>
  <c r="BF244" i="1"/>
  <c r="BD244" i="1"/>
  <c r="AX244" i="1"/>
  <c r="AP244" i="1"/>
  <c r="AO244" i="1"/>
  <c r="H244" i="1" s="1"/>
  <c r="AL244" i="1"/>
  <c r="AJ244" i="1"/>
  <c r="AH244" i="1"/>
  <c r="AG244" i="1"/>
  <c r="AE244" i="1"/>
  <c r="AD244" i="1"/>
  <c r="AC244" i="1"/>
  <c r="AB244" i="1"/>
  <c r="Z244" i="1"/>
  <c r="J244" i="1"/>
  <c r="AK244" i="1" s="1"/>
  <c r="I244" i="1"/>
  <c r="BJ243" i="1"/>
  <c r="BF243" i="1"/>
  <c r="BD243" i="1"/>
  <c r="AP243" i="1"/>
  <c r="AO243" i="1"/>
  <c r="AL243" i="1"/>
  <c r="AJ243" i="1"/>
  <c r="AH243" i="1"/>
  <c r="AG243" i="1"/>
  <c r="AF243" i="1"/>
  <c r="AE243" i="1"/>
  <c r="AD243" i="1"/>
  <c r="Z243" i="1"/>
  <c r="J243" i="1"/>
  <c r="AK243" i="1" s="1"/>
  <c r="BJ242" i="1"/>
  <c r="BF242" i="1"/>
  <c r="BD242" i="1"/>
  <c r="AP242" i="1"/>
  <c r="AO242" i="1"/>
  <c r="AL242" i="1"/>
  <c r="AJ242" i="1"/>
  <c r="AH242" i="1"/>
  <c r="AE242" i="1"/>
  <c r="AD242" i="1"/>
  <c r="AC242" i="1"/>
  <c r="AB242" i="1"/>
  <c r="Z242" i="1"/>
  <c r="J242" i="1"/>
  <c r="BJ241" i="1"/>
  <c r="BF241" i="1"/>
  <c r="BD241" i="1"/>
  <c r="AW241" i="1"/>
  <c r="AP241" i="1"/>
  <c r="AO241" i="1"/>
  <c r="H241" i="1" s="1"/>
  <c r="AL241" i="1"/>
  <c r="AJ241" i="1"/>
  <c r="AH241" i="1"/>
  <c r="AE241" i="1"/>
  <c r="AD241" i="1"/>
  <c r="AC241" i="1"/>
  <c r="AB241" i="1"/>
  <c r="Z241" i="1"/>
  <c r="J241" i="1"/>
  <c r="AK241" i="1" s="1"/>
  <c r="BJ239" i="1"/>
  <c r="BI239" i="1"/>
  <c r="AG239" i="1" s="1"/>
  <c r="BH239" i="1"/>
  <c r="AF239" i="1" s="1"/>
  <c r="BF239" i="1"/>
  <c r="BD239" i="1"/>
  <c r="AP239" i="1"/>
  <c r="AX239" i="1" s="1"/>
  <c r="AO239" i="1"/>
  <c r="AW239" i="1" s="1"/>
  <c r="AL239" i="1"/>
  <c r="AK239" i="1"/>
  <c r="AJ239" i="1"/>
  <c r="AH239" i="1"/>
  <c r="AE239" i="1"/>
  <c r="AD239" i="1"/>
  <c r="AC239" i="1"/>
  <c r="AB239" i="1"/>
  <c r="Z239" i="1"/>
  <c r="J239" i="1"/>
  <c r="H239" i="1"/>
  <c r="BJ238" i="1"/>
  <c r="BI238" i="1"/>
  <c r="AC238" i="1" s="1"/>
  <c r="BH238" i="1"/>
  <c r="BF238" i="1"/>
  <c r="BD238" i="1"/>
  <c r="AW238" i="1"/>
  <c r="AP238" i="1"/>
  <c r="AX238" i="1" s="1"/>
  <c r="AO238" i="1"/>
  <c r="AL238" i="1"/>
  <c r="AK238" i="1"/>
  <c r="AJ238" i="1"/>
  <c r="AH238" i="1"/>
  <c r="AG238" i="1"/>
  <c r="AF238" i="1"/>
  <c r="AE238" i="1"/>
  <c r="AD238" i="1"/>
  <c r="AB238" i="1"/>
  <c r="Z238" i="1"/>
  <c r="J238" i="1"/>
  <c r="I238" i="1"/>
  <c r="H238" i="1"/>
  <c r="BJ237" i="1"/>
  <c r="BI237" i="1"/>
  <c r="BF237" i="1"/>
  <c r="BD237" i="1"/>
  <c r="AX237" i="1"/>
  <c r="AP237" i="1"/>
  <c r="AO237" i="1"/>
  <c r="AL237" i="1"/>
  <c r="AJ237" i="1"/>
  <c r="AH237" i="1"/>
  <c r="AG237" i="1"/>
  <c r="AF237" i="1"/>
  <c r="AE237" i="1"/>
  <c r="AD237" i="1"/>
  <c r="AC237" i="1"/>
  <c r="Z237" i="1"/>
  <c r="J237" i="1"/>
  <c r="AK237" i="1" s="1"/>
  <c r="I237" i="1"/>
  <c r="H237" i="1"/>
  <c r="BJ236" i="1"/>
  <c r="BF236" i="1"/>
  <c r="BD236" i="1"/>
  <c r="AP236" i="1"/>
  <c r="AO236" i="1"/>
  <c r="AL236" i="1"/>
  <c r="AJ236" i="1"/>
  <c r="AH236" i="1"/>
  <c r="AG236" i="1"/>
  <c r="AF236" i="1"/>
  <c r="AE236" i="1"/>
  <c r="AD236" i="1"/>
  <c r="Z236" i="1"/>
  <c r="J236" i="1"/>
  <c r="BJ234" i="1"/>
  <c r="BH234" i="1"/>
  <c r="AD234" i="1" s="1"/>
  <c r="BF234" i="1"/>
  <c r="BD234" i="1"/>
  <c r="AX234" i="1"/>
  <c r="AP234" i="1"/>
  <c r="BI234" i="1" s="1"/>
  <c r="AE234" i="1" s="1"/>
  <c r="AO234" i="1"/>
  <c r="AW234" i="1" s="1"/>
  <c r="AL234" i="1"/>
  <c r="AK234" i="1"/>
  <c r="AJ234" i="1"/>
  <c r="AH234" i="1"/>
  <c r="AG234" i="1"/>
  <c r="AF234" i="1"/>
  <c r="AC234" i="1"/>
  <c r="AB234" i="1"/>
  <c r="Z234" i="1"/>
  <c r="J234" i="1"/>
  <c r="I234" i="1"/>
  <c r="H234" i="1"/>
  <c r="BJ232" i="1"/>
  <c r="BI232" i="1"/>
  <c r="AE232" i="1" s="1"/>
  <c r="BH232" i="1"/>
  <c r="AD232" i="1" s="1"/>
  <c r="BF232" i="1"/>
  <c r="BD232" i="1"/>
  <c r="AP232" i="1"/>
  <c r="AX232" i="1" s="1"/>
  <c r="AO232" i="1"/>
  <c r="AW232" i="1" s="1"/>
  <c r="AL232" i="1"/>
  <c r="AJ232" i="1"/>
  <c r="AS231" i="1" s="1"/>
  <c r="AH232" i="1"/>
  <c r="AG232" i="1"/>
  <c r="AF232" i="1"/>
  <c r="AC232" i="1"/>
  <c r="AB232" i="1"/>
  <c r="Z232" i="1"/>
  <c r="J232" i="1"/>
  <c r="J231" i="1" s="1"/>
  <c r="I232" i="1"/>
  <c r="I231" i="1" s="1"/>
  <c r="AU231" i="1"/>
  <c r="BJ230" i="1"/>
  <c r="BH230" i="1"/>
  <c r="BF230" i="1"/>
  <c r="BD230" i="1"/>
  <c r="AX230" i="1"/>
  <c r="AW230" i="1"/>
  <c r="AP230" i="1"/>
  <c r="I230" i="1" s="1"/>
  <c r="AO230" i="1"/>
  <c r="H230" i="1" s="1"/>
  <c r="H224" i="1" s="1"/>
  <c r="AL230" i="1"/>
  <c r="AJ230" i="1"/>
  <c r="AH230" i="1"/>
  <c r="AG230" i="1"/>
  <c r="AF230" i="1"/>
  <c r="AD230" i="1"/>
  <c r="AC230" i="1"/>
  <c r="AB230" i="1"/>
  <c r="Z230" i="1"/>
  <c r="J230" i="1"/>
  <c r="AK230" i="1" s="1"/>
  <c r="BJ228" i="1"/>
  <c r="BI228" i="1"/>
  <c r="BH228" i="1"/>
  <c r="BF228" i="1"/>
  <c r="BD228" i="1"/>
  <c r="BC228" i="1"/>
  <c r="AX228" i="1"/>
  <c r="AW228" i="1"/>
  <c r="AP228" i="1"/>
  <c r="I228" i="1" s="1"/>
  <c r="I224" i="1" s="1"/>
  <c r="AO228" i="1"/>
  <c r="AL228" i="1"/>
  <c r="AK228" i="1"/>
  <c r="AJ228" i="1"/>
  <c r="AH228" i="1"/>
  <c r="AG228" i="1"/>
  <c r="AF228" i="1"/>
  <c r="AE228" i="1"/>
  <c r="AD228" i="1"/>
  <c r="AC228" i="1"/>
  <c r="AB228" i="1"/>
  <c r="Z228" i="1"/>
  <c r="J228" i="1"/>
  <c r="H228" i="1"/>
  <c r="BJ227" i="1"/>
  <c r="BI227" i="1"/>
  <c r="BH227" i="1"/>
  <c r="BF227" i="1"/>
  <c r="BD227" i="1"/>
  <c r="AX227" i="1"/>
  <c r="BC227" i="1" s="1"/>
  <c r="AW227" i="1"/>
  <c r="AP227" i="1"/>
  <c r="AO227" i="1"/>
  <c r="AL227" i="1"/>
  <c r="AK227" i="1"/>
  <c r="AJ227" i="1"/>
  <c r="AH227" i="1"/>
  <c r="AG227" i="1"/>
  <c r="AF227" i="1"/>
  <c r="AE227" i="1"/>
  <c r="AD227" i="1"/>
  <c r="AC227" i="1"/>
  <c r="AB227" i="1"/>
  <c r="Z227" i="1"/>
  <c r="J227" i="1"/>
  <c r="I227" i="1"/>
  <c r="H227" i="1"/>
  <c r="BJ225" i="1"/>
  <c r="BI225" i="1"/>
  <c r="BF225" i="1"/>
  <c r="BD225" i="1"/>
  <c r="BC225" i="1"/>
  <c r="AX225" i="1"/>
  <c r="AW225" i="1"/>
  <c r="AV225" i="1" s="1"/>
  <c r="AP225" i="1"/>
  <c r="AO225" i="1"/>
  <c r="BH225" i="1" s="1"/>
  <c r="AD225" i="1" s="1"/>
  <c r="AL225" i="1"/>
  <c r="AK225" i="1"/>
  <c r="AT224" i="1" s="1"/>
  <c r="AJ225" i="1"/>
  <c r="AH225" i="1"/>
  <c r="AG225" i="1"/>
  <c r="AF225" i="1"/>
  <c r="AE225" i="1"/>
  <c r="AC225" i="1"/>
  <c r="AB225" i="1"/>
  <c r="Z225" i="1"/>
  <c r="J225" i="1"/>
  <c r="I225" i="1"/>
  <c r="H225" i="1"/>
  <c r="AU224" i="1"/>
  <c r="AS224" i="1"/>
  <c r="J224" i="1"/>
  <c r="BJ223" i="1"/>
  <c r="BF223" i="1"/>
  <c r="BD223" i="1"/>
  <c r="AP223" i="1"/>
  <c r="AO223" i="1"/>
  <c r="AL223" i="1"/>
  <c r="AJ223" i="1"/>
  <c r="AH223" i="1"/>
  <c r="AG223" i="1"/>
  <c r="AF223" i="1"/>
  <c r="AE223" i="1"/>
  <c r="AD223" i="1"/>
  <c r="AC223" i="1"/>
  <c r="AB223" i="1"/>
  <c r="Z223" i="1"/>
  <c r="J223" i="1"/>
  <c r="AK223" i="1" s="1"/>
  <c r="BJ222" i="1"/>
  <c r="BF222" i="1"/>
  <c r="BD222" i="1"/>
  <c r="AW222" i="1"/>
  <c r="AP222" i="1"/>
  <c r="AO222" i="1"/>
  <c r="H222" i="1" s="1"/>
  <c r="AL222" i="1"/>
  <c r="AJ222" i="1"/>
  <c r="AH222" i="1"/>
  <c r="AG222" i="1"/>
  <c r="AF222" i="1"/>
  <c r="AC222" i="1"/>
  <c r="AB222" i="1"/>
  <c r="Z222" i="1"/>
  <c r="J222" i="1"/>
  <c r="AK222" i="1" s="1"/>
  <c r="BJ221" i="1"/>
  <c r="BH221" i="1"/>
  <c r="BF221" i="1"/>
  <c r="BD221" i="1"/>
  <c r="AX221" i="1"/>
  <c r="AW221" i="1"/>
  <c r="AV221" i="1"/>
  <c r="AP221" i="1"/>
  <c r="I221" i="1" s="1"/>
  <c r="AO221" i="1"/>
  <c r="H221" i="1" s="1"/>
  <c r="AL221" i="1"/>
  <c r="AJ221" i="1"/>
  <c r="AH221" i="1"/>
  <c r="AG221" i="1"/>
  <c r="AF221" i="1"/>
  <c r="AD221" i="1"/>
  <c r="AC221" i="1"/>
  <c r="AB221" i="1"/>
  <c r="Z221" i="1"/>
  <c r="J221" i="1"/>
  <c r="AK221" i="1" s="1"/>
  <c r="BJ219" i="1"/>
  <c r="BI219" i="1"/>
  <c r="BH219" i="1"/>
  <c r="BF219" i="1"/>
  <c r="BD219" i="1"/>
  <c r="BC219" i="1"/>
  <c r="AX219" i="1"/>
  <c r="AW219" i="1"/>
  <c r="AV219" i="1" s="1"/>
  <c r="AP219" i="1"/>
  <c r="I219" i="1" s="1"/>
  <c r="AO219" i="1"/>
  <c r="AL219" i="1"/>
  <c r="AK219" i="1"/>
  <c r="AJ219" i="1"/>
  <c r="AH219" i="1"/>
  <c r="AG219" i="1"/>
  <c r="AF219" i="1"/>
  <c r="AE219" i="1"/>
  <c r="AD219" i="1"/>
  <c r="AC219" i="1"/>
  <c r="AB219" i="1"/>
  <c r="Z219" i="1"/>
  <c r="J219" i="1"/>
  <c r="H219" i="1"/>
  <c r="BJ218" i="1"/>
  <c r="Z218" i="1" s="1"/>
  <c r="BI218" i="1"/>
  <c r="BH218" i="1"/>
  <c r="BF218" i="1"/>
  <c r="BD218" i="1"/>
  <c r="BC218" i="1"/>
  <c r="AX218" i="1"/>
  <c r="AW218" i="1"/>
  <c r="AP218" i="1"/>
  <c r="AO218" i="1"/>
  <c r="AL218" i="1"/>
  <c r="AK218" i="1"/>
  <c r="AJ218" i="1"/>
  <c r="AH218" i="1"/>
  <c r="AG218" i="1"/>
  <c r="AF218" i="1"/>
  <c r="AE218" i="1"/>
  <c r="AD218" i="1"/>
  <c r="AC218" i="1"/>
  <c r="AB218" i="1"/>
  <c r="J218" i="1"/>
  <c r="I218" i="1"/>
  <c r="H218" i="1"/>
  <c r="BJ217" i="1"/>
  <c r="Z217" i="1" s="1"/>
  <c r="BI217" i="1"/>
  <c r="BF217" i="1"/>
  <c r="BD217" i="1"/>
  <c r="BC217" i="1"/>
  <c r="AX217" i="1"/>
  <c r="AW217" i="1"/>
  <c r="AV217" i="1" s="1"/>
  <c r="AP217" i="1"/>
  <c r="AO217" i="1"/>
  <c r="BH217" i="1" s="1"/>
  <c r="AL217" i="1"/>
  <c r="AK217" i="1"/>
  <c r="AJ217" i="1"/>
  <c r="AH217" i="1"/>
  <c r="AG217" i="1"/>
  <c r="AF217" i="1"/>
  <c r="AE217" i="1"/>
  <c r="AD217" i="1"/>
  <c r="AC217" i="1"/>
  <c r="AB217" i="1"/>
  <c r="J217" i="1"/>
  <c r="I217" i="1"/>
  <c r="H217" i="1"/>
  <c r="BJ216" i="1"/>
  <c r="BH216" i="1"/>
  <c r="AD216" i="1" s="1"/>
  <c r="BF216" i="1"/>
  <c r="BD216" i="1"/>
  <c r="AX216" i="1"/>
  <c r="AP216" i="1"/>
  <c r="BI216" i="1" s="1"/>
  <c r="AE216" i="1" s="1"/>
  <c r="AO216" i="1"/>
  <c r="AW216" i="1" s="1"/>
  <c r="AL216" i="1"/>
  <c r="AK216" i="1"/>
  <c r="AJ216" i="1"/>
  <c r="AH216" i="1"/>
  <c r="AG216" i="1"/>
  <c r="AF216" i="1"/>
  <c r="AC216" i="1"/>
  <c r="AB216" i="1"/>
  <c r="Z216" i="1"/>
  <c r="J216" i="1"/>
  <c r="I216" i="1"/>
  <c r="H216" i="1"/>
  <c r="BJ214" i="1"/>
  <c r="BI214" i="1"/>
  <c r="AE214" i="1" s="1"/>
  <c r="BH214" i="1"/>
  <c r="AD214" i="1" s="1"/>
  <c r="BF214" i="1"/>
  <c r="BD214" i="1"/>
  <c r="AP214" i="1"/>
  <c r="AX214" i="1" s="1"/>
  <c r="AO214" i="1"/>
  <c r="AW214" i="1" s="1"/>
  <c r="AL214" i="1"/>
  <c r="AJ214" i="1"/>
  <c r="AH214" i="1"/>
  <c r="AG214" i="1"/>
  <c r="AF214" i="1"/>
  <c r="AC214" i="1"/>
  <c r="AB214" i="1"/>
  <c r="Z214" i="1"/>
  <c r="J214" i="1"/>
  <c r="AK214" i="1" s="1"/>
  <c r="I214" i="1"/>
  <c r="BJ213" i="1"/>
  <c r="BI213" i="1"/>
  <c r="AE213" i="1" s="1"/>
  <c r="BH213" i="1"/>
  <c r="AD213" i="1" s="1"/>
  <c r="BF213" i="1"/>
  <c r="BD213" i="1"/>
  <c r="AP213" i="1"/>
  <c r="AX213" i="1" s="1"/>
  <c r="AO213" i="1"/>
  <c r="AW213" i="1" s="1"/>
  <c r="AL213" i="1"/>
  <c r="AK213" i="1"/>
  <c r="AT212" i="1" s="1"/>
  <c r="AJ213" i="1"/>
  <c r="AS212" i="1" s="1"/>
  <c r="AH213" i="1"/>
  <c r="AG213" i="1"/>
  <c r="AF213" i="1"/>
  <c r="AC213" i="1"/>
  <c r="AB213" i="1"/>
  <c r="Z213" i="1"/>
  <c r="J213" i="1"/>
  <c r="J212" i="1" s="1"/>
  <c r="H213" i="1"/>
  <c r="AU212" i="1"/>
  <c r="BJ211" i="1"/>
  <c r="BI211" i="1"/>
  <c r="BH211" i="1"/>
  <c r="BF211" i="1"/>
  <c r="BD211" i="1"/>
  <c r="AX211" i="1"/>
  <c r="AW211" i="1"/>
  <c r="AV211" i="1" s="1"/>
  <c r="AP211" i="1"/>
  <c r="I211" i="1" s="1"/>
  <c r="AO211" i="1"/>
  <c r="AL211" i="1"/>
  <c r="AK211" i="1"/>
  <c r="AJ211" i="1"/>
  <c r="AH211" i="1"/>
  <c r="AG211" i="1"/>
  <c r="AF211" i="1"/>
  <c r="AE211" i="1"/>
  <c r="AD211" i="1"/>
  <c r="AC211" i="1"/>
  <c r="AB211" i="1"/>
  <c r="Z211" i="1"/>
  <c r="J211" i="1"/>
  <c r="H211" i="1"/>
  <c r="BJ210" i="1"/>
  <c r="BI210" i="1"/>
  <c r="BH210" i="1"/>
  <c r="BF210" i="1"/>
  <c r="BD210" i="1"/>
  <c r="AX210" i="1"/>
  <c r="BC210" i="1" s="1"/>
  <c r="AW210" i="1"/>
  <c r="AP210" i="1"/>
  <c r="AO210" i="1"/>
  <c r="AL210" i="1"/>
  <c r="AK210" i="1"/>
  <c r="AJ210" i="1"/>
  <c r="AH210" i="1"/>
  <c r="AG210" i="1"/>
  <c r="AF210" i="1"/>
  <c r="AE210" i="1"/>
  <c r="AD210" i="1"/>
  <c r="AC210" i="1"/>
  <c r="AB210" i="1"/>
  <c r="Z210" i="1"/>
  <c r="J210" i="1"/>
  <c r="I210" i="1"/>
  <c r="H210" i="1"/>
  <c r="BJ209" i="1"/>
  <c r="BI209" i="1"/>
  <c r="BF209" i="1"/>
  <c r="BD209" i="1"/>
  <c r="BC209" i="1"/>
  <c r="AX209" i="1"/>
  <c r="AW209" i="1"/>
  <c r="AV209" i="1" s="1"/>
  <c r="AP209" i="1"/>
  <c r="AO209" i="1"/>
  <c r="BH209" i="1" s="1"/>
  <c r="AD209" i="1" s="1"/>
  <c r="AL209" i="1"/>
  <c r="AK209" i="1"/>
  <c r="AJ209" i="1"/>
  <c r="AH209" i="1"/>
  <c r="AG209" i="1"/>
  <c r="AF209" i="1"/>
  <c r="AE209" i="1"/>
  <c r="AC209" i="1"/>
  <c r="AB209" i="1"/>
  <c r="Z209" i="1"/>
  <c r="J209" i="1"/>
  <c r="I209" i="1"/>
  <c r="H209" i="1"/>
  <c r="BJ208" i="1"/>
  <c r="BH208" i="1"/>
  <c r="AD208" i="1" s="1"/>
  <c r="BF208" i="1"/>
  <c r="BD208" i="1"/>
  <c r="AX208" i="1"/>
  <c r="AP208" i="1"/>
  <c r="BI208" i="1" s="1"/>
  <c r="AE208" i="1" s="1"/>
  <c r="AO208" i="1"/>
  <c r="AW208" i="1" s="1"/>
  <c r="AL208" i="1"/>
  <c r="AK208" i="1"/>
  <c r="AJ208" i="1"/>
  <c r="AH208" i="1"/>
  <c r="AG208" i="1"/>
  <c r="AF208" i="1"/>
  <c r="AC208" i="1"/>
  <c r="AB208" i="1"/>
  <c r="Z208" i="1"/>
  <c r="J208" i="1"/>
  <c r="I208" i="1"/>
  <c r="H208" i="1"/>
  <c r="BJ207" i="1"/>
  <c r="BI207" i="1"/>
  <c r="AE207" i="1" s="1"/>
  <c r="BH207" i="1"/>
  <c r="AD207" i="1" s="1"/>
  <c r="BF207" i="1"/>
  <c r="BD207" i="1"/>
  <c r="AP207" i="1"/>
  <c r="AX207" i="1" s="1"/>
  <c r="AO207" i="1"/>
  <c r="AW207" i="1" s="1"/>
  <c r="AL207" i="1"/>
  <c r="AJ207" i="1"/>
  <c r="AH207" i="1"/>
  <c r="AG207" i="1"/>
  <c r="AF207" i="1"/>
  <c r="AC207" i="1"/>
  <c r="AB207" i="1"/>
  <c r="Z207" i="1"/>
  <c r="J207" i="1"/>
  <c r="AK207" i="1" s="1"/>
  <c r="I207" i="1"/>
  <c r="BJ206" i="1"/>
  <c r="BI206" i="1"/>
  <c r="AE206" i="1" s="1"/>
  <c r="BH206" i="1"/>
  <c r="AD206" i="1" s="1"/>
  <c r="BF206" i="1"/>
  <c r="BD206" i="1"/>
  <c r="AP206" i="1"/>
  <c r="AX206" i="1" s="1"/>
  <c r="AO206" i="1"/>
  <c r="AW206" i="1" s="1"/>
  <c r="AL206" i="1"/>
  <c r="AK206" i="1"/>
  <c r="AJ206" i="1"/>
  <c r="AH206" i="1"/>
  <c r="AG206" i="1"/>
  <c r="AF206" i="1"/>
  <c r="AC206" i="1"/>
  <c r="AB206" i="1"/>
  <c r="Z206" i="1"/>
  <c r="J206" i="1"/>
  <c r="H206" i="1"/>
  <c r="BJ205" i="1"/>
  <c r="BI205" i="1"/>
  <c r="AE205" i="1" s="1"/>
  <c r="BH205" i="1"/>
  <c r="AD205" i="1" s="1"/>
  <c r="BF205" i="1"/>
  <c r="BD205" i="1"/>
  <c r="AW205" i="1"/>
  <c r="BC205" i="1" s="1"/>
  <c r="AP205" i="1"/>
  <c r="AX205" i="1" s="1"/>
  <c r="AO205" i="1"/>
  <c r="AL205" i="1"/>
  <c r="AK205" i="1"/>
  <c r="AJ205" i="1"/>
  <c r="AH205" i="1"/>
  <c r="AG205" i="1"/>
  <c r="AF205" i="1"/>
  <c r="AC205" i="1"/>
  <c r="AB205" i="1"/>
  <c r="Z205" i="1"/>
  <c r="J205" i="1"/>
  <c r="I205" i="1"/>
  <c r="H205" i="1"/>
  <c r="BJ204" i="1"/>
  <c r="BI204" i="1"/>
  <c r="AE204" i="1" s="1"/>
  <c r="BF204" i="1"/>
  <c r="BD204" i="1"/>
  <c r="AX204" i="1"/>
  <c r="AP204" i="1"/>
  <c r="AO204" i="1"/>
  <c r="AL204" i="1"/>
  <c r="AJ204" i="1"/>
  <c r="AH204" i="1"/>
  <c r="AG204" i="1"/>
  <c r="AF204" i="1"/>
  <c r="AC204" i="1"/>
  <c r="AB204" i="1"/>
  <c r="Z204" i="1"/>
  <c r="J204" i="1"/>
  <c r="AK204" i="1" s="1"/>
  <c r="AT189" i="1" s="1"/>
  <c r="I204" i="1"/>
  <c r="H204" i="1"/>
  <c r="BJ203" i="1"/>
  <c r="BF203" i="1"/>
  <c r="BD203" i="1"/>
  <c r="AP203" i="1"/>
  <c r="AO203" i="1"/>
  <c r="AL203" i="1"/>
  <c r="AJ203" i="1"/>
  <c r="AH203" i="1"/>
  <c r="AG203" i="1"/>
  <c r="AF203" i="1"/>
  <c r="AC203" i="1"/>
  <c r="AB203" i="1"/>
  <c r="Z203" i="1"/>
  <c r="J203" i="1"/>
  <c r="AK203" i="1" s="1"/>
  <c r="I203" i="1"/>
  <c r="BJ202" i="1"/>
  <c r="BF202" i="1"/>
  <c r="BD202" i="1"/>
  <c r="AX202" i="1"/>
  <c r="AP202" i="1"/>
  <c r="AO202" i="1"/>
  <c r="AL202" i="1"/>
  <c r="AJ202" i="1"/>
  <c r="AH202" i="1"/>
  <c r="AG202" i="1"/>
  <c r="AF202" i="1"/>
  <c r="AC202" i="1"/>
  <c r="AB202" i="1"/>
  <c r="Z202" i="1"/>
  <c r="J202" i="1"/>
  <c r="AK202" i="1" s="1"/>
  <c r="BJ200" i="1"/>
  <c r="BF200" i="1"/>
  <c r="BD200" i="1"/>
  <c r="AW200" i="1"/>
  <c r="AP200" i="1"/>
  <c r="AO200" i="1"/>
  <c r="H200" i="1" s="1"/>
  <c r="AL200" i="1"/>
  <c r="AJ200" i="1"/>
  <c r="AH200" i="1"/>
  <c r="AG200" i="1"/>
  <c r="AF200" i="1"/>
  <c r="AC200" i="1"/>
  <c r="AB200" i="1"/>
  <c r="Z200" i="1"/>
  <c r="J200" i="1"/>
  <c r="AK200" i="1" s="1"/>
  <c r="BJ199" i="1"/>
  <c r="BH199" i="1"/>
  <c r="BF199" i="1"/>
  <c r="BD199" i="1"/>
  <c r="AX199" i="1"/>
  <c r="AW199" i="1"/>
  <c r="AP199" i="1"/>
  <c r="I199" i="1" s="1"/>
  <c r="AO199" i="1"/>
  <c r="H199" i="1" s="1"/>
  <c r="AL199" i="1"/>
  <c r="AJ199" i="1"/>
  <c r="AH199" i="1"/>
  <c r="AG199" i="1"/>
  <c r="AF199" i="1"/>
  <c r="AD199" i="1"/>
  <c r="AC199" i="1"/>
  <c r="AB199" i="1"/>
  <c r="Z199" i="1"/>
  <c r="J199" i="1"/>
  <c r="AK199" i="1" s="1"/>
  <c r="BJ198" i="1"/>
  <c r="BI198" i="1"/>
  <c r="BH198" i="1"/>
  <c r="BF198" i="1"/>
  <c r="BD198" i="1"/>
  <c r="BC198" i="1"/>
  <c r="AX198" i="1"/>
  <c r="AW198" i="1"/>
  <c r="AP198" i="1"/>
  <c r="I198" i="1" s="1"/>
  <c r="AO198" i="1"/>
  <c r="AL198" i="1"/>
  <c r="AK198" i="1"/>
  <c r="AJ198" i="1"/>
  <c r="AH198" i="1"/>
  <c r="AG198" i="1"/>
  <c r="AF198" i="1"/>
  <c r="AE198" i="1"/>
  <c r="AD198" i="1"/>
  <c r="AC198" i="1"/>
  <c r="AB198" i="1"/>
  <c r="Z198" i="1"/>
  <c r="J198" i="1"/>
  <c r="H198" i="1"/>
  <c r="BJ197" i="1"/>
  <c r="BI197" i="1"/>
  <c r="BH197" i="1"/>
  <c r="BF197" i="1"/>
  <c r="BD197" i="1"/>
  <c r="AX197" i="1"/>
  <c r="BC197" i="1" s="1"/>
  <c r="AW197" i="1"/>
  <c r="AP197" i="1"/>
  <c r="AO197" i="1"/>
  <c r="AL197" i="1"/>
  <c r="AK197" i="1"/>
  <c r="AJ197" i="1"/>
  <c r="AH197" i="1"/>
  <c r="AG197" i="1"/>
  <c r="AF197" i="1"/>
  <c r="AE197" i="1"/>
  <c r="AD197" i="1"/>
  <c r="AC197" i="1"/>
  <c r="AB197" i="1"/>
  <c r="Z197" i="1"/>
  <c r="J197" i="1"/>
  <c r="I197" i="1"/>
  <c r="H197" i="1"/>
  <c r="BJ195" i="1"/>
  <c r="BI195" i="1"/>
  <c r="AE195" i="1" s="1"/>
  <c r="BF195" i="1"/>
  <c r="BD195" i="1"/>
  <c r="AX195" i="1"/>
  <c r="AW195" i="1"/>
  <c r="AV195" i="1" s="1"/>
  <c r="AP195" i="1"/>
  <c r="AO195" i="1"/>
  <c r="BH195" i="1" s="1"/>
  <c r="AL195" i="1"/>
  <c r="AK195" i="1"/>
  <c r="AJ195" i="1"/>
  <c r="AH195" i="1"/>
  <c r="AG195" i="1"/>
  <c r="AF195" i="1"/>
  <c r="AD195" i="1"/>
  <c r="AC195" i="1"/>
  <c r="AB195" i="1"/>
  <c r="Z195" i="1"/>
  <c r="J195" i="1"/>
  <c r="I195" i="1"/>
  <c r="H195" i="1"/>
  <c r="BJ194" i="1"/>
  <c r="Z194" i="1" s="1"/>
  <c r="BF194" i="1"/>
  <c r="BD194" i="1"/>
  <c r="AX194" i="1"/>
  <c r="AP194" i="1"/>
  <c r="BI194" i="1" s="1"/>
  <c r="AO194" i="1"/>
  <c r="AW194" i="1" s="1"/>
  <c r="AV194" i="1" s="1"/>
  <c r="AL194" i="1"/>
  <c r="AJ194" i="1"/>
  <c r="AH194" i="1"/>
  <c r="AG194" i="1"/>
  <c r="AF194" i="1"/>
  <c r="AE194" i="1"/>
  <c r="AD194" i="1"/>
  <c r="AC194" i="1"/>
  <c r="AB194" i="1"/>
  <c r="J194" i="1"/>
  <c r="AK194" i="1" s="1"/>
  <c r="I194" i="1"/>
  <c r="BJ193" i="1"/>
  <c r="BI193" i="1"/>
  <c r="BH193" i="1"/>
  <c r="BF193" i="1"/>
  <c r="BD193" i="1"/>
  <c r="BC193" i="1"/>
  <c r="AP193" i="1"/>
  <c r="AX193" i="1" s="1"/>
  <c r="AO193" i="1"/>
  <c r="AW193" i="1" s="1"/>
  <c r="AV193" i="1" s="1"/>
  <c r="AL193" i="1"/>
  <c r="AJ193" i="1"/>
  <c r="AH193" i="1"/>
  <c r="AG193" i="1"/>
  <c r="AF193" i="1"/>
  <c r="AE193" i="1"/>
  <c r="AD193" i="1"/>
  <c r="AC193" i="1"/>
  <c r="AB193" i="1"/>
  <c r="Z193" i="1"/>
  <c r="J193" i="1"/>
  <c r="AK193" i="1" s="1"/>
  <c r="I193" i="1"/>
  <c r="BJ192" i="1"/>
  <c r="BI192" i="1"/>
  <c r="BF192" i="1"/>
  <c r="BD192" i="1"/>
  <c r="AP192" i="1"/>
  <c r="AX192" i="1" s="1"/>
  <c r="AO192" i="1"/>
  <c r="AL192" i="1"/>
  <c r="AJ192" i="1"/>
  <c r="AH192" i="1"/>
  <c r="AG192" i="1"/>
  <c r="AF192" i="1"/>
  <c r="AE192" i="1"/>
  <c r="AD192" i="1"/>
  <c r="AC192" i="1"/>
  <c r="AB192" i="1"/>
  <c r="Z192" i="1"/>
  <c r="J192" i="1"/>
  <c r="AK192" i="1" s="1"/>
  <c r="BJ191" i="1"/>
  <c r="BI191" i="1"/>
  <c r="AE191" i="1" s="1"/>
  <c r="BH191" i="1"/>
  <c r="AD191" i="1" s="1"/>
  <c r="BF191" i="1"/>
  <c r="BD191" i="1"/>
  <c r="AW191" i="1"/>
  <c r="BC191" i="1" s="1"/>
  <c r="AP191" i="1"/>
  <c r="AX191" i="1" s="1"/>
  <c r="AO191" i="1"/>
  <c r="AL191" i="1"/>
  <c r="AU189" i="1" s="1"/>
  <c r="AK191" i="1"/>
  <c r="AJ191" i="1"/>
  <c r="AH191" i="1"/>
  <c r="AG191" i="1"/>
  <c r="AF191" i="1"/>
  <c r="AC191" i="1"/>
  <c r="AB191" i="1"/>
  <c r="Z191" i="1"/>
  <c r="J191" i="1"/>
  <c r="I191" i="1"/>
  <c r="H191" i="1"/>
  <c r="BJ190" i="1"/>
  <c r="BI190" i="1"/>
  <c r="AE190" i="1" s="1"/>
  <c r="BH190" i="1"/>
  <c r="AD190" i="1" s="1"/>
  <c r="BF190" i="1"/>
  <c r="BD190" i="1"/>
  <c r="AX190" i="1"/>
  <c r="AW190" i="1"/>
  <c r="AV190" i="1"/>
  <c r="AP190" i="1"/>
  <c r="AO190" i="1"/>
  <c r="AL190" i="1"/>
  <c r="AK190" i="1"/>
  <c r="AJ190" i="1"/>
  <c r="AH190" i="1"/>
  <c r="AG190" i="1"/>
  <c r="AF190" i="1"/>
  <c r="AC190" i="1"/>
  <c r="AB190" i="1"/>
  <c r="Z190" i="1"/>
  <c r="J190" i="1"/>
  <c r="I190" i="1"/>
  <c r="H190" i="1"/>
  <c r="BJ188" i="1"/>
  <c r="Z188" i="1" s="1"/>
  <c r="BI188" i="1"/>
  <c r="BF188" i="1"/>
  <c r="BD188" i="1"/>
  <c r="AX188" i="1"/>
  <c r="AP188" i="1"/>
  <c r="AO188" i="1"/>
  <c r="AL188" i="1"/>
  <c r="AJ188" i="1"/>
  <c r="AH188" i="1"/>
  <c r="AG188" i="1"/>
  <c r="AF188" i="1"/>
  <c r="AE188" i="1"/>
  <c r="AD188" i="1"/>
  <c r="AC188" i="1"/>
  <c r="AB188" i="1"/>
  <c r="J188" i="1"/>
  <c r="AK188" i="1" s="1"/>
  <c r="I188" i="1"/>
  <c r="H188" i="1"/>
  <c r="BJ187" i="1"/>
  <c r="BH187" i="1"/>
  <c r="AD187" i="1" s="1"/>
  <c r="BF187" i="1"/>
  <c r="BD187" i="1"/>
  <c r="AX187" i="1"/>
  <c r="AW187" i="1"/>
  <c r="AV187" i="1" s="1"/>
  <c r="AP187" i="1"/>
  <c r="BI187" i="1" s="1"/>
  <c r="AO187" i="1"/>
  <c r="AL187" i="1"/>
  <c r="AK187" i="1"/>
  <c r="AJ187" i="1"/>
  <c r="AH187" i="1"/>
  <c r="AG187" i="1"/>
  <c r="AF187" i="1"/>
  <c r="AE187" i="1"/>
  <c r="AC187" i="1"/>
  <c r="AB187" i="1"/>
  <c r="Z187" i="1"/>
  <c r="J187" i="1"/>
  <c r="I187" i="1"/>
  <c r="H187" i="1"/>
  <c r="BJ186" i="1"/>
  <c r="BI186" i="1"/>
  <c r="AE186" i="1" s="1"/>
  <c r="BH186" i="1"/>
  <c r="AD186" i="1" s="1"/>
  <c r="BF186" i="1"/>
  <c r="BD186" i="1"/>
  <c r="AX186" i="1"/>
  <c r="AP186" i="1"/>
  <c r="I186" i="1" s="1"/>
  <c r="AO186" i="1"/>
  <c r="AL186" i="1"/>
  <c r="AJ186" i="1"/>
  <c r="AH186" i="1"/>
  <c r="AG186" i="1"/>
  <c r="AF186" i="1"/>
  <c r="AC186" i="1"/>
  <c r="AB186" i="1"/>
  <c r="Z186" i="1"/>
  <c r="J186" i="1"/>
  <c r="AK186" i="1" s="1"/>
  <c r="BJ185" i="1"/>
  <c r="BI185" i="1"/>
  <c r="AE185" i="1" s="1"/>
  <c r="BH185" i="1"/>
  <c r="AD185" i="1" s="1"/>
  <c r="BF185" i="1"/>
  <c r="BD185" i="1"/>
  <c r="AW185" i="1"/>
  <c r="BC185" i="1" s="1"/>
  <c r="AP185" i="1"/>
  <c r="AX185" i="1" s="1"/>
  <c r="AV185" i="1" s="1"/>
  <c r="AO185" i="1"/>
  <c r="AL185" i="1"/>
  <c r="AK185" i="1"/>
  <c r="AJ185" i="1"/>
  <c r="AH185" i="1"/>
  <c r="AG185" i="1"/>
  <c r="AF185" i="1"/>
  <c r="AC185" i="1"/>
  <c r="AB185" i="1"/>
  <c r="Z185" i="1"/>
  <c r="J185" i="1"/>
  <c r="H185" i="1"/>
  <c r="BJ183" i="1"/>
  <c r="BI183" i="1"/>
  <c r="AE183" i="1" s="1"/>
  <c r="BH183" i="1"/>
  <c r="AD183" i="1" s="1"/>
  <c r="BF183" i="1"/>
  <c r="BD183" i="1"/>
  <c r="AX183" i="1"/>
  <c r="AW183" i="1"/>
  <c r="BC183" i="1" s="1"/>
  <c r="AV183" i="1"/>
  <c r="AP183" i="1"/>
  <c r="AO183" i="1"/>
  <c r="AL183" i="1"/>
  <c r="AK183" i="1"/>
  <c r="AJ183" i="1"/>
  <c r="AH183" i="1"/>
  <c r="AG183" i="1"/>
  <c r="AF183" i="1"/>
  <c r="AC183" i="1"/>
  <c r="AB183" i="1"/>
  <c r="Z183" i="1"/>
  <c r="J183" i="1"/>
  <c r="I183" i="1"/>
  <c r="H183" i="1"/>
  <c r="BJ182" i="1"/>
  <c r="BI182" i="1"/>
  <c r="AE182" i="1" s="1"/>
  <c r="BF182" i="1"/>
  <c r="BD182" i="1"/>
  <c r="AX182" i="1"/>
  <c r="AP182" i="1"/>
  <c r="AO182" i="1"/>
  <c r="AL182" i="1"/>
  <c r="AJ182" i="1"/>
  <c r="AH182" i="1"/>
  <c r="AG182" i="1"/>
  <c r="AF182" i="1"/>
  <c r="AC182" i="1"/>
  <c r="AB182" i="1"/>
  <c r="Z182" i="1"/>
  <c r="J182" i="1"/>
  <c r="J181" i="1" s="1"/>
  <c r="I182" i="1"/>
  <c r="H182" i="1"/>
  <c r="BJ180" i="1"/>
  <c r="Z180" i="1" s="1"/>
  <c r="BF180" i="1"/>
  <c r="BD180" i="1"/>
  <c r="BC180" i="1"/>
  <c r="AX180" i="1"/>
  <c r="AW180" i="1"/>
  <c r="AV180" i="1" s="1"/>
  <c r="AP180" i="1"/>
  <c r="BI180" i="1" s="1"/>
  <c r="AO180" i="1"/>
  <c r="BH180" i="1" s="1"/>
  <c r="AL180" i="1"/>
  <c r="AK180" i="1"/>
  <c r="AJ180" i="1"/>
  <c r="AH180" i="1"/>
  <c r="AG180" i="1"/>
  <c r="AF180" i="1"/>
  <c r="AE180" i="1"/>
  <c r="AD180" i="1"/>
  <c r="AC180" i="1"/>
  <c r="AB180" i="1"/>
  <c r="J180" i="1"/>
  <c r="I180" i="1"/>
  <c r="H180" i="1"/>
  <c r="BJ178" i="1"/>
  <c r="BH178" i="1"/>
  <c r="AD178" i="1" s="1"/>
  <c r="BF178" i="1"/>
  <c r="BD178" i="1"/>
  <c r="AX178" i="1"/>
  <c r="AP178" i="1"/>
  <c r="BI178" i="1" s="1"/>
  <c r="AE178" i="1" s="1"/>
  <c r="AO178" i="1"/>
  <c r="AW178" i="1" s="1"/>
  <c r="AL178" i="1"/>
  <c r="AJ178" i="1"/>
  <c r="AH178" i="1"/>
  <c r="AG178" i="1"/>
  <c r="AF178" i="1"/>
  <c r="AC178" i="1"/>
  <c r="AB178" i="1"/>
  <c r="Z178" i="1"/>
  <c r="J178" i="1"/>
  <c r="AK178" i="1" s="1"/>
  <c r="I178" i="1"/>
  <c r="BJ177" i="1"/>
  <c r="BI177" i="1"/>
  <c r="AE177" i="1" s="1"/>
  <c r="BH177" i="1"/>
  <c r="AD177" i="1" s="1"/>
  <c r="BF177" i="1"/>
  <c r="BD177" i="1"/>
  <c r="AP177" i="1"/>
  <c r="AX177" i="1" s="1"/>
  <c r="AO177" i="1"/>
  <c r="AW177" i="1" s="1"/>
  <c r="AL177" i="1"/>
  <c r="AJ177" i="1"/>
  <c r="AS176" i="1" s="1"/>
  <c r="AH177" i="1"/>
  <c r="AG177" i="1"/>
  <c r="AF177" i="1"/>
  <c r="AC177" i="1"/>
  <c r="AB177" i="1"/>
  <c r="Z177" i="1"/>
  <c r="J177" i="1"/>
  <c r="J176" i="1" s="1"/>
  <c r="AU176" i="1"/>
  <c r="BJ175" i="1"/>
  <c r="BF175" i="1"/>
  <c r="BD175" i="1"/>
  <c r="AX175" i="1"/>
  <c r="AV175" i="1" s="1"/>
  <c r="AW175" i="1"/>
  <c r="AP175" i="1"/>
  <c r="I175" i="1" s="1"/>
  <c r="AO175" i="1"/>
  <c r="H175" i="1" s="1"/>
  <c r="AL175" i="1"/>
  <c r="AJ175" i="1"/>
  <c r="AH175" i="1"/>
  <c r="AG175" i="1"/>
  <c r="AF175" i="1"/>
  <c r="AE175" i="1"/>
  <c r="AD175" i="1"/>
  <c r="AC175" i="1"/>
  <c r="AB175" i="1"/>
  <c r="Z175" i="1"/>
  <c r="J175" i="1"/>
  <c r="AK175" i="1" s="1"/>
  <c r="BJ174" i="1"/>
  <c r="BH174" i="1"/>
  <c r="BF174" i="1"/>
  <c r="BD174" i="1"/>
  <c r="AX174" i="1"/>
  <c r="AW174" i="1"/>
  <c r="AV174" i="1" s="1"/>
  <c r="AP174" i="1"/>
  <c r="I174" i="1" s="1"/>
  <c r="I172" i="1" s="1"/>
  <c r="AO174" i="1"/>
  <c r="AL174" i="1"/>
  <c r="AK174" i="1"/>
  <c r="AJ174" i="1"/>
  <c r="AH174" i="1"/>
  <c r="AG174" i="1"/>
  <c r="AF174" i="1"/>
  <c r="AD174" i="1"/>
  <c r="AC174" i="1"/>
  <c r="AB174" i="1"/>
  <c r="Z174" i="1"/>
  <c r="J174" i="1"/>
  <c r="H174" i="1"/>
  <c r="BJ173" i="1"/>
  <c r="BI173" i="1"/>
  <c r="BF173" i="1"/>
  <c r="BD173" i="1"/>
  <c r="BC173" i="1"/>
  <c r="AX173" i="1"/>
  <c r="AV173" i="1" s="1"/>
  <c r="AW173" i="1"/>
  <c r="AP173" i="1"/>
  <c r="AO173" i="1"/>
  <c r="BH173" i="1" s="1"/>
  <c r="AD173" i="1" s="1"/>
  <c r="AL173" i="1"/>
  <c r="AK173" i="1"/>
  <c r="AT172" i="1" s="1"/>
  <c r="AJ173" i="1"/>
  <c r="AS172" i="1" s="1"/>
  <c r="AH173" i="1"/>
  <c r="AG173" i="1"/>
  <c r="AF173" i="1"/>
  <c r="AE173" i="1"/>
  <c r="AC173" i="1"/>
  <c r="AB173" i="1"/>
  <c r="Z173" i="1"/>
  <c r="J173" i="1"/>
  <c r="I173" i="1"/>
  <c r="H173" i="1"/>
  <c r="AU172" i="1"/>
  <c r="J172" i="1"/>
  <c r="H172" i="1"/>
  <c r="BJ171" i="1"/>
  <c r="BF171" i="1"/>
  <c r="BD171" i="1"/>
  <c r="AP171" i="1"/>
  <c r="AO171" i="1"/>
  <c r="AL171" i="1"/>
  <c r="AJ171" i="1"/>
  <c r="AH171" i="1"/>
  <c r="AG171" i="1"/>
  <c r="AF171" i="1"/>
  <c r="AE171" i="1"/>
  <c r="AD171" i="1"/>
  <c r="AC171" i="1"/>
  <c r="AB171" i="1"/>
  <c r="Z171" i="1"/>
  <c r="J171" i="1"/>
  <c r="AK171" i="1" s="1"/>
  <c r="I171" i="1"/>
  <c r="BJ170" i="1"/>
  <c r="BF170" i="1"/>
  <c r="BD170" i="1"/>
  <c r="AP170" i="1"/>
  <c r="AO170" i="1"/>
  <c r="AL170" i="1"/>
  <c r="AJ170" i="1"/>
  <c r="AH170" i="1"/>
  <c r="AG170" i="1"/>
  <c r="AF170" i="1"/>
  <c r="AC170" i="1"/>
  <c r="AB170" i="1"/>
  <c r="Z170" i="1"/>
  <c r="J170" i="1"/>
  <c r="AK170" i="1" s="1"/>
  <c r="BJ169" i="1"/>
  <c r="BF169" i="1"/>
  <c r="BD169" i="1"/>
  <c r="AW169" i="1"/>
  <c r="AP169" i="1"/>
  <c r="AO169" i="1"/>
  <c r="H169" i="1" s="1"/>
  <c r="AL169" i="1"/>
  <c r="AJ169" i="1"/>
  <c r="AH169" i="1"/>
  <c r="AG169" i="1"/>
  <c r="AF169" i="1"/>
  <c r="AC169" i="1"/>
  <c r="AB169" i="1"/>
  <c r="Z169" i="1"/>
  <c r="J169" i="1"/>
  <c r="AK169" i="1" s="1"/>
  <c r="BJ168" i="1"/>
  <c r="BF168" i="1"/>
  <c r="BD168" i="1"/>
  <c r="AX168" i="1"/>
  <c r="AW168" i="1"/>
  <c r="BC168" i="1" s="1"/>
  <c r="AV168" i="1"/>
  <c r="AP168" i="1"/>
  <c r="I168" i="1" s="1"/>
  <c r="AO168" i="1"/>
  <c r="H168" i="1" s="1"/>
  <c r="AL168" i="1"/>
  <c r="AJ168" i="1"/>
  <c r="AH168" i="1"/>
  <c r="AG168" i="1"/>
  <c r="AF168" i="1"/>
  <c r="AC168" i="1"/>
  <c r="AB168" i="1"/>
  <c r="Z168" i="1"/>
  <c r="J168" i="1"/>
  <c r="AK168" i="1" s="1"/>
  <c r="BJ167" i="1"/>
  <c r="BH167" i="1"/>
  <c r="BF167" i="1"/>
  <c r="BD167" i="1"/>
  <c r="AX167" i="1"/>
  <c r="AW167" i="1"/>
  <c r="AV167" i="1" s="1"/>
  <c r="AP167" i="1"/>
  <c r="I167" i="1" s="1"/>
  <c r="AO167" i="1"/>
  <c r="AL167" i="1"/>
  <c r="AK167" i="1"/>
  <c r="AJ167" i="1"/>
  <c r="AH167" i="1"/>
  <c r="AG167" i="1"/>
  <c r="AF167" i="1"/>
  <c r="AD167" i="1"/>
  <c r="AC167" i="1"/>
  <c r="AB167" i="1"/>
  <c r="Z167" i="1"/>
  <c r="J167" i="1"/>
  <c r="H167" i="1"/>
  <c r="BJ166" i="1"/>
  <c r="BI166" i="1"/>
  <c r="BF166" i="1"/>
  <c r="BD166" i="1"/>
  <c r="AX166" i="1"/>
  <c r="AV166" i="1" s="1"/>
  <c r="AW166" i="1"/>
  <c r="AP166" i="1"/>
  <c r="AO166" i="1"/>
  <c r="BH166" i="1" s="1"/>
  <c r="AD166" i="1" s="1"/>
  <c r="AL166" i="1"/>
  <c r="AK166" i="1"/>
  <c r="AJ166" i="1"/>
  <c r="AH166" i="1"/>
  <c r="AG166" i="1"/>
  <c r="AF166" i="1"/>
  <c r="AE166" i="1"/>
  <c r="AC166" i="1"/>
  <c r="AB166" i="1"/>
  <c r="Z166" i="1"/>
  <c r="J166" i="1"/>
  <c r="I166" i="1"/>
  <c r="H166" i="1"/>
  <c r="BJ165" i="1"/>
  <c r="BF165" i="1"/>
  <c r="BD165" i="1"/>
  <c r="BC165" i="1"/>
  <c r="AX165" i="1"/>
  <c r="AW165" i="1"/>
  <c r="AV165" i="1" s="1"/>
  <c r="AP165" i="1"/>
  <c r="BI165" i="1" s="1"/>
  <c r="AO165" i="1"/>
  <c r="BH165" i="1" s="1"/>
  <c r="AD165" i="1" s="1"/>
  <c r="AL165" i="1"/>
  <c r="AK165" i="1"/>
  <c r="AJ165" i="1"/>
  <c r="AH165" i="1"/>
  <c r="AG165" i="1"/>
  <c r="AF165" i="1"/>
  <c r="AE165" i="1"/>
  <c r="AC165" i="1"/>
  <c r="AB165" i="1"/>
  <c r="Z165" i="1"/>
  <c r="J165" i="1"/>
  <c r="I165" i="1"/>
  <c r="H165" i="1"/>
  <c r="BJ163" i="1"/>
  <c r="BH163" i="1"/>
  <c r="AD163" i="1" s="1"/>
  <c r="BF163" i="1"/>
  <c r="BD163" i="1"/>
  <c r="AX163" i="1"/>
  <c r="AP163" i="1"/>
  <c r="BI163" i="1" s="1"/>
  <c r="AE163" i="1" s="1"/>
  <c r="AO163" i="1"/>
  <c r="AW163" i="1" s="1"/>
  <c r="AL163" i="1"/>
  <c r="AJ163" i="1"/>
  <c r="AH163" i="1"/>
  <c r="AG163" i="1"/>
  <c r="AF163" i="1"/>
  <c r="AC163" i="1"/>
  <c r="AB163" i="1"/>
  <c r="Z163" i="1"/>
  <c r="J163" i="1"/>
  <c r="AK163" i="1" s="1"/>
  <c r="I163" i="1"/>
  <c r="AT162" i="1"/>
  <c r="AS162" i="1"/>
  <c r="BJ161" i="1"/>
  <c r="BF161" i="1"/>
  <c r="BD161" i="1"/>
  <c r="AW161" i="1"/>
  <c r="AP161" i="1"/>
  <c r="AO161" i="1"/>
  <c r="H161" i="1" s="1"/>
  <c r="AL161" i="1"/>
  <c r="AJ161" i="1"/>
  <c r="AH161" i="1"/>
  <c r="AG161" i="1"/>
  <c r="AF161" i="1"/>
  <c r="AE161" i="1"/>
  <c r="AD161" i="1"/>
  <c r="AC161" i="1"/>
  <c r="AB161" i="1"/>
  <c r="Z161" i="1"/>
  <c r="J161" i="1"/>
  <c r="AK161" i="1" s="1"/>
  <c r="BJ160" i="1"/>
  <c r="BF160" i="1"/>
  <c r="BD160" i="1"/>
  <c r="AX160" i="1"/>
  <c r="AV160" i="1" s="1"/>
  <c r="AW160" i="1"/>
  <c r="AP160" i="1"/>
  <c r="I160" i="1" s="1"/>
  <c r="AO160" i="1"/>
  <c r="H160" i="1" s="1"/>
  <c r="AL160" i="1"/>
  <c r="AJ160" i="1"/>
  <c r="AH160" i="1"/>
  <c r="AG160" i="1"/>
  <c r="AF160" i="1"/>
  <c r="AC160" i="1"/>
  <c r="AB160" i="1"/>
  <c r="Z160" i="1"/>
  <c r="J160" i="1"/>
  <c r="AK160" i="1" s="1"/>
  <c r="BJ158" i="1"/>
  <c r="BH158" i="1"/>
  <c r="BF158" i="1"/>
  <c r="BD158" i="1"/>
  <c r="BC158" i="1"/>
  <c r="AX158" i="1"/>
  <c r="AW158" i="1"/>
  <c r="AP158" i="1"/>
  <c r="I158" i="1" s="1"/>
  <c r="AO158" i="1"/>
  <c r="AL158" i="1"/>
  <c r="AK158" i="1"/>
  <c r="AJ158" i="1"/>
  <c r="AH158" i="1"/>
  <c r="AG158" i="1"/>
  <c r="AF158" i="1"/>
  <c r="AD158" i="1"/>
  <c r="AC158" i="1"/>
  <c r="AB158" i="1"/>
  <c r="Z158" i="1"/>
  <c r="J158" i="1"/>
  <c r="H158" i="1"/>
  <c r="BJ156" i="1"/>
  <c r="BI156" i="1"/>
  <c r="BF156" i="1"/>
  <c r="BD156" i="1"/>
  <c r="AX156" i="1"/>
  <c r="AV156" i="1" s="1"/>
  <c r="AW156" i="1"/>
  <c r="AP156" i="1"/>
  <c r="AO156" i="1"/>
  <c r="BH156" i="1" s="1"/>
  <c r="AL156" i="1"/>
  <c r="AK156" i="1"/>
  <c r="AJ156" i="1"/>
  <c r="AH156" i="1"/>
  <c r="AG156" i="1"/>
  <c r="AF156" i="1"/>
  <c r="AE156" i="1"/>
  <c r="AD156" i="1"/>
  <c r="AC156" i="1"/>
  <c r="AB156" i="1"/>
  <c r="Z156" i="1"/>
  <c r="J156" i="1"/>
  <c r="I156" i="1"/>
  <c r="H156" i="1"/>
  <c r="BJ155" i="1"/>
  <c r="BF155" i="1"/>
  <c r="BD155" i="1"/>
  <c r="BC155" i="1"/>
  <c r="AX155" i="1"/>
  <c r="AW155" i="1"/>
  <c r="AV155" i="1" s="1"/>
  <c r="AP155" i="1"/>
  <c r="BI155" i="1" s="1"/>
  <c r="AO155" i="1"/>
  <c r="BH155" i="1" s="1"/>
  <c r="AD155" i="1" s="1"/>
  <c r="AL155" i="1"/>
  <c r="AK155" i="1"/>
  <c r="AJ155" i="1"/>
  <c r="AH155" i="1"/>
  <c r="AG155" i="1"/>
  <c r="AF155" i="1"/>
  <c r="AE155" i="1"/>
  <c r="AC155" i="1"/>
  <c r="AB155" i="1"/>
  <c r="Z155" i="1"/>
  <c r="J155" i="1"/>
  <c r="I155" i="1"/>
  <c r="H155" i="1"/>
  <c r="BJ154" i="1"/>
  <c r="BH154" i="1"/>
  <c r="AD154" i="1" s="1"/>
  <c r="BF154" i="1"/>
  <c r="BD154" i="1"/>
  <c r="AX154" i="1"/>
  <c r="AP154" i="1"/>
  <c r="BI154" i="1" s="1"/>
  <c r="AE154" i="1" s="1"/>
  <c r="AO154" i="1"/>
  <c r="AW154" i="1" s="1"/>
  <c r="AL154" i="1"/>
  <c r="AU153" i="1" s="1"/>
  <c r="AJ154" i="1"/>
  <c r="AH154" i="1"/>
  <c r="AG154" i="1"/>
  <c r="AF154" i="1"/>
  <c r="AC154" i="1"/>
  <c r="AB154" i="1"/>
  <c r="Z154" i="1"/>
  <c r="J154" i="1"/>
  <c r="AK154" i="1" s="1"/>
  <c r="AT153" i="1" s="1"/>
  <c r="I154" i="1"/>
  <c r="AS153" i="1"/>
  <c r="J153" i="1"/>
  <c r="BJ152" i="1"/>
  <c r="BF152" i="1"/>
  <c r="BD152" i="1"/>
  <c r="AW152" i="1"/>
  <c r="AP152" i="1"/>
  <c r="AO152" i="1"/>
  <c r="H152" i="1" s="1"/>
  <c r="H151" i="1" s="1"/>
  <c r="AL152" i="1"/>
  <c r="AU151" i="1" s="1"/>
  <c r="AJ152" i="1"/>
  <c r="AH152" i="1"/>
  <c r="AG152" i="1"/>
  <c r="AF152" i="1"/>
  <c r="AC152" i="1"/>
  <c r="AB152" i="1"/>
  <c r="Z152" i="1"/>
  <c r="J152" i="1"/>
  <c r="AK152" i="1" s="1"/>
  <c r="AT151" i="1" s="1"/>
  <c r="AS151" i="1"/>
  <c r="J151" i="1"/>
  <c r="BJ150" i="1"/>
  <c r="Z150" i="1" s="1"/>
  <c r="BI150" i="1"/>
  <c r="BH150" i="1"/>
  <c r="BF150" i="1"/>
  <c r="BD150" i="1"/>
  <c r="AP150" i="1"/>
  <c r="AX150" i="1" s="1"/>
  <c r="AO150" i="1"/>
  <c r="AW150" i="1" s="1"/>
  <c r="AL150" i="1"/>
  <c r="AK150" i="1"/>
  <c r="AJ150" i="1"/>
  <c r="AH150" i="1"/>
  <c r="AG150" i="1"/>
  <c r="AF150" i="1"/>
  <c r="AE150" i="1"/>
  <c r="AD150" i="1"/>
  <c r="AC150" i="1"/>
  <c r="AB150" i="1"/>
  <c r="J150" i="1"/>
  <c r="H150" i="1"/>
  <c r="BJ149" i="1"/>
  <c r="BI149" i="1"/>
  <c r="AE149" i="1" s="1"/>
  <c r="BH149" i="1"/>
  <c r="AD149" i="1" s="1"/>
  <c r="BF149" i="1"/>
  <c r="BD149" i="1"/>
  <c r="AX149" i="1"/>
  <c r="AW149" i="1"/>
  <c r="BC149" i="1" s="1"/>
  <c r="AV149" i="1"/>
  <c r="AP149" i="1"/>
  <c r="AO149" i="1"/>
  <c r="AL149" i="1"/>
  <c r="AK149" i="1"/>
  <c r="AJ149" i="1"/>
  <c r="AH149" i="1"/>
  <c r="AG149" i="1"/>
  <c r="AF149" i="1"/>
  <c r="AC149" i="1"/>
  <c r="AB149" i="1"/>
  <c r="Z149" i="1"/>
  <c r="J149" i="1"/>
  <c r="I149" i="1"/>
  <c r="H149" i="1"/>
  <c r="BJ148" i="1"/>
  <c r="BI148" i="1"/>
  <c r="AE148" i="1" s="1"/>
  <c r="BF148" i="1"/>
  <c r="BD148" i="1"/>
  <c r="AX148" i="1"/>
  <c r="AP148" i="1"/>
  <c r="AO148" i="1"/>
  <c r="AL148" i="1"/>
  <c r="AK148" i="1"/>
  <c r="AJ148" i="1"/>
  <c r="AH148" i="1"/>
  <c r="AG148" i="1"/>
  <c r="AF148" i="1"/>
  <c r="AC148" i="1"/>
  <c r="AB148" i="1"/>
  <c r="Z148" i="1"/>
  <c r="J148" i="1"/>
  <c r="I148" i="1"/>
  <c r="BJ147" i="1"/>
  <c r="BF147" i="1"/>
  <c r="BD147" i="1"/>
  <c r="AP147" i="1"/>
  <c r="AO147" i="1"/>
  <c r="AL147" i="1"/>
  <c r="AJ147" i="1"/>
  <c r="AH147" i="1"/>
  <c r="AG147" i="1"/>
  <c r="AF147" i="1"/>
  <c r="AC147" i="1"/>
  <c r="AB147" i="1"/>
  <c r="Z147" i="1"/>
  <c r="J147" i="1"/>
  <c r="AK147" i="1" s="1"/>
  <c r="BJ146" i="1"/>
  <c r="BF146" i="1"/>
  <c r="BD146" i="1"/>
  <c r="AP146" i="1"/>
  <c r="AO146" i="1"/>
  <c r="AL146" i="1"/>
  <c r="AJ146" i="1"/>
  <c r="AH146" i="1"/>
  <c r="AG146" i="1"/>
  <c r="AF146" i="1"/>
  <c r="AC146" i="1"/>
  <c r="AB146" i="1"/>
  <c r="Z146" i="1"/>
  <c r="J146" i="1"/>
  <c r="AK146" i="1" s="1"/>
  <c r="BJ145" i="1"/>
  <c r="BF145" i="1"/>
  <c r="BD145" i="1"/>
  <c r="AW145" i="1"/>
  <c r="AP145" i="1"/>
  <c r="AO145" i="1"/>
  <c r="H145" i="1" s="1"/>
  <c r="AL145" i="1"/>
  <c r="AU143" i="1" s="1"/>
  <c r="AJ145" i="1"/>
  <c r="AH145" i="1"/>
  <c r="AG145" i="1"/>
  <c r="AF145" i="1"/>
  <c r="AC145" i="1"/>
  <c r="AB145" i="1"/>
  <c r="Z145" i="1"/>
  <c r="J145" i="1"/>
  <c r="AK145" i="1" s="1"/>
  <c r="BJ144" i="1"/>
  <c r="BF144" i="1"/>
  <c r="BD144" i="1"/>
  <c r="AX144" i="1"/>
  <c r="AV144" i="1" s="1"/>
  <c r="AW144" i="1"/>
  <c r="AP144" i="1"/>
  <c r="I144" i="1" s="1"/>
  <c r="AO144" i="1"/>
  <c r="H144" i="1" s="1"/>
  <c r="AL144" i="1"/>
  <c r="AJ144" i="1"/>
  <c r="AH144" i="1"/>
  <c r="AG144" i="1"/>
  <c r="AF144" i="1"/>
  <c r="AC144" i="1"/>
  <c r="AB144" i="1"/>
  <c r="Z144" i="1"/>
  <c r="J144" i="1"/>
  <c r="AK144" i="1" s="1"/>
  <c r="BJ142" i="1"/>
  <c r="Z142" i="1" s="1"/>
  <c r="BI142" i="1"/>
  <c r="BH142" i="1"/>
  <c r="BF142" i="1"/>
  <c r="BD142" i="1"/>
  <c r="AX142" i="1"/>
  <c r="AW142" i="1"/>
  <c r="BC142" i="1" s="1"/>
  <c r="AV142" i="1"/>
  <c r="AP142" i="1"/>
  <c r="AO142" i="1"/>
  <c r="AL142" i="1"/>
  <c r="AK142" i="1"/>
  <c r="AJ142" i="1"/>
  <c r="AH142" i="1"/>
  <c r="AG142" i="1"/>
  <c r="AF142" i="1"/>
  <c r="AE142" i="1"/>
  <c r="AD142" i="1"/>
  <c r="AC142" i="1"/>
  <c r="AB142" i="1"/>
  <c r="J142" i="1"/>
  <c r="I142" i="1"/>
  <c r="H142" i="1"/>
  <c r="BJ141" i="1"/>
  <c r="BI141" i="1"/>
  <c r="AE141" i="1" s="1"/>
  <c r="BF141" i="1"/>
  <c r="BD141" i="1"/>
  <c r="AX141" i="1"/>
  <c r="AP141" i="1"/>
  <c r="AO141" i="1"/>
  <c r="AL141" i="1"/>
  <c r="AU129" i="1" s="1"/>
  <c r="AK141" i="1"/>
  <c r="AJ141" i="1"/>
  <c r="AH141" i="1"/>
  <c r="AG141" i="1"/>
  <c r="AF141" i="1"/>
  <c r="AC141" i="1"/>
  <c r="AB141" i="1"/>
  <c r="Z141" i="1"/>
  <c r="J141" i="1"/>
  <c r="I141" i="1"/>
  <c r="H141" i="1"/>
  <c r="BJ140" i="1"/>
  <c r="BF140" i="1"/>
  <c r="BD140" i="1"/>
  <c r="AP140" i="1"/>
  <c r="AO140" i="1"/>
  <c r="AL140" i="1"/>
  <c r="AJ140" i="1"/>
  <c r="AH140" i="1"/>
  <c r="AG140" i="1"/>
  <c r="AF140" i="1"/>
  <c r="AC140" i="1"/>
  <c r="AB140" i="1"/>
  <c r="Z140" i="1"/>
  <c r="J140" i="1"/>
  <c r="AK140" i="1" s="1"/>
  <c r="I140" i="1"/>
  <c r="BJ139" i="1"/>
  <c r="BF139" i="1"/>
  <c r="BD139" i="1"/>
  <c r="AP139" i="1"/>
  <c r="AO139" i="1"/>
  <c r="AL139" i="1"/>
  <c r="AJ139" i="1"/>
  <c r="AH139" i="1"/>
  <c r="AG139" i="1"/>
  <c r="AF139" i="1"/>
  <c r="AC139" i="1"/>
  <c r="AB139" i="1"/>
  <c r="Z139" i="1"/>
  <c r="J139" i="1"/>
  <c r="BJ138" i="1"/>
  <c r="BF138" i="1"/>
  <c r="BD138" i="1"/>
  <c r="AW138" i="1"/>
  <c r="AP138" i="1"/>
  <c r="AO138" i="1"/>
  <c r="H138" i="1" s="1"/>
  <c r="AL138" i="1"/>
  <c r="AJ138" i="1"/>
  <c r="AH138" i="1"/>
  <c r="AG138" i="1"/>
  <c r="AF138" i="1"/>
  <c r="AC138" i="1"/>
  <c r="AB138" i="1"/>
  <c r="Z138" i="1"/>
  <c r="J138" i="1"/>
  <c r="AK138" i="1" s="1"/>
  <c r="BJ137" i="1"/>
  <c r="BF137" i="1"/>
  <c r="BD137" i="1"/>
  <c r="AX137" i="1"/>
  <c r="AW137" i="1"/>
  <c r="BC137" i="1" s="1"/>
  <c r="AP137" i="1"/>
  <c r="I137" i="1" s="1"/>
  <c r="AO137" i="1"/>
  <c r="H137" i="1" s="1"/>
  <c r="AL137" i="1"/>
  <c r="AJ137" i="1"/>
  <c r="AH137" i="1"/>
  <c r="AG137" i="1"/>
  <c r="AF137" i="1"/>
  <c r="AC137" i="1"/>
  <c r="AB137" i="1"/>
  <c r="Z137" i="1"/>
  <c r="J137" i="1"/>
  <c r="AK137" i="1" s="1"/>
  <c r="BJ136" i="1"/>
  <c r="BH136" i="1"/>
  <c r="BF136" i="1"/>
  <c r="BD136" i="1"/>
  <c r="AX136" i="1"/>
  <c r="AW136" i="1"/>
  <c r="AP136" i="1"/>
  <c r="I136" i="1" s="1"/>
  <c r="AO136" i="1"/>
  <c r="AL136" i="1"/>
  <c r="AK136" i="1"/>
  <c r="AJ136" i="1"/>
  <c r="AH136" i="1"/>
  <c r="AG136" i="1"/>
  <c r="AF136" i="1"/>
  <c r="AD136" i="1"/>
  <c r="AC136" i="1"/>
  <c r="AB136" i="1"/>
  <c r="Z136" i="1"/>
  <c r="J136" i="1"/>
  <c r="H136" i="1"/>
  <c r="BJ135" i="1"/>
  <c r="BI135" i="1"/>
  <c r="BF135" i="1"/>
  <c r="BD135" i="1"/>
  <c r="BC135" i="1"/>
  <c r="AX135" i="1"/>
  <c r="AV135" i="1" s="1"/>
  <c r="AW135" i="1"/>
  <c r="AP135" i="1"/>
  <c r="AO135" i="1"/>
  <c r="BH135" i="1" s="1"/>
  <c r="AL135" i="1"/>
  <c r="AK135" i="1"/>
  <c r="AJ135" i="1"/>
  <c r="AH135" i="1"/>
  <c r="AG135" i="1"/>
  <c r="AF135" i="1"/>
  <c r="AE135" i="1"/>
  <c r="AD135" i="1"/>
  <c r="AC135" i="1"/>
  <c r="AB135" i="1"/>
  <c r="Z135" i="1"/>
  <c r="J135" i="1"/>
  <c r="I135" i="1"/>
  <c r="H135" i="1"/>
  <c r="BJ133" i="1"/>
  <c r="BF133" i="1"/>
  <c r="BD133" i="1"/>
  <c r="BC133" i="1"/>
  <c r="AX133" i="1"/>
  <c r="AW133" i="1"/>
  <c r="AV133" i="1" s="1"/>
  <c r="AP133" i="1"/>
  <c r="BI133" i="1" s="1"/>
  <c r="AO133" i="1"/>
  <c r="BH133" i="1" s="1"/>
  <c r="AD133" i="1" s="1"/>
  <c r="AL133" i="1"/>
  <c r="AK133" i="1"/>
  <c r="AJ133" i="1"/>
  <c r="AH133" i="1"/>
  <c r="AG133" i="1"/>
  <c r="AF133" i="1"/>
  <c r="AE133" i="1"/>
  <c r="AC133" i="1"/>
  <c r="AB133" i="1"/>
  <c r="Z133" i="1"/>
  <c r="J133" i="1"/>
  <c r="I133" i="1"/>
  <c r="H133" i="1"/>
  <c r="BJ132" i="1"/>
  <c r="BH132" i="1"/>
  <c r="AD132" i="1" s="1"/>
  <c r="BF132" i="1"/>
  <c r="BD132" i="1"/>
  <c r="AX132" i="1"/>
  <c r="AP132" i="1"/>
  <c r="BI132" i="1" s="1"/>
  <c r="AE132" i="1" s="1"/>
  <c r="AO132" i="1"/>
  <c r="AW132" i="1" s="1"/>
  <c r="AL132" i="1"/>
  <c r="AJ132" i="1"/>
  <c r="AH132" i="1"/>
  <c r="AG132" i="1"/>
  <c r="AF132" i="1"/>
  <c r="AC132" i="1"/>
  <c r="AB132" i="1"/>
  <c r="Z132" i="1"/>
  <c r="J132" i="1"/>
  <c r="AK132" i="1" s="1"/>
  <c r="I132" i="1"/>
  <c r="BJ131" i="1"/>
  <c r="BI131" i="1"/>
  <c r="BH131" i="1"/>
  <c r="AF131" i="1" s="1"/>
  <c r="BF131" i="1"/>
  <c r="BD131" i="1"/>
  <c r="AP131" i="1"/>
  <c r="AX131" i="1" s="1"/>
  <c r="AO131" i="1"/>
  <c r="AW131" i="1" s="1"/>
  <c r="AL131" i="1"/>
  <c r="AJ131" i="1"/>
  <c r="AH131" i="1"/>
  <c r="AG131" i="1"/>
  <c r="AE131" i="1"/>
  <c r="AD131" i="1"/>
  <c r="AC131" i="1"/>
  <c r="AB131" i="1"/>
  <c r="Z131" i="1"/>
  <c r="J131" i="1"/>
  <c r="AK131" i="1" s="1"/>
  <c r="BJ130" i="1"/>
  <c r="BI130" i="1"/>
  <c r="AE130" i="1" s="1"/>
  <c r="BH130" i="1"/>
  <c r="AD130" i="1" s="1"/>
  <c r="BF130" i="1"/>
  <c r="BD130" i="1"/>
  <c r="AW130" i="1"/>
  <c r="AP130" i="1"/>
  <c r="AX130" i="1" s="1"/>
  <c r="AV130" i="1" s="1"/>
  <c r="AO130" i="1"/>
  <c r="AL130" i="1"/>
  <c r="AK130" i="1"/>
  <c r="AJ130" i="1"/>
  <c r="AS129" i="1" s="1"/>
  <c r="AH130" i="1"/>
  <c r="AG130" i="1"/>
  <c r="AF130" i="1"/>
  <c r="AC130" i="1"/>
  <c r="AB130" i="1"/>
  <c r="Z130" i="1"/>
  <c r="J130" i="1"/>
  <c r="H130" i="1"/>
  <c r="BJ128" i="1"/>
  <c r="BH128" i="1"/>
  <c r="BF128" i="1"/>
  <c r="BD128" i="1"/>
  <c r="BC128" i="1"/>
  <c r="AX128" i="1"/>
  <c r="AW128" i="1"/>
  <c r="AP128" i="1"/>
  <c r="I128" i="1" s="1"/>
  <c r="AO128" i="1"/>
  <c r="AL128" i="1"/>
  <c r="AK128" i="1"/>
  <c r="AJ128" i="1"/>
  <c r="AH128" i="1"/>
  <c r="AG128" i="1"/>
  <c r="AF128" i="1"/>
  <c r="AE128" i="1"/>
  <c r="AD128" i="1"/>
  <c r="AC128" i="1"/>
  <c r="AB128" i="1"/>
  <c r="Z128" i="1"/>
  <c r="J128" i="1"/>
  <c r="H128" i="1"/>
  <c r="BJ127" i="1"/>
  <c r="BI127" i="1"/>
  <c r="BF127" i="1"/>
  <c r="BD127" i="1"/>
  <c r="BC127" i="1"/>
  <c r="AX127" i="1"/>
  <c r="AV127" i="1" s="1"/>
  <c r="AW127" i="1"/>
  <c r="AP127" i="1"/>
  <c r="AO127" i="1"/>
  <c r="BH127" i="1" s="1"/>
  <c r="AL127" i="1"/>
  <c r="AK127" i="1"/>
  <c r="AJ127" i="1"/>
  <c r="AH127" i="1"/>
  <c r="AG127" i="1"/>
  <c r="AF127" i="1"/>
  <c r="AE127" i="1"/>
  <c r="AD127" i="1"/>
  <c r="AC127" i="1"/>
  <c r="AB127" i="1"/>
  <c r="Z127" i="1"/>
  <c r="J127" i="1"/>
  <c r="I127" i="1"/>
  <c r="H127" i="1"/>
  <c r="BJ125" i="1"/>
  <c r="BF125" i="1"/>
  <c r="BD125" i="1"/>
  <c r="BC125" i="1"/>
  <c r="AX125" i="1"/>
  <c r="AW125" i="1"/>
  <c r="AV125" i="1" s="1"/>
  <c r="AP125" i="1"/>
  <c r="BI125" i="1" s="1"/>
  <c r="AO125" i="1"/>
  <c r="BH125" i="1" s="1"/>
  <c r="AD125" i="1" s="1"/>
  <c r="AL125" i="1"/>
  <c r="AK125" i="1"/>
  <c r="AJ125" i="1"/>
  <c r="AH125" i="1"/>
  <c r="AG125" i="1"/>
  <c r="AF125" i="1"/>
  <c r="AE125" i="1"/>
  <c r="AC125" i="1"/>
  <c r="AB125" i="1"/>
  <c r="Z125" i="1"/>
  <c r="J125" i="1"/>
  <c r="I125" i="1"/>
  <c r="H125" i="1"/>
  <c r="BJ124" i="1"/>
  <c r="BH124" i="1"/>
  <c r="AD124" i="1" s="1"/>
  <c r="BF124" i="1"/>
  <c r="BD124" i="1"/>
  <c r="AX124" i="1"/>
  <c r="AP124" i="1"/>
  <c r="BI124" i="1" s="1"/>
  <c r="AE124" i="1" s="1"/>
  <c r="AO124" i="1"/>
  <c r="AW124" i="1" s="1"/>
  <c r="AL124" i="1"/>
  <c r="AJ124" i="1"/>
  <c r="AH124" i="1"/>
  <c r="AG124" i="1"/>
  <c r="AF124" i="1"/>
  <c r="AC124" i="1"/>
  <c r="AB124" i="1"/>
  <c r="Z124" i="1"/>
  <c r="J124" i="1"/>
  <c r="AK124" i="1" s="1"/>
  <c r="I124" i="1"/>
  <c r="BJ123" i="1"/>
  <c r="BI123" i="1"/>
  <c r="AE123" i="1" s="1"/>
  <c r="BH123" i="1"/>
  <c r="AD123" i="1" s="1"/>
  <c r="BF123" i="1"/>
  <c r="BD123" i="1"/>
  <c r="AP123" i="1"/>
  <c r="AX123" i="1" s="1"/>
  <c r="AO123" i="1"/>
  <c r="AW123" i="1" s="1"/>
  <c r="AL123" i="1"/>
  <c r="AJ123" i="1"/>
  <c r="AH123" i="1"/>
  <c r="AG123" i="1"/>
  <c r="AF123" i="1"/>
  <c r="AC123" i="1"/>
  <c r="AB123" i="1"/>
  <c r="Z123" i="1"/>
  <c r="J123" i="1"/>
  <c r="AK123" i="1" s="1"/>
  <c r="BJ122" i="1"/>
  <c r="BI122" i="1"/>
  <c r="AE122" i="1" s="1"/>
  <c r="BH122" i="1"/>
  <c r="AD122" i="1" s="1"/>
  <c r="BF122" i="1"/>
  <c r="BD122" i="1"/>
  <c r="AW122" i="1"/>
  <c r="AP122" i="1"/>
  <c r="AX122" i="1" s="1"/>
  <c r="AV122" i="1" s="1"/>
  <c r="AO122" i="1"/>
  <c r="AL122" i="1"/>
  <c r="AK122" i="1"/>
  <c r="AJ122" i="1"/>
  <c r="AH122" i="1"/>
  <c r="AG122" i="1"/>
  <c r="AF122" i="1"/>
  <c r="AC122" i="1"/>
  <c r="AB122" i="1"/>
  <c r="Z122" i="1"/>
  <c r="J122" i="1"/>
  <c r="H122" i="1"/>
  <c r="BJ121" i="1"/>
  <c r="BI121" i="1"/>
  <c r="AE121" i="1" s="1"/>
  <c r="BH121" i="1"/>
  <c r="AD121" i="1" s="1"/>
  <c r="BF121" i="1"/>
  <c r="BD121" i="1"/>
  <c r="AX121" i="1"/>
  <c r="AW121" i="1"/>
  <c r="BC121" i="1" s="1"/>
  <c r="AV121" i="1"/>
  <c r="AP121" i="1"/>
  <c r="AO121" i="1"/>
  <c r="AL121" i="1"/>
  <c r="AK121" i="1"/>
  <c r="AJ121" i="1"/>
  <c r="AH121" i="1"/>
  <c r="AG121" i="1"/>
  <c r="AF121" i="1"/>
  <c r="AC121" i="1"/>
  <c r="AB121" i="1"/>
  <c r="Z121" i="1"/>
  <c r="J121" i="1"/>
  <c r="I121" i="1"/>
  <c r="H121" i="1"/>
  <c r="BJ120" i="1"/>
  <c r="BI120" i="1"/>
  <c r="AE120" i="1" s="1"/>
  <c r="BF120" i="1"/>
  <c r="BD120" i="1"/>
  <c r="AX120" i="1"/>
  <c r="AP120" i="1"/>
  <c r="AO120" i="1"/>
  <c r="AL120" i="1"/>
  <c r="AK120" i="1"/>
  <c r="AJ120" i="1"/>
  <c r="AH120" i="1"/>
  <c r="AG120" i="1"/>
  <c r="AF120" i="1"/>
  <c r="AC120" i="1"/>
  <c r="AB120" i="1"/>
  <c r="Z120" i="1"/>
  <c r="J120" i="1"/>
  <c r="I120" i="1"/>
  <c r="H120" i="1"/>
  <c r="BJ119" i="1"/>
  <c r="BF119" i="1"/>
  <c r="BD119" i="1"/>
  <c r="AP119" i="1"/>
  <c r="AO119" i="1"/>
  <c r="AL119" i="1"/>
  <c r="AJ119" i="1"/>
  <c r="AH119" i="1"/>
  <c r="AG119" i="1"/>
  <c r="AF119" i="1"/>
  <c r="AC119" i="1"/>
  <c r="AB119" i="1"/>
  <c r="Z119" i="1"/>
  <c r="J119" i="1"/>
  <c r="AK119" i="1" s="1"/>
  <c r="I119" i="1"/>
  <c r="BJ118" i="1"/>
  <c r="BF118" i="1"/>
  <c r="BD118" i="1"/>
  <c r="AP118" i="1"/>
  <c r="AO118" i="1"/>
  <c r="AL118" i="1"/>
  <c r="AJ118" i="1"/>
  <c r="AH118" i="1"/>
  <c r="AG118" i="1"/>
  <c r="AF118" i="1"/>
  <c r="AC118" i="1"/>
  <c r="AB118" i="1"/>
  <c r="Z118" i="1"/>
  <c r="J118" i="1"/>
  <c r="AK118" i="1" s="1"/>
  <c r="BJ117" i="1"/>
  <c r="BF117" i="1"/>
  <c r="BD117" i="1"/>
  <c r="AW117" i="1"/>
  <c r="AP117" i="1"/>
  <c r="AO117" i="1"/>
  <c r="H117" i="1" s="1"/>
  <c r="AL117" i="1"/>
  <c r="AJ117" i="1"/>
  <c r="AH117" i="1"/>
  <c r="AG117" i="1"/>
  <c r="AF117" i="1"/>
  <c r="AC117" i="1"/>
  <c r="AB117" i="1"/>
  <c r="Z117" i="1"/>
  <c r="J117" i="1"/>
  <c r="AK117" i="1" s="1"/>
  <c r="BJ116" i="1"/>
  <c r="BF116" i="1"/>
  <c r="BD116" i="1"/>
  <c r="AX116" i="1"/>
  <c r="AP116" i="1"/>
  <c r="I116" i="1" s="1"/>
  <c r="AO116" i="1"/>
  <c r="AW116" i="1" s="1"/>
  <c r="AL116" i="1"/>
  <c r="AJ116" i="1"/>
  <c r="AH116" i="1"/>
  <c r="AG116" i="1"/>
  <c r="AF116" i="1"/>
  <c r="AC116" i="1"/>
  <c r="AB116" i="1"/>
  <c r="Z116" i="1"/>
  <c r="J116" i="1"/>
  <c r="AK116" i="1" s="1"/>
  <c r="BJ115" i="1"/>
  <c r="BH115" i="1"/>
  <c r="BF115" i="1"/>
  <c r="BD115" i="1"/>
  <c r="AW115" i="1"/>
  <c r="AP115" i="1"/>
  <c r="AO115" i="1"/>
  <c r="AL115" i="1"/>
  <c r="AK115" i="1"/>
  <c r="AJ115" i="1"/>
  <c r="AH115" i="1"/>
  <c r="AG115" i="1"/>
  <c r="AF115" i="1"/>
  <c r="AD115" i="1"/>
  <c r="AC115" i="1"/>
  <c r="AB115" i="1"/>
  <c r="Z115" i="1"/>
  <c r="J115" i="1"/>
  <c r="H115" i="1"/>
  <c r="BJ114" i="1"/>
  <c r="BI114" i="1"/>
  <c r="BF114" i="1"/>
  <c r="BD114" i="1"/>
  <c r="BC114" i="1"/>
  <c r="AX114" i="1"/>
  <c r="AV114" i="1" s="1"/>
  <c r="AW114" i="1"/>
  <c r="AP114" i="1"/>
  <c r="AO114" i="1"/>
  <c r="BH114" i="1" s="1"/>
  <c r="AL114" i="1"/>
  <c r="AK114" i="1"/>
  <c r="AJ114" i="1"/>
  <c r="AH114" i="1"/>
  <c r="AG114" i="1"/>
  <c r="AF114" i="1"/>
  <c r="AE114" i="1"/>
  <c r="AD114" i="1"/>
  <c r="AC114" i="1"/>
  <c r="AB114" i="1"/>
  <c r="Z114" i="1"/>
  <c r="J114" i="1"/>
  <c r="I114" i="1"/>
  <c r="H114" i="1"/>
  <c r="BJ113" i="1"/>
  <c r="BF113" i="1"/>
  <c r="BD113" i="1"/>
  <c r="BC113" i="1"/>
  <c r="AX113" i="1"/>
  <c r="AW113" i="1"/>
  <c r="AV113" i="1" s="1"/>
  <c r="AP113" i="1"/>
  <c r="BI113" i="1" s="1"/>
  <c r="AO113" i="1"/>
  <c r="BH113" i="1" s="1"/>
  <c r="AD113" i="1" s="1"/>
  <c r="AL113" i="1"/>
  <c r="AK113" i="1"/>
  <c r="AJ113" i="1"/>
  <c r="AH113" i="1"/>
  <c r="AG113" i="1"/>
  <c r="AF113" i="1"/>
  <c r="AE113" i="1"/>
  <c r="AC113" i="1"/>
  <c r="AB113" i="1"/>
  <c r="Z113" i="1"/>
  <c r="J113" i="1"/>
  <c r="I113" i="1"/>
  <c r="H113" i="1"/>
  <c r="BJ112" i="1"/>
  <c r="BH112" i="1"/>
  <c r="BF112" i="1"/>
  <c r="BD112" i="1"/>
  <c r="AX112" i="1"/>
  <c r="AP112" i="1"/>
  <c r="BI112" i="1" s="1"/>
  <c r="AE112" i="1" s="1"/>
  <c r="AO112" i="1"/>
  <c r="AW112" i="1" s="1"/>
  <c r="AL112" i="1"/>
  <c r="AJ112" i="1"/>
  <c r="AH112" i="1"/>
  <c r="AG112" i="1"/>
  <c r="AF112" i="1"/>
  <c r="AD112" i="1"/>
  <c r="AC112" i="1"/>
  <c r="AB112" i="1"/>
  <c r="Z112" i="1"/>
  <c r="J112" i="1"/>
  <c r="AK112" i="1" s="1"/>
  <c r="I112" i="1"/>
  <c r="BJ111" i="1"/>
  <c r="BI111" i="1"/>
  <c r="BH111" i="1"/>
  <c r="AD111" i="1" s="1"/>
  <c r="BF111" i="1"/>
  <c r="BD111" i="1"/>
  <c r="AP111" i="1"/>
  <c r="AX111" i="1" s="1"/>
  <c r="AO111" i="1"/>
  <c r="AL111" i="1"/>
  <c r="AJ111" i="1"/>
  <c r="AH111" i="1"/>
  <c r="AG111" i="1"/>
  <c r="AF111" i="1"/>
  <c r="AE111" i="1"/>
  <c r="AC111" i="1"/>
  <c r="AB111" i="1"/>
  <c r="Z111" i="1"/>
  <c r="J111" i="1"/>
  <c r="AK111" i="1" s="1"/>
  <c r="BJ110" i="1"/>
  <c r="BH110" i="1"/>
  <c r="AD110" i="1" s="1"/>
  <c r="BF110" i="1"/>
  <c r="BD110" i="1"/>
  <c r="AW110" i="1"/>
  <c r="AP110" i="1"/>
  <c r="AO110" i="1"/>
  <c r="AL110" i="1"/>
  <c r="AK110" i="1"/>
  <c r="AJ110" i="1"/>
  <c r="AH110" i="1"/>
  <c r="AG110" i="1"/>
  <c r="AF110" i="1"/>
  <c r="AC110" i="1"/>
  <c r="AB110" i="1"/>
  <c r="Z110" i="1"/>
  <c r="J110" i="1"/>
  <c r="H110" i="1"/>
  <c r="BJ109" i="1"/>
  <c r="BI109" i="1"/>
  <c r="AE109" i="1" s="1"/>
  <c r="BH109" i="1"/>
  <c r="AD109" i="1" s="1"/>
  <c r="BF109" i="1"/>
  <c r="BD109" i="1"/>
  <c r="AX109" i="1"/>
  <c r="AW109" i="1"/>
  <c r="BC109" i="1" s="1"/>
  <c r="AV109" i="1"/>
  <c r="AP109" i="1"/>
  <c r="AO109" i="1"/>
  <c r="AL109" i="1"/>
  <c r="AK109" i="1"/>
  <c r="AJ109" i="1"/>
  <c r="AH109" i="1"/>
  <c r="AG109" i="1"/>
  <c r="AF109" i="1"/>
  <c r="AC109" i="1"/>
  <c r="AB109" i="1"/>
  <c r="Z109" i="1"/>
  <c r="J109" i="1"/>
  <c r="I109" i="1"/>
  <c r="H109" i="1"/>
  <c r="BJ108" i="1"/>
  <c r="BI108" i="1"/>
  <c r="AE108" i="1" s="1"/>
  <c r="BH108" i="1"/>
  <c r="AD108" i="1" s="1"/>
  <c r="BF108" i="1"/>
  <c r="BD108" i="1"/>
  <c r="AX108" i="1"/>
  <c r="AW108" i="1"/>
  <c r="AP108" i="1"/>
  <c r="AO108" i="1"/>
  <c r="AL108" i="1"/>
  <c r="AK108" i="1"/>
  <c r="AJ108" i="1"/>
  <c r="AH108" i="1"/>
  <c r="AG108" i="1"/>
  <c r="AF108" i="1"/>
  <c r="AC108" i="1"/>
  <c r="AB108" i="1"/>
  <c r="Z108" i="1"/>
  <c r="J108" i="1"/>
  <c r="I108" i="1"/>
  <c r="H108" i="1"/>
  <c r="BJ107" i="1"/>
  <c r="BF107" i="1"/>
  <c r="BD107" i="1"/>
  <c r="AP107" i="1"/>
  <c r="AX107" i="1" s="1"/>
  <c r="AO107" i="1"/>
  <c r="AL107" i="1"/>
  <c r="AJ107" i="1"/>
  <c r="AH107" i="1"/>
  <c r="AG107" i="1"/>
  <c r="AF107" i="1"/>
  <c r="AC107" i="1"/>
  <c r="AB107" i="1"/>
  <c r="Z107" i="1"/>
  <c r="J107" i="1"/>
  <c r="AK107" i="1" s="1"/>
  <c r="BJ106" i="1"/>
  <c r="BF106" i="1"/>
  <c r="BD106" i="1"/>
  <c r="AP106" i="1"/>
  <c r="AO106" i="1"/>
  <c r="H106" i="1" s="1"/>
  <c r="AL106" i="1"/>
  <c r="AK106" i="1"/>
  <c r="AJ106" i="1"/>
  <c r="AH106" i="1"/>
  <c r="AG106" i="1"/>
  <c r="AF106" i="1"/>
  <c r="AC106" i="1"/>
  <c r="AB106" i="1"/>
  <c r="Z106" i="1"/>
  <c r="J106" i="1"/>
  <c r="BJ105" i="1"/>
  <c r="BI105" i="1"/>
  <c r="AE105" i="1" s="1"/>
  <c r="BF105" i="1"/>
  <c r="BD105" i="1"/>
  <c r="AW105" i="1"/>
  <c r="AV105" i="1"/>
  <c r="AP105" i="1"/>
  <c r="AX105" i="1" s="1"/>
  <c r="AO105" i="1"/>
  <c r="H105" i="1" s="1"/>
  <c r="AL105" i="1"/>
  <c r="AJ105" i="1"/>
  <c r="AH105" i="1"/>
  <c r="AG105" i="1"/>
  <c r="AF105" i="1"/>
  <c r="AC105" i="1"/>
  <c r="AB105" i="1"/>
  <c r="Z105" i="1"/>
  <c r="J105" i="1"/>
  <c r="AK105" i="1" s="1"/>
  <c r="I105" i="1"/>
  <c r="BJ104" i="1"/>
  <c r="BF104" i="1"/>
  <c r="BD104" i="1"/>
  <c r="AW104" i="1"/>
  <c r="AP104" i="1"/>
  <c r="AX104" i="1" s="1"/>
  <c r="AV104" i="1" s="1"/>
  <c r="AO104" i="1"/>
  <c r="BH104" i="1" s="1"/>
  <c r="AD104" i="1" s="1"/>
  <c r="AL104" i="1"/>
  <c r="AJ104" i="1"/>
  <c r="AH104" i="1"/>
  <c r="AG104" i="1"/>
  <c r="AF104" i="1"/>
  <c r="AC104" i="1"/>
  <c r="AB104" i="1"/>
  <c r="Z104" i="1"/>
  <c r="J104" i="1"/>
  <c r="AK104" i="1" s="1"/>
  <c r="H104" i="1"/>
  <c r="BJ103" i="1"/>
  <c r="BH103" i="1"/>
  <c r="AD103" i="1" s="1"/>
  <c r="BF103" i="1"/>
  <c r="BD103" i="1"/>
  <c r="AW103" i="1"/>
  <c r="AP103" i="1"/>
  <c r="I103" i="1" s="1"/>
  <c r="AO103" i="1"/>
  <c r="AL103" i="1"/>
  <c r="AK103" i="1"/>
  <c r="AJ103" i="1"/>
  <c r="AH103" i="1"/>
  <c r="AG103" i="1"/>
  <c r="AF103" i="1"/>
  <c r="AC103" i="1"/>
  <c r="AB103" i="1"/>
  <c r="Z103" i="1"/>
  <c r="J103" i="1"/>
  <c r="H103" i="1"/>
  <c r="BJ101" i="1"/>
  <c r="BI101" i="1"/>
  <c r="BF101" i="1"/>
  <c r="BD101" i="1"/>
  <c r="AX101" i="1"/>
  <c r="AP101" i="1"/>
  <c r="AO101" i="1"/>
  <c r="BH101" i="1" s="1"/>
  <c r="AD101" i="1" s="1"/>
  <c r="AL101" i="1"/>
  <c r="AJ101" i="1"/>
  <c r="AH101" i="1"/>
  <c r="AG101" i="1"/>
  <c r="AF101" i="1"/>
  <c r="AE101" i="1"/>
  <c r="AC101" i="1"/>
  <c r="AB101" i="1"/>
  <c r="Z101" i="1"/>
  <c r="J101" i="1"/>
  <c r="AK101" i="1" s="1"/>
  <c r="I101" i="1"/>
  <c r="BJ100" i="1"/>
  <c r="BF100" i="1"/>
  <c r="BD100" i="1"/>
  <c r="AX100" i="1"/>
  <c r="AP100" i="1"/>
  <c r="BI100" i="1" s="1"/>
  <c r="AO100" i="1"/>
  <c r="BH100" i="1" s="1"/>
  <c r="AD100" i="1" s="1"/>
  <c r="AL100" i="1"/>
  <c r="AK100" i="1"/>
  <c r="AJ100" i="1"/>
  <c r="AH100" i="1"/>
  <c r="AG100" i="1"/>
  <c r="AF100" i="1"/>
  <c r="AE100" i="1"/>
  <c r="AC100" i="1"/>
  <c r="AB100" i="1"/>
  <c r="Z100" i="1"/>
  <c r="J100" i="1"/>
  <c r="I100" i="1"/>
  <c r="H100" i="1"/>
  <c r="BJ99" i="1"/>
  <c r="BH99" i="1"/>
  <c r="AD99" i="1" s="1"/>
  <c r="BF99" i="1"/>
  <c r="BD99" i="1"/>
  <c r="AP99" i="1"/>
  <c r="BI99" i="1" s="1"/>
  <c r="AO99" i="1"/>
  <c r="AW99" i="1" s="1"/>
  <c r="AL99" i="1"/>
  <c r="AK99" i="1"/>
  <c r="AJ99" i="1"/>
  <c r="AH99" i="1"/>
  <c r="AG99" i="1"/>
  <c r="AF99" i="1"/>
  <c r="AE99" i="1"/>
  <c r="AC99" i="1"/>
  <c r="AB99" i="1"/>
  <c r="Z99" i="1"/>
  <c r="J99" i="1"/>
  <c r="I99" i="1"/>
  <c r="H99" i="1"/>
  <c r="BJ98" i="1"/>
  <c r="BI98" i="1"/>
  <c r="AE98" i="1" s="1"/>
  <c r="BH98" i="1"/>
  <c r="AD98" i="1" s="1"/>
  <c r="BF98" i="1"/>
  <c r="BD98" i="1"/>
  <c r="AW98" i="1"/>
  <c r="AV98" i="1"/>
  <c r="AP98" i="1"/>
  <c r="AX98" i="1" s="1"/>
  <c r="BC98" i="1" s="1"/>
  <c r="AO98" i="1"/>
  <c r="H98" i="1" s="1"/>
  <c r="AL98" i="1"/>
  <c r="AU96" i="1" s="1"/>
  <c r="AJ98" i="1"/>
  <c r="AS96" i="1" s="1"/>
  <c r="AH98" i="1"/>
  <c r="AG98" i="1"/>
  <c r="AF98" i="1"/>
  <c r="AC98" i="1"/>
  <c r="AB98" i="1"/>
  <c r="Z98" i="1"/>
  <c r="J98" i="1"/>
  <c r="AK98" i="1" s="1"/>
  <c r="I98" i="1"/>
  <c r="BJ97" i="1"/>
  <c r="BI97" i="1"/>
  <c r="AE97" i="1" s="1"/>
  <c r="BH97" i="1"/>
  <c r="AD97" i="1" s="1"/>
  <c r="BF97" i="1"/>
  <c r="BD97" i="1"/>
  <c r="AX97" i="1"/>
  <c r="AP97" i="1"/>
  <c r="I97" i="1" s="1"/>
  <c r="AO97" i="1"/>
  <c r="AW97" i="1" s="1"/>
  <c r="AL97" i="1"/>
  <c r="AK97" i="1"/>
  <c r="AJ97" i="1"/>
  <c r="AH97" i="1"/>
  <c r="AG97" i="1"/>
  <c r="AF97" i="1"/>
  <c r="AC97" i="1"/>
  <c r="AB97" i="1"/>
  <c r="Z97" i="1"/>
  <c r="J97" i="1"/>
  <c r="H97" i="1"/>
  <c r="BJ95" i="1"/>
  <c r="Z95" i="1" s="1"/>
  <c r="BI95" i="1"/>
  <c r="BH95" i="1"/>
  <c r="BF95" i="1"/>
  <c r="BD95" i="1"/>
  <c r="AX95" i="1"/>
  <c r="AW95" i="1"/>
  <c r="BC95" i="1" s="1"/>
  <c r="AP95" i="1"/>
  <c r="AO95" i="1"/>
  <c r="AL95" i="1"/>
  <c r="AK95" i="1"/>
  <c r="AJ95" i="1"/>
  <c r="AH95" i="1"/>
  <c r="AG95" i="1"/>
  <c r="AF95" i="1"/>
  <c r="AE95" i="1"/>
  <c r="AD95" i="1"/>
  <c r="AC95" i="1"/>
  <c r="AB95" i="1"/>
  <c r="J95" i="1"/>
  <c r="I95" i="1"/>
  <c r="H95" i="1"/>
  <c r="BJ94" i="1"/>
  <c r="BI94" i="1"/>
  <c r="AE94" i="1" s="1"/>
  <c r="BF94" i="1"/>
  <c r="BD94" i="1"/>
  <c r="AX94" i="1"/>
  <c r="AP94" i="1"/>
  <c r="AO94" i="1"/>
  <c r="H94" i="1" s="1"/>
  <c r="AL94" i="1"/>
  <c r="AJ94" i="1"/>
  <c r="AH94" i="1"/>
  <c r="AG94" i="1"/>
  <c r="AF94" i="1"/>
  <c r="AC94" i="1"/>
  <c r="AB94" i="1"/>
  <c r="Z94" i="1"/>
  <c r="J94" i="1"/>
  <c r="AK94" i="1" s="1"/>
  <c r="I94" i="1"/>
  <c r="BJ93" i="1"/>
  <c r="BF93" i="1"/>
  <c r="BD93" i="1"/>
  <c r="AX93" i="1"/>
  <c r="AP93" i="1"/>
  <c r="BI93" i="1" s="1"/>
  <c r="AE93" i="1" s="1"/>
  <c r="AO93" i="1"/>
  <c r="BH93" i="1" s="1"/>
  <c r="AD93" i="1" s="1"/>
  <c r="AL93" i="1"/>
  <c r="AK93" i="1"/>
  <c r="AJ93" i="1"/>
  <c r="AH93" i="1"/>
  <c r="AG93" i="1"/>
  <c r="AF93" i="1"/>
  <c r="AC93" i="1"/>
  <c r="AB93" i="1"/>
  <c r="Z93" i="1"/>
  <c r="J93" i="1"/>
  <c r="I93" i="1"/>
  <c r="H93" i="1"/>
  <c r="BJ92" i="1"/>
  <c r="BF92" i="1"/>
  <c r="BD92" i="1"/>
  <c r="AP92" i="1"/>
  <c r="BI92" i="1" s="1"/>
  <c r="AE92" i="1" s="1"/>
  <c r="AO92" i="1"/>
  <c r="H92" i="1" s="1"/>
  <c r="AL92" i="1"/>
  <c r="AJ92" i="1"/>
  <c r="AH92" i="1"/>
  <c r="AG92" i="1"/>
  <c r="AF92" i="1"/>
  <c r="AC92" i="1"/>
  <c r="AB92" i="1"/>
  <c r="Z92" i="1"/>
  <c r="J92" i="1"/>
  <c r="AK92" i="1" s="1"/>
  <c r="I92" i="1"/>
  <c r="BJ91" i="1"/>
  <c r="BF91" i="1"/>
  <c r="BD91" i="1"/>
  <c r="AP91" i="1"/>
  <c r="I91" i="1" s="1"/>
  <c r="AO91" i="1"/>
  <c r="H91" i="1" s="1"/>
  <c r="AL91" i="1"/>
  <c r="AJ91" i="1"/>
  <c r="AH91" i="1"/>
  <c r="AG91" i="1"/>
  <c r="AF91" i="1"/>
  <c r="AC91" i="1"/>
  <c r="AB91" i="1"/>
  <c r="Z91" i="1"/>
  <c r="J91" i="1"/>
  <c r="AK91" i="1" s="1"/>
  <c r="BJ90" i="1"/>
  <c r="BF90" i="1"/>
  <c r="BD90" i="1"/>
  <c r="AW90" i="1"/>
  <c r="AP90" i="1"/>
  <c r="I90" i="1" s="1"/>
  <c r="I89" i="1" s="1"/>
  <c r="AO90" i="1"/>
  <c r="H90" i="1" s="1"/>
  <c r="AL90" i="1"/>
  <c r="AU89" i="1" s="1"/>
  <c r="AJ90" i="1"/>
  <c r="AS89" i="1" s="1"/>
  <c r="AH90" i="1"/>
  <c r="AG90" i="1"/>
  <c r="AF90" i="1"/>
  <c r="AC90" i="1"/>
  <c r="AB90" i="1"/>
  <c r="Z90" i="1"/>
  <c r="J90" i="1"/>
  <c r="AK90" i="1" s="1"/>
  <c r="BJ88" i="1"/>
  <c r="Z88" i="1" s="1"/>
  <c r="BI88" i="1"/>
  <c r="BH88" i="1"/>
  <c r="BF88" i="1"/>
  <c r="BD88" i="1"/>
  <c r="AP88" i="1"/>
  <c r="AX88" i="1" s="1"/>
  <c r="AO88" i="1"/>
  <c r="AW88" i="1" s="1"/>
  <c r="AL88" i="1"/>
  <c r="AK88" i="1"/>
  <c r="AJ88" i="1"/>
  <c r="AH88" i="1"/>
  <c r="AG88" i="1"/>
  <c r="AF88" i="1"/>
  <c r="AE88" i="1"/>
  <c r="AD88" i="1"/>
  <c r="AC88" i="1"/>
  <c r="AB88" i="1"/>
  <c r="J88" i="1"/>
  <c r="H88" i="1"/>
  <c r="BJ87" i="1"/>
  <c r="BI87" i="1"/>
  <c r="AE87" i="1" s="1"/>
  <c r="BH87" i="1"/>
  <c r="AD87" i="1" s="1"/>
  <c r="BF87" i="1"/>
  <c r="BD87" i="1"/>
  <c r="AW87" i="1"/>
  <c r="AP87" i="1"/>
  <c r="AX87" i="1" s="1"/>
  <c r="AO87" i="1"/>
  <c r="AL87" i="1"/>
  <c r="AK87" i="1"/>
  <c r="AJ87" i="1"/>
  <c r="AH87" i="1"/>
  <c r="AG87" i="1"/>
  <c r="AF87" i="1"/>
  <c r="AC87" i="1"/>
  <c r="AB87" i="1"/>
  <c r="Z87" i="1"/>
  <c r="J87" i="1"/>
  <c r="I87" i="1"/>
  <c r="H87" i="1"/>
  <c r="BJ86" i="1"/>
  <c r="BI86" i="1"/>
  <c r="AE86" i="1" s="1"/>
  <c r="BF86" i="1"/>
  <c r="BD86" i="1"/>
  <c r="AX86" i="1"/>
  <c r="AP86" i="1"/>
  <c r="AO86" i="1"/>
  <c r="BH86" i="1" s="1"/>
  <c r="AD86" i="1" s="1"/>
  <c r="AL86" i="1"/>
  <c r="AK86" i="1"/>
  <c r="AJ86" i="1"/>
  <c r="AH86" i="1"/>
  <c r="AG86" i="1"/>
  <c r="AF86" i="1"/>
  <c r="AC86" i="1"/>
  <c r="AB86" i="1"/>
  <c r="Z86" i="1"/>
  <c r="J86" i="1"/>
  <c r="I86" i="1"/>
  <c r="H86" i="1"/>
  <c r="BJ85" i="1"/>
  <c r="BF85" i="1"/>
  <c r="BD85" i="1"/>
  <c r="AP85" i="1"/>
  <c r="BI85" i="1" s="1"/>
  <c r="AE85" i="1" s="1"/>
  <c r="AO85" i="1"/>
  <c r="H85" i="1" s="1"/>
  <c r="AL85" i="1"/>
  <c r="AJ85" i="1"/>
  <c r="AH85" i="1"/>
  <c r="AG85" i="1"/>
  <c r="AF85" i="1"/>
  <c r="AC85" i="1"/>
  <c r="AB85" i="1"/>
  <c r="Z85" i="1"/>
  <c r="J85" i="1"/>
  <c r="AK85" i="1" s="1"/>
  <c r="I85" i="1"/>
  <c r="BJ84" i="1"/>
  <c r="BF84" i="1"/>
  <c r="BD84" i="1"/>
  <c r="AP84" i="1"/>
  <c r="I84" i="1" s="1"/>
  <c r="AO84" i="1"/>
  <c r="H84" i="1" s="1"/>
  <c r="AL84" i="1"/>
  <c r="AJ84" i="1"/>
  <c r="AH84" i="1"/>
  <c r="AG84" i="1"/>
  <c r="AF84" i="1"/>
  <c r="AC84" i="1"/>
  <c r="AB84" i="1"/>
  <c r="Z84" i="1"/>
  <c r="J84" i="1"/>
  <c r="AK84" i="1" s="1"/>
  <c r="BJ83" i="1"/>
  <c r="BF83" i="1"/>
  <c r="BD83" i="1"/>
  <c r="AW83" i="1"/>
  <c r="AP83" i="1"/>
  <c r="I83" i="1" s="1"/>
  <c r="AO83" i="1"/>
  <c r="H83" i="1" s="1"/>
  <c r="AL83" i="1"/>
  <c r="AJ83" i="1"/>
  <c r="AH83" i="1"/>
  <c r="AG83" i="1"/>
  <c r="AF83" i="1"/>
  <c r="AC83" i="1"/>
  <c r="AB83" i="1"/>
  <c r="Z83" i="1"/>
  <c r="J83" i="1"/>
  <c r="AK83" i="1" s="1"/>
  <c r="BJ82" i="1"/>
  <c r="BF82" i="1"/>
  <c r="BD82" i="1"/>
  <c r="AX82" i="1"/>
  <c r="AW82" i="1"/>
  <c r="BC82" i="1" s="1"/>
  <c r="AV82" i="1"/>
  <c r="AP82" i="1"/>
  <c r="I82" i="1" s="1"/>
  <c r="AO82" i="1"/>
  <c r="H82" i="1" s="1"/>
  <c r="AL82" i="1"/>
  <c r="AJ82" i="1"/>
  <c r="AH82" i="1"/>
  <c r="AG82" i="1"/>
  <c r="AF82" i="1"/>
  <c r="AC82" i="1"/>
  <c r="AB82" i="1"/>
  <c r="Z82" i="1"/>
  <c r="J82" i="1"/>
  <c r="AK82" i="1" s="1"/>
  <c r="BJ81" i="1"/>
  <c r="BH81" i="1"/>
  <c r="BF81" i="1"/>
  <c r="BD81" i="1"/>
  <c r="AX81" i="1"/>
  <c r="AW81" i="1"/>
  <c r="AV81" i="1" s="1"/>
  <c r="AP81" i="1"/>
  <c r="I81" i="1" s="1"/>
  <c r="AO81" i="1"/>
  <c r="AL81" i="1"/>
  <c r="AK81" i="1"/>
  <c r="AJ81" i="1"/>
  <c r="AH81" i="1"/>
  <c r="AG81" i="1"/>
  <c r="AF81" i="1"/>
  <c r="AD81" i="1"/>
  <c r="AC81" i="1"/>
  <c r="AB81" i="1"/>
  <c r="Z81" i="1"/>
  <c r="J81" i="1"/>
  <c r="H81" i="1"/>
  <c r="BJ80" i="1"/>
  <c r="BI80" i="1"/>
  <c r="BF80" i="1"/>
  <c r="BD80" i="1"/>
  <c r="AX80" i="1"/>
  <c r="AP80" i="1"/>
  <c r="AO80" i="1"/>
  <c r="AW80" i="1" s="1"/>
  <c r="AL80" i="1"/>
  <c r="AJ80" i="1"/>
  <c r="AH80" i="1"/>
  <c r="AG80" i="1"/>
  <c r="AF80" i="1"/>
  <c r="AE80" i="1"/>
  <c r="AC80" i="1"/>
  <c r="AB80" i="1"/>
  <c r="Z80" i="1"/>
  <c r="J80" i="1"/>
  <c r="AK80" i="1" s="1"/>
  <c r="I80" i="1"/>
  <c r="BJ79" i="1"/>
  <c r="BF79" i="1"/>
  <c r="BD79" i="1"/>
  <c r="AW79" i="1"/>
  <c r="AP79" i="1"/>
  <c r="AX79" i="1" s="1"/>
  <c r="BC79" i="1" s="1"/>
  <c r="AO79" i="1"/>
  <c r="BH79" i="1" s="1"/>
  <c r="AD79" i="1" s="1"/>
  <c r="AL79" i="1"/>
  <c r="AK79" i="1"/>
  <c r="AJ79" i="1"/>
  <c r="AH79" i="1"/>
  <c r="AG79" i="1"/>
  <c r="AF79" i="1"/>
  <c r="AC79" i="1"/>
  <c r="AB79" i="1"/>
  <c r="Z79" i="1"/>
  <c r="J79" i="1"/>
  <c r="H79" i="1"/>
  <c r="BJ77" i="1"/>
  <c r="BH77" i="1"/>
  <c r="AD77" i="1" s="1"/>
  <c r="BF77" i="1"/>
  <c r="BD77" i="1"/>
  <c r="AX77" i="1"/>
  <c r="AP77" i="1"/>
  <c r="BI77" i="1" s="1"/>
  <c r="AE77" i="1" s="1"/>
  <c r="AO77" i="1"/>
  <c r="AW77" i="1" s="1"/>
  <c r="AL77" i="1"/>
  <c r="AK77" i="1"/>
  <c r="AJ77" i="1"/>
  <c r="AH77" i="1"/>
  <c r="AG77" i="1"/>
  <c r="AF77" i="1"/>
  <c r="AC77" i="1"/>
  <c r="AB77" i="1"/>
  <c r="Z77" i="1"/>
  <c r="J77" i="1"/>
  <c r="I77" i="1"/>
  <c r="H77" i="1"/>
  <c r="BJ75" i="1"/>
  <c r="BI75" i="1"/>
  <c r="AE75" i="1" s="1"/>
  <c r="BH75" i="1"/>
  <c r="AD75" i="1" s="1"/>
  <c r="BF75" i="1"/>
  <c r="BD75" i="1"/>
  <c r="AP75" i="1"/>
  <c r="AX75" i="1" s="1"/>
  <c r="AO75" i="1"/>
  <c r="AW75" i="1" s="1"/>
  <c r="AL75" i="1"/>
  <c r="AJ75" i="1"/>
  <c r="AH75" i="1"/>
  <c r="AG75" i="1"/>
  <c r="AF75" i="1"/>
  <c r="AC75" i="1"/>
  <c r="AB75" i="1"/>
  <c r="Z75" i="1"/>
  <c r="J75" i="1"/>
  <c r="AK75" i="1" s="1"/>
  <c r="I75" i="1"/>
  <c r="BJ73" i="1"/>
  <c r="BI73" i="1"/>
  <c r="AE73" i="1" s="1"/>
  <c r="BH73" i="1"/>
  <c r="AD73" i="1" s="1"/>
  <c r="BF73" i="1"/>
  <c r="BD73" i="1"/>
  <c r="AP73" i="1"/>
  <c r="AX73" i="1" s="1"/>
  <c r="AO73" i="1"/>
  <c r="AW73" i="1" s="1"/>
  <c r="AL73" i="1"/>
  <c r="AK73" i="1"/>
  <c r="AJ73" i="1"/>
  <c r="AH73" i="1"/>
  <c r="AG73" i="1"/>
  <c r="AF73" i="1"/>
  <c r="AC73" i="1"/>
  <c r="AB73" i="1"/>
  <c r="Z73" i="1"/>
  <c r="J73" i="1"/>
  <c r="H73" i="1"/>
  <c r="BJ72" i="1"/>
  <c r="BI72" i="1"/>
  <c r="AE72" i="1" s="1"/>
  <c r="BH72" i="1"/>
  <c r="AD72" i="1" s="1"/>
  <c r="BF72" i="1"/>
  <c r="BD72" i="1"/>
  <c r="AW72" i="1"/>
  <c r="AP72" i="1"/>
  <c r="AX72" i="1" s="1"/>
  <c r="AO72" i="1"/>
  <c r="AL72" i="1"/>
  <c r="AK72" i="1"/>
  <c r="AJ72" i="1"/>
  <c r="AS66" i="1" s="1"/>
  <c r="AH72" i="1"/>
  <c r="AG72" i="1"/>
  <c r="AF72" i="1"/>
  <c r="AC72" i="1"/>
  <c r="AB72" i="1"/>
  <c r="Z72" i="1"/>
  <c r="J72" i="1"/>
  <c r="I72" i="1"/>
  <c r="H72" i="1"/>
  <c r="BJ71" i="1"/>
  <c r="BI71" i="1"/>
  <c r="AE71" i="1" s="1"/>
  <c r="BF71" i="1"/>
  <c r="BD71" i="1"/>
  <c r="AX71" i="1"/>
  <c r="AP71" i="1"/>
  <c r="AO71" i="1"/>
  <c r="BH71" i="1" s="1"/>
  <c r="AD71" i="1" s="1"/>
  <c r="AL71" i="1"/>
  <c r="AK71" i="1"/>
  <c r="AJ71" i="1"/>
  <c r="AH71" i="1"/>
  <c r="AG71" i="1"/>
  <c r="AF71" i="1"/>
  <c r="AC71" i="1"/>
  <c r="AB71" i="1"/>
  <c r="Z71" i="1"/>
  <c r="J71" i="1"/>
  <c r="I71" i="1"/>
  <c r="H71" i="1"/>
  <c r="BJ70" i="1"/>
  <c r="BF70" i="1"/>
  <c r="BD70" i="1"/>
  <c r="AP70" i="1"/>
  <c r="BI70" i="1" s="1"/>
  <c r="AE70" i="1" s="1"/>
  <c r="AO70" i="1"/>
  <c r="H70" i="1" s="1"/>
  <c r="AL70" i="1"/>
  <c r="AJ70" i="1"/>
  <c r="AH70" i="1"/>
  <c r="AG70" i="1"/>
  <c r="AF70" i="1"/>
  <c r="AC70" i="1"/>
  <c r="AB70" i="1"/>
  <c r="Z70" i="1"/>
  <c r="J70" i="1"/>
  <c r="AK70" i="1" s="1"/>
  <c r="I70" i="1"/>
  <c r="BJ69" i="1"/>
  <c r="BF69" i="1"/>
  <c r="BD69" i="1"/>
  <c r="AP69" i="1"/>
  <c r="I69" i="1" s="1"/>
  <c r="AO69" i="1"/>
  <c r="H69" i="1" s="1"/>
  <c r="AL69" i="1"/>
  <c r="AJ69" i="1"/>
  <c r="AH69" i="1"/>
  <c r="AG69" i="1"/>
  <c r="AF69" i="1"/>
  <c r="AC69" i="1"/>
  <c r="AB69" i="1"/>
  <c r="Z69" i="1"/>
  <c r="J69" i="1"/>
  <c r="AK69" i="1" s="1"/>
  <c r="BJ68" i="1"/>
  <c r="BF68" i="1"/>
  <c r="BD68" i="1"/>
  <c r="AW68" i="1"/>
  <c r="AP68" i="1"/>
  <c r="I68" i="1" s="1"/>
  <c r="AO68" i="1"/>
  <c r="H68" i="1" s="1"/>
  <c r="AL68" i="1"/>
  <c r="AU66" i="1" s="1"/>
  <c r="AJ68" i="1"/>
  <c r="AH68" i="1"/>
  <c r="AG68" i="1"/>
  <c r="AF68" i="1"/>
  <c r="AC68" i="1"/>
  <c r="AB68" i="1"/>
  <c r="Z68" i="1"/>
  <c r="J68" i="1"/>
  <c r="AK68" i="1" s="1"/>
  <c r="BJ67" i="1"/>
  <c r="BF67" i="1"/>
  <c r="BD67" i="1"/>
  <c r="AX67" i="1"/>
  <c r="AW67" i="1"/>
  <c r="BC67" i="1" s="1"/>
  <c r="AV67" i="1"/>
  <c r="AP67" i="1"/>
  <c r="I67" i="1" s="1"/>
  <c r="AO67" i="1"/>
  <c r="H67" i="1" s="1"/>
  <c r="AL67" i="1"/>
  <c r="AJ67" i="1"/>
  <c r="AH67" i="1"/>
  <c r="AG67" i="1"/>
  <c r="AF67" i="1"/>
  <c r="AC67" i="1"/>
  <c r="AB67" i="1"/>
  <c r="Z67" i="1"/>
  <c r="J67" i="1"/>
  <c r="AK67" i="1" s="1"/>
  <c r="BJ65" i="1"/>
  <c r="Z65" i="1" s="1"/>
  <c r="BI65" i="1"/>
  <c r="BH65" i="1"/>
  <c r="BF65" i="1"/>
  <c r="BD65" i="1"/>
  <c r="AW65" i="1"/>
  <c r="AP65" i="1"/>
  <c r="AX65" i="1" s="1"/>
  <c r="AO65" i="1"/>
  <c r="AL65" i="1"/>
  <c r="AK65" i="1"/>
  <c r="AJ65" i="1"/>
  <c r="AH65" i="1"/>
  <c r="AG65" i="1"/>
  <c r="AF65" i="1"/>
  <c r="AE65" i="1"/>
  <c r="AD65" i="1"/>
  <c r="AC65" i="1"/>
  <c r="AB65" i="1"/>
  <c r="J65" i="1"/>
  <c r="I65" i="1"/>
  <c r="H65" i="1"/>
  <c r="BJ64" i="1"/>
  <c r="BI64" i="1"/>
  <c r="AE64" i="1" s="1"/>
  <c r="BF64" i="1"/>
  <c r="BD64" i="1"/>
  <c r="AX64" i="1"/>
  <c r="AP64" i="1"/>
  <c r="AO64" i="1"/>
  <c r="BH64" i="1" s="1"/>
  <c r="AD64" i="1" s="1"/>
  <c r="AL64" i="1"/>
  <c r="AK64" i="1"/>
  <c r="AJ64" i="1"/>
  <c r="AH64" i="1"/>
  <c r="AG64" i="1"/>
  <c r="AF64" i="1"/>
  <c r="AC64" i="1"/>
  <c r="AB64" i="1"/>
  <c r="Z64" i="1"/>
  <c r="J64" i="1"/>
  <c r="I64" i="1"/>
  <c r="H64" i="1"/>
  <c r="BJ63" i="1"/>
  <c r="BF63" i="1"/>
  <c r="BD63" i="1"/>
  <c r="AP63" i="1"/>
  <c r="BI63" i="1" s="1"/>
  <c r="AE63" i="1" s="1"/>
  <c r="AO63" i="1"/>
  <c r="H63" i="1" s="1"/>
  <c r="AL63" i="1"/>
  <c r="AJ63" i="1"/>
  <c r="AS58" i="1" s="1"/>
  <c r="AH63" i="1"/>
  <c r="AG63" i="1"/>
  <c r="AF63" i="1"/>
  <c r="AC63" i="1"/>
  <c r="AB63" i="1"/>
  <c r="Z63" i="1"/>
  <c r="J63" i="1"/>
  <c r="AK63" i="1" s="1"/>
  <c r="I63" i="1"/>
  <c r="BJ62" i="1"/>
  <c r="BF62" i="1"/>
  <c r="BD62" i="1"/>
  <c r="AP62" i="1"/>
  <c r="I62" i="1" s="1"/>
  <c r="AO62" i="1"/>
  <c r="H62" i="1" s="1"/>
  <c r="AL62" i="1"/>
  <c r="AJ62" i="1"/>
  <c r="AH62" i="1"/>
  <c r="AG62" i="1"/>
  <c r="AF62" i="1"/>
  <c r="AC62" i="1"/>
  <c r="AB62" i="1"/>
  <c r="Z62" i="1"/>
  <c r="J62" i="1"/>
  <c r="AK62" i="1" s="1"/>
  <c r="BJ61" i="1"/>
  <c r="BF61" i="1"/>
  <c r="BD61" i="1"/>
  <c r="AW61" i="1"/>
  <c r="AP61" i="1"/>
  <c r="I61" i="1" s="1"/>
  <c r="AO61" i="1"/>
  <c r="H61" i="1" s="1"/>
  <c r="AL61" i="1"/>
  <c r="AJ61" i="1"/>
  <c r="AH61" i="1"/>
  <c r="AG61" i="1"/>
  <c r="AF61" i="1"/>
  <c r="AC61" i="1"/>
  <c r="AB61" i="1"/>
  <c r="Z61" i="1"/>
  <c r="J61" i="1"/>
  <c r="AK61" i="1" s="1"/>
  <c r="BJ60" i="1"/>
  <c r="BF60" i="1"/>
  <c r="BD60" i="1"/>
  <c r="AX60" i="1"/>
  <c r="AW60" i="1"/>
  <c r="BC60" i="1" s="1"/>
  <c r="AV60" i="1"/>
  <c r="AP60" i="1"/>
  <c r="I60" i="1" s="1"/>
  <c r="AO60" i="1"/>
  <c r="H60" i="1" s="1"/>
  <c r="AL60" i="1"/>
  <c r="AJ60" i="1"/>
  <c r="AH60" i="1"/>
  <c r="AG60" i="1"/>
  <c r="AF60" i="1"/>
  <c r="AC60" i="1"/>
  <c r="AB60" i="1"/>
  <c r="Z60" i="1"/>
  <c r="J60" i="1"/>
  <c r="AK60" i="1" s="1"/>
  <c r="BJ59" i="1"/>
  <c r="BH59" i="1"/>
  <c r="BF59" i="1"/>
  <c r="BD59" i="1"/>
  <c r="AX59" i="1"/>
  <c r="AW59" i="1"/>
  <c r="AV59" i="1" s="1"/>
  <c r="AP59" i="1"/>
  <c r="I59" i="1" s="1"/>
  <c r="AO59" i="1"/>
  <c r="AL59" i="1"/>
  <c r="AU58" i="1" s="1"/>
  <c r="AK59" i="1"/>
  <c r="AJ59" i="1"/>
  <c r="AH59" i="1"/>
  <c r="AG59" i="1"/>
  <c r="AF59" i="1"/>
  <c r="AD59" i="1"/>
  <c r="AC59" i="1"/>
  <c r="AB59" i="1"/>
  <c r="Z59" i="1"/>
  <c r="J59" i="1"/>
  <c r="H59" i="1"/>
  <c r="BJ57" i="1"/>
  <c r="Z57" i="1" s="1"/>
  <c r="BI57" i="1"/>
  <c r="BF57" i="1"/>
  <c r="BD57" i="1"/>
  <c r="AX57" i="1"/>
  <c r="AP57" i="1"/>
  <c r="AO57" i="1"/>
  <c r="BH57" i="1" s="1"/>
  <c r="AL57" i="1"/>
  <c r="AK57" i="1"/>
  <c r="AJ57" i="1"/>
  <c r="AH57" i="1"/>
  <c r="AG57" i="1"/>
  <c r="AF57" i="1"/>
  <c r="AE57" i="1"/>
  <c r="AD57" i="1"/>
  <c r="AC57" i="1"/>
  <c r="AB57" i="1"/>
  <c r="J57" i="1"/>
  <c r="I57" i="1"/>
  <c r="H57" i="1"/>
  <c r="BJ56" i="1"/>
  <c r="BF56" i="1"/>
  <c r="BD56" i="1"/>
  <c r="AP56" i="1"/>
  <c r="BI56" i="1" s="1"/>
  <c r="AC56" i="1" s="1"/>
  <c r="AO56" i="1"/>
  <c r="H56" i="1" s="1"/>
  <c r="AL56" i="1"/>
  <c r="AJ56" i="1"/>
  <c r="AS53" i="1" s="1"/>
  <c r="AH56" i="1"/>
  <c r="AG56" i="1"/>
  <c r="AF56" i="1"/>
  <c r="AE56" i="1"/>
  <c r="AD56" i="1"/>
  <c r="Z56" i="1"/>
  <c r="J56" i="1"/>
  <c r="AK56" i="1" s="1"/>
  <c r="I56" i="1"/>
  <c r="BJ54" i="1"/>
  <c r="BF54" i="1"/>
  <c r="BD54" i="1"/>
  <c r="AP54" i="1"/>
  <c r="I54" i="1" s="1"/>
  <c r="I53" i="1" s="1"/>
  <c r="AO54" i="1"/>
  <c r="H54" i="1" s="1"/>
  <c r="AL54" i="1"/>
  <c r="AU53" i="1" s="1"/>
  <c r="AJ54" i="1"/>
  <c r="AH54" i="1"/>
  <c r="AG54" i="1"/>
  <c r="AF54" i="1"/>
  <c r="AE54" i="1"/>
  <c r="AD54" i="1"/>
  <c r="Z54" i="1"/>
  <c r="J54" i="1"/>
  <c r="AK54" i="1" s="1"/>
  <c r="AT53" i="1" s="1"/>
  <c r="BJ52" i="1"/>
  <c r="BI52" i="1"/>
  <c r="BH52" i="1"/>
  <c r="BF52" i="1"/>
  <c r="BD52" i="1"/>
  <c r="AP52" i="1"/>
  <c r="AX52" i="1" s="1"/>
  <c r="AO52" i="1"/>
  <c r="AW52" i="1" s="1"/>
  <c r="AL52" i="1"/>
  <c r="AJ52" i="1"/>
  <c r="AH52" i="1"/>
  <c r="AG52" i="1"/>
  <c r="AF52" i="1"/>
  <c r="AE52" i="1"/>
  <c r="AD52" i="1"/>
  <c r="AC52" i="1"/>
  <c r="AB52" i="1"/>
  <c r="Z52" i="1"/>
  <c r="J52" i="1"/>
  <c r="AK52" i="1" s="1"/>
  <c r="I52" i="1"/>
  <c r="BJ50" i="1"/>
  <c r="BI50" i="1"/>
  <c r="AC50" i="1" s="1"/>
  <c r="BH50" i="1"/>
  <c r="AB50" i="1" s="1"/>
  <c r="BF50" i="1"/>
  <c r="BD50" i="1"/>
  <c r="AP50" i="1"/>
  <c r="AX50" i="1" s="1"/>
  <c r="AO50" i="1"/>
  <c r="AW50" i="1" s="1"/>
  <c r="AL50" i="1"/>
  <c r="AK50" i="1"/>
  <c r="AJ50" i="1"/>
  <c r="AH50" i="1"/>
  <c r="AG50" i="1"/>
  <c r="AF50" i="1"/>
  <c r="AE50" i="1"/>
  <c r="AD50" i="1"/>
  <c r="Z50" i="1"/>
  <c r="J50" i="1"/>
  <c r="H50" i="1"/>
  <c r="BJ49" i="1"/>
  <c r="BI49" i="1"/>
  <c r="AC49" i="1" s="1"/>
  <c r="BH49" i="1"/>
  <c r="BF49" i="1"/>
  <c r="BD49" i="1"/>
  <c r="AW49" i="1"/>
  <c r="AP49" i="1"/>
  <c r="AX49" i="1" s="1"/>
  <c r="AO49" i="1"/>
  <c r="AL49" i="1"/>
  <c r="AK49" i="1"/>
  <c r="AJ49" i="1"/>
  <c r="AH49" i="1"/>
  <c r="AG49" i="1"/>
  <c r="AF49" i="1"/>
  <c r="AE49" i="1"/>
  <c r="AD49" i="1"/>
  <c r="AB49" i="1"/>
  <c r="Z49" i="1"/>
  <c r="J49" i="1"/>
  <c r="I49" i="1"/>
  <c r="H49" i="1"/>
  <c r="BJ47" i="1"/>
  <c r="BI47" i="1"/>
  <c r="BF47" i="1"/>
  <c r="BD47" i="1"/>
  <c r="AX47" i="1"/>
  <c r="AP47" i="1"/>
  <c r="AO47" i="1"/>
  <c r="BH47" i="1" s="1"/>
  <c r="AB47" i="1" s="1"/>
  <c r="AL47" i="1"/>
  <c r="AK47" i="1"/>
  <c r="AJ47" i="1"/>
  <c r="AH47" i="1"/>
  <c r="AG47" i="1"/>
  <c r="AF47" i="1"/>
  <c r="AE47" i="1"/>
  <c r="AD47" i="1"/>
  <c r="AC47" i="1"/>
  <c r="Z47" i="1"/>
  <c r="J47" i="1"/>
  <c r="I47" i="1"/>
  <c r="H47" i="1"/>
  <c r="BJ46" i="1"/>
  <c r="BF46" i="1"/>
  <c r="BD46" i="1"/>
  <c r="AP46" i="1"/>
  <c r="BI46" i="1" s="1"/>
  <c r="AC46" i="1" s="1"/>
  <c r="AO46" i="1"/>
  <c r="H46" i="1" s="1"/>
  <c r="AL46" i="1"/>
  <c r="AJ46" i="1"/>
  <c r="AH46" i="1"/>
  <c r="AG46" i="1"/>
  <c r="AF46" i="1"/>
  <c r="AE46" i="1"/>
  <c r="AD46" i="1"/>
  <c r="Z46" i="1"/>
  <c r="J46" i="1"/>
  <c r="AK46" i="1" s="1"/>
  <c r="I46" i="1"/>
  <c r="BJ45" i="1"/>
  <c r="BF45" i="1"/>
  <c r="BD45" i="1"/>
  <c r="AP45" i="1"/>
  <c r="I45" i="1" s="1"/>
  <c r="AO45" i="1"/>
  <c r="H45" i="1" s="1"/>
  <c r="AL45" i="1"/>
  <c r="AJ45" i="1"/>
  <c r="AH45" i="1"/>
  <c r="AG45" i="1"/>
  <c r="AF45" i="1"/>
  <c r="AE45" i="1"/>
  <c r="AD45" i="1"/>
  <c r="Z45" i="1"/>
  <c r="J45" i="1"/>
  <c r="AK45" i="1" s="1"/>
  <c r="BJ43" i="1"/>
  <c r="BH43" i="1"/>
  <c r="BF43" i="1"/>
  <c r="BD43" i="1"/>
  <c r="AW43" i="1"/>
  <c r="AP43" i="1"/>
  <c r="I43" i="1" s="1"/>
  <c r="AO43" i="1"/>
  <c r="H43" i="1" s="1"/>
  <c r="AL43" i="1"/>
  <c r="AJ43" i="1"/>
  <c r="AH43" i="1"/>
  <c r="AG43" i="1"/>
  <c r="AF43" i="1"/>
  <c r="AE43" i="1"/>
  <c r="AD43" i="1"/>
  <c r="AB43" i="1"/>
  <c r="Z43" i="1"/>
  <c r="J43" i="1"/>
  <c r="AK43" i="1" s="1"/>
  <c r="BJ42" i="1"/>
  <c r="BI42" i="1"/>
  <c r="BF42" i="1"/>
  <c r="BD42" i="1"/>
  <c r="AX42" i="1"/>
  <c r="AW42" i="1"/>
  <c r="BC42" i="1" s="1"/>
  <c r="AV42" i="1"/>
  <c r="AP42" i="1"/>
  <c r="I42" i="1" s="1"/>
  <c r="AO42" i="1"/>
  <c r="H42" i="1" s="1"/>
  <c r="AL42" i="1"/>
  <c r="AJ42" i="1"/>
  <c r="AH42" i="1"/>
  <c r="AG42" i="1"/>
  <c r="AF42" i="1"/>
  <c r="AE42" i="1"/>
  <c r="AD42" i="1"/>
  <c r="AC42" i="1"/>
  <c r="Z42" i="1"/>
  <c r="J42" i="1"/>
  <c r="AK42" i="1" s="1"/>
  <c r="BJ41" i="1"/>
  <c r="BH41" i="1"/>
  <c r="AB41" i="1" s="1"/>
  <c r="BF41" i="1"/>
  <c r="BD41" i="1"/>
  <c r="AX41" i="1"/>
  <c r="AW41" i="1"/>
  <c r="AV41" i="1" s="1"/>
  <c r="AP41" i="1"/>
  <c r="I41" i="1" s="1"/>
  <c r="AO41" i="1"/>
  <c r="AL41" i="1"/>
  <c r="AK41" i="1"/>
  <c r="AJ41" i="1"/>
  <c r="AH41" i="1"/>
  <c r="AG41" i="1"/>
  <c r="AF41" i="1"/>
  <c r="AE41" i="1"/>
  <c r="AD41" i="1"/>
  <c r="Z41" i="1"/>
  <c r="J41" i="1"/>
  <c r="H41" i="1"/>
  <c r="BJ40" i="1"/>
  <c r="BI40" i="1"/>
  <c r="AC40" i="1" s="1"/>
  <c r="BH40" i="1"/>
  <c r="BF40" i="1"/>
  <c r="BD40" i="1"/>
  <c r="AX40" i="1"/>
  <c r="BC40" i="1" s="1"/>
  <c r="AW40" i="1"/>
  <c r="AP40" i="1"/>
  <c r="AO40" i="1"/>
  <c r="H40" i="1" s="1"/>
  <c r="AL40" i="1"/>
  <c r="AJ40" i="1"/>
  <c r="AH40" i="1"/>
  <c r="AG40" i="1"/>
  <c r="AF40" i="1"/>
  <c r="AE40" i="1"/>
  <c r="AD40" i="1"/>
  <c r="AB40" i="1"/>
  <c r="Z40" i="1"/>
  <c r="J40" i="1"/>
  <c r="AK40" i="1" s="1"/>
  <c r="I40" i="1"/>
  <c r="BJ39" i="1"/>
  <c r="BI39" i="1"/>
  <c r="BF39" i="1"/>
  <c r="BD39" i="1"/>
  <c r="BC39" i="1"/>
  <c r="AX39" i="1"/>
  <c r="AW39" i="1"/>
  <c r="AV39" i="1" s="1"/>
  <c r="AP39" i="1"/>
  <c r="I39" i="1" s="1"/>
  <c r="AO39" i="1"/>
  <c r="BH39" i="1" s="1"/>
  <c r="AB39" i="1" s="1"/>
  <c r="AL39" i="1"/>
  <c r="AK39" i="1"/>
  <c r="AJ39" i="1"/>
  <c r="AH39" i="1"/>
  <c r="AG39" i="1"/>
  <c r="AF39" i="1"/>
  <c r="AE39" i="1"/>
  <c r="AD39" i="1"/>
  <c r="AC39" i="1"/>
  <c r="Z39" i="1"/>
  <c r="J39" i="1"/>
  <c r="H39" i="1"/>
  <c r="BJ38" i="1"/>
  <c r="BH38" i="1"/>
  <c r="AB38" i="1" s="1"/>
  <c r="BF38" i="1"/>
  <c r="BD38" i="1"/>
  <c r="AX38" i="1"/>
  <c r="AP38" i="1"/>
  <c r="BI38" i="1" s="1"/>
  <c r="AC38" i="1" s="1"/>
  <c r="AO38" i="1"/>
  <c r="AW38" i="1" s="1"/>
  <c r="AL38" i="1"/>
  <c r="AK38" i="1"/>
  <c r="AJ38" i="1"/>
  <c r="AH38" i="1"/>
  <c r="AG38" i="1"/>
  <c r="AF38" i="1"/>
  <c r="AE38" i="1"/>
  <c r="AD38" i="1"/>
  <c r="Z38" i="1"/>
  <c r="J38" i="1"/>
  <c r="I38" i="1"/>
  <c r="H38" i="1"/>
  <c r="BJ37" i="1"/>
  <c r="BI37" i="1"/>
  <c r="AC37" i="1" s="1"/>
  <c r="BH37" i="1"/>
  <c r="AB37" i="1" s="1"/>
  <c r="BF37" i="1"/>
  <c r="BD37" i="1"/>
  <c r="AP37" i="1"/>
  <c r="AX37" i="1" s="1"/>
  <c r="AO37" i="1"/>
  <c r="AW37" i="1" s="1"/>
  <c r="AL37" i="1"/>
  <c r="AJ37" i="1"/>
  <c r="AH37" i="1"/>
  <c r="AG37" i="1"/>
  <c r="AF37" i="1"/>
  <c r="AE37" i="1"/>
  <c r="AD37" i="1"/>
  <c r="Z37" i="1"/>
  <c r="J37" i="1"/>
  <c r="AK37" i="1" s="1"/>
  <c r="I37" i="1"/>
  <c r="BJ35" i="1"/>
  <c r="BI35" i="1"/>
  <c r="AC35" i="1" s="1"/>
  <c r="BH35" i="1"/>
  <c r="AB35" i="1" s="1"/>
  <c r="BF35" i="1"/>
  <c r="BD35" i="1"/>
  <c r="AP35" i="1"/>
  <c r="AX35" i="1" s="1"/>
  <c r="AO35" i="1"/>
  <c r="AW35" i="1" s="1"/>
  <c r="AL35" i="1"/>
  <c r="AK35" i="1"/>
  <c r="AJ35" i="1"/>
  <c r="AH35" i="1"/>
  <c r="AG35" i="1"/>
  <c r="AF35" i="1"/>
  <c r="AE35" i="1"/>
  <c r="AD35" i="1"/>
  <c r="Z35" i="1"/>
  <c r="J35" i="1"/>
  <c r="H35" i="1"/>
  <c r="BJ34" i="1"/>
  <c r="Z34" i="1" s="1"/>
  <c r="BI34" i="1"/>
  <c r="BH34" i="1"/>
  <c r="BF34" i="1"/>
  <c r="BD34" i="1"/>
  <c r="AW34" i="1"/>
  <c r="AP34" i="1"/>
  <c r="AX34" i="1" s="1"/>
  <c r="AO34" i="1"/>
  <c r="AL34" i="1"/>
  <c r="AK34" i="1"/>
  <c r="AJ34" i="1"/>
  <c r="AH34" i="1"/>
  <c r="AG34" i="1"/>
  <c r="AF34" i="1"/>
  <c r="AE34" i="1"/>
  <c r="AD34" i="1"/>
  <c r="AC34" i="1"/>
  <c r="AB34" i="1"/>
  <c r="J34" i="1"/>
  <c r="I34" i="1"/>
  <c r="H34" i="1"/>
  <c r="BJ33" i="1"/>
  <c r="Z33" i="1" s="1"/>
  <c r="BI33" i="1"/>
  <c r="BF33" i="1"/>
  <c r="BD33" i="1"/>
  <c r="AX33" i="1"/>
  <c r="AP33" i="1"/>
  <c r="AO33" i="1"/>
  <c r="BH33" i="1" s="1"/>
  <c r="AL33" i="1"/>
  <c r="AK33" i="1"/>
  <c r="AJ33" i="1"/>
  <c r="AH33" i="1"/>
  <c r="AG33" i="1"/>
  <c r="AF33" i="1"/>
  <c r="AE33" i="1"/>
  <c r="AD33" i="1"/>
  <c r="AC33" i="1"/>
  <c r="AB33" i="1"/>
  <c r="J33" i="1"/>
  <c r="I33" i="1"/>
  <c r="H33" i="1"/>
  <c r="BJ32" i="1"/>
  <c r="BF32" i="1"/>
  <c r="BD32" i="1"/>
  <c r="AP32" i="1"/>
  <c r="BI32" i="1" s="1"/>
  <c r="AO32" i="1"/>
  <c r="H32" i="1" s="1"/>
  <c r="AL32" i="1"/>
  <c r="AJ32" i="1"/>
  <c r="AH32" i="1"/>
  <c r="AG32" i="1"/>
  <c r="AF32" i="1"/>
  <c r="AE32" i="1"/>
  <c r="AD32" i="1"/>
  <c r="AC32" i="1"/>
  <c r="AB32" i="1"/>
  <c r="Z32" i="1"/>
  <c r="J32" i="1"/>
  <c r="AK32" i="1" s="1"/>
  <c r="I32" i="1"/>
  <c r="BJ31" i="1"/>
  <c r="BF31" i="1"/>
  <c r="BD31" i="1"/>
  <c r="AP31" i="1"/>
  <c r="I31" i="1" s="1"/>
  <c r="AO31" i="1"/>
  <c r="H31" i="1" s="1"/>
  <c r="AL31" i="1"/>
  <c r="AJ31" i="1"/>
  <c r="AH31" i="1"/>
  <c r="AG31" i="1"/>
  <c r="AF31" i="1"/>
  <c r="AE31" i="1"/>
  <c r="AD31" i="1"/>
  <c r="Z31" i="1"/>
  <c r="J31" i="1"/>
  <c r="AK31" i="1" s="1"/>
  <c r="BJ30" i="1"/>
  <c r="BH30" i="1"/>
  <c r="BF30" i="1"/>
  <c r="BD30" i="1"/>
  <c r="AW30" i="1"/>
  <c r="AP30" i="1"/>
  <c r="I30" i="1" s="1"/>
  <c r="AO30" i="1"/>
  <c r="H30" i="1" s="1"/>
  <c r="AL30" i="1"/>
  <c r="AU29" i="1" s="1"/>
  <c r="AJ30" i="1"/>
  <c r="AS29" i="1" s="1"/>
  <c r="AH30" i="1"/>
  <c r="AG30" i="1"/>
  <c r="AF30" i="1"/>
  <c r="AE30" i="1"/>
  <c r="AD30" i="1"/>
  <c r="AB30" i="1"/>
  <c r="Z30" i="1"/>
  <c r="J30" i="1"/>
  <c r="AK30" i="1" s="1"/>
  <c r="BJ28" i="1"/>
  <c r="Z28" i="1" s="1"/>
  <c r="BI28" i="1"/>
  <c r="BH28" i="1"/>
  <c r="BF28" i="1"/>
  <c r="BD28" i="1"/>
  <c r="AW28" i="1"/>
  <c r="AP28" i="1"/>
  <c r="AX28" i="1" s="1"/>
  <c r="AO28" i="1"/>
  <c r="AL28" i="1"/>
  <c r="AK28" i="1"/>
  <c r="AJ28" i="1"/>
  <c r="AH28" i="1"/>
  <c r="AG28" i="1"/>
  <c r="AF28" i="1"/>
  <c r="AE28" i="1"/>
  <c r="AD28" i="1"/>
  <c r="AC28" i="1"/>
  <c r="AB28" i="1"/>
  <c r="J28" i="1"/>
  <c r="H28" i="1"/>
  <c r="BJ27" i="1"/>
  <c r="BI27" i="1"/>
  <c r="AC27" i="1" s="1"/>
  <c r="BH27" i="1"/>
  <c r="BF27" i="1"/>
  <c r="BD27" i="1"/>
  <c r="AX27" i="1"/>
  <c r="BC27" i="1" s="1"/>
  <c r="AW27" i="1"/>
  <c r="AV27" i="1"/>
  <c r="AP27" i="1"/>
  <c r="AO27" i="1"/>
  <c r="AL27" i="1"/>
  <c r="AK27" i="1"/>
  <c r="AJ27" i="1"/>
  <c r="AH27" i="1"/>
  <c r="AG27" i="1"/>
  <c r="AF27" i="1"/>
  <c r="AE27" i="1"/>
  <c r="AD27" i="1"/>
  <c r="AB27" i="1"/>
  <c r="Z27" i="1"/>
  <c r="J27" i="1"/>
  <c r="I27" i="1"/>
  <c r="H27" i="1"/>
  <c r="BJ25" i="1"/>
  <c r="BI25" i="1"/>
  <c r="BF25" i="1"/>
  <c r="BD25" i="1"/>
  <c r="AX25" i="1"/>
  <c r="AP25" i="1"/>
  <c r="AO25" i="1"/>
  <c r="BH25" i="1" s="1"/>
  <c r="AB25" i="1" s="1"/>
  <c r="AL25" i="1"/>
  <c r="AK25" i="1"/>
  <c r="AJ25" i="1"/>
  <c r="AH25" i="1"/>
  <c r="AG25" i="1"/>
  <c r="AF25" i="1"/>
  <c r="AE25" i="1"/>
  <c r="AD25" i="1"/>
  <c r="AC25" i="1"/>
  <c r="Z25" i="1"/>
  <c r="J25" i="1"/>
  <c r="I25" i="1"/>
  <c r="H25" i="1"/>
  <c r="BJ24" i="1"/>
  <c r="BF24" i="1"/>
  <c r="BD24" i="1"/>
  <c r="AP24" i="1"/>
  <c r="BI24" i="1" s="1"/>
  <c r="AO24" i="1"/>
  <c r="H24" i="1" s="1"/>
  <c r="AL24" i="1"/>
  <c r="AU12" i="1" s="1"/>
  <c r="AJ24" i="1"/>
  <c r="AH24" i="1"/>
  <c r="AG24" i="1"/>
  <c r="AF24" i="1"/>
  <c r="AE24" i="1"/>
  <c r="AD24" i="1"/>
  <c r="AC24" i="1"/>
  <c r="AB24" i="1"/>
  <c r="Z24" i="1"/>
  <c r="J24" i="1"/>
  <c r="AK24" i="1" s="1"/>
  <c r="I24" i="1"/>
  <c r="BJ23" i="1"/>
  <c r="BF23" i="1"/>
  <c r="BD23" i="1"/>
  <c r="AP23" i="1"/>
  <c r="I23" i="1" s="1"/>
  <c r="AO23" i="1"/>
  <c r="H23" i="1" s="1"/>
  <c r="AL23" i="1"/>
  <c r="AJ23" i="1"/>
  <c r="AH23" i="1"/>
  <c r="AG23" i="1"/>
  <c r="AF23" i="1"/>
  <c r="AE23" i="1"/>
  <c r="AD23" i="1"/>
  <c r="AC23" i="1"/>
  <c r="AB23" i="1"/>
  <c r="Z23" i="1"/>
  <c r="J23" i="1"/>
  <c r="AK23" i="1" s="1"/>
  <c r="BJ22" i="1"/>
  <c r="BH22" i="1"/>
  <c r="BF22" i="1"/>
  <c r="BD22" i="1"/>
  <c r="AW22" i="1"/>
  <c r="AP22" i="1"/>
  <c r="I22" i="1" s="1"/>
  <c r="AO22" i="1"/>
  <c r="H22" i="1" s="1"/>
  <c r="AL22" i="1"/>
  <c r="AJ22" i="1"/>
  <c r="AH22" i="1"/>
  <c r="AG22" i="1"/>
  <c r="AF22" i="1"/>
  <c r="AE22" i="1"/>
  <c r="AD22" i="1"/>
  <c r="AC22" i="1"/>
  <c r="AB22" i="1"/>
  <c r="Z22" i="1"/>
  <c r="J22" i="1"/>
  <c r="AK22" i="1" s="1"/>
  <c r="BJ21" i="1"/>
  <c r="BI21" i="1"/>
  <c r="BF21" i="1"/>
  <c r="BD21" i="1"/>
  <c r="AX21" i="1"/>
  <c r="AW21" i="1"/>
  <c r="BC21" i="1" s="1"/>
  <c r="AV21" i="1"/>
  <c r="AP21" i="1"/>
  <c r="I21" i="1" s="1"/>
  <c r="AO21" i="1"/>
  <c r="H21" i="1" s="1"/>
  <c r="AL21" i="1"/>
  <c r="AJ21" i="1"/>
  <c r="AH21" i="1"/>
  <c r="AG21" i="1"/>
  <c r="AF21" i="1"/>
  <c r="AE21" i="1"/>
  <c r="AD21" i="1"/>
  <c r="AC21" i="1"/>
  <c r="Z21" i="1"/>
  <c r="J21" i="1"/>
  <c r="AK21" i="1" s="1"/>
  <c r="BJ20" i="1"/>
  <c r="BH20" i="1"/>
  <c r="AB20" i="1" s="1"/>
  <c r="BF20" i="1"/>
  <c r="BD20" i="1"/>
  <c r="AX20" i="1"/>
  <c r="AW20" i="1"/>
  <c r="AV20" i="1" s="1"/>
  <c r="AP20" i="1"/>
  <c r="I20" i="1" s="1"/>
  <c r="AO20" i="1"/>
  <c r="AL20" i="1"/>
  <c r="AK20" i="1"/>
  <c r="AJ20" i="1"/>
  <c r="AH20" i="1"/>
  <c r="AG20" i="1"/>
  <c r="AF20" i="1"/>
  <c r="AE20" i="1"/>
  <c r="AD20" i="1"/>
  <c r="Z20" i="1"/>
  <c r="J20" i="1"/>
  <c r="H20" i="1"/>
  <c r="BJ19" i="1"/>
  <c r="BI19" i="1"/>
  <c r="AC19" i="1" s="1"/>
  <c r="BH19" i="1"/>
  <c r="BF19" i="1"/>
  <c r="BD19" i="1"/>
  <c r="AX19" i="1"/>
  <c r="AP19" i="1"/>
  <c r="AO19" i="1"/>
  <c r="AW19" i="1" s="1"/>
  <c r="AL19" i="1"/>
  <c r="AJ19" i="1"/>
  <c r="AH19" i="1"/>
  <c r="AG19" i="1"/>
  <c r="AF19" i="1"/>
  <c r="AE19" i="1"/>
  <c r="AD19" i="1"/>
  <c r="AB19" i="1"/>
  <c r="Z19" i="1"/>
  <c r="J19" i="1"/>
  <c r="AK19" i="1" s="1"/>
  <c r="I19" i="1"/>
  <c r="BJ18" i="1"/>
  <c r="BI18" i="1"/>
  <c r="BF18" i="1"/>
  <c r="BD18" i="1"/>
  <c r="BC18" i="1"/>
  <c r="AX18" i="1"/>
  <c r="AW18" i="1"/>
  <c r="AV18" i="1" s="1"/>
  <c r="AP18" i="1"/>
  <c r="I18" i="1" s="1"/>
  <c r="AO18" i="1"/>
  <c r="BH18" i="1" s="1"/>
  <c r="AB18" i="1" s="1"/>
  <c r="AL18" i="1"/>
  <c r="AK18" i="1"/>
  <c r="AJ18" i="1"/>
  <c r="AH18" i="1"/>
  <c r="AG18" i="1"/>
  <c r="AF18" i="1"/>
  <c r="AE18" i="1"/>
  <c r="AD18" i="1"/>
  <c r="AC18" i="1"/>
  <c r="Z18" i="1"/>
  <c r="J18" i="1"/>
  <c r="H18" i="1"/>
  <c r="BJ16" i="1"/>
  <c r="BH16" i="1"/>
  <c r="BF16" i="1"/>
  <c r="BD16" i="1"/>
  <c r="AX16" i="1"/>
  <c r="AP16" i="1"/>
  <c r="BI16" i="1" s="1"/>
  <c r="AG16" i="1" s="1"/>
  <c r="AO16" i="1"/>
  <c r="AW16" i="1" s="1"/>
  <c r="AL16" i="1"/>
  <c r="AK16" i="1"/>
  <c r="AJ16" i="1"/>
  <c r="AH16" i="1"/>
  <c r="AF16" i="1"/>
  <c r="AE16" i="1"/>
  <c r="AD16" i="1"/>
  <c r="AC16" i="1"/>
  <c r="AB16" i="1"/>
  <c r="Z16" i="1"/>
  <c r="J16" i="1"/>
  <c r="I16" i="1"/>
  <c r="H16" i="1"/>
  <c r="BJ14" i="1"/>
  <c r="BI14" i="1"/>
  <c r="AC14" i="1" s="1"/>
  <c r="BH14" i="1"/>
  <c r="AB14" i="1" s="1"/>
  <c r="BF14" i="1"/>
  <c r="BD14" i="1"/>
  <c r="AP14" i="1"/>
  <c r="AX14" i="1" s="1"/>
  <c r="AO14" i="1"/>
  <c r="AW14" i="1" s="1"/>
  <c r="AL14" i="1"/>
  <c r="AJ14" i="1"/>
  <c r="AH14" i="1"/>
  <c r="AG14" i="1"/>
  <c r="AF14" i="1"/>
  <c r="AE14" i="1"/>
  <c r="AD14" i="1"/>
  <c r="Z14" i="1"/>
  <c r="J14" i="1"/>
  <c r="AK14" i="1" s="1"/>
  <c r="I14" i="1"/>
  <c r="BJ13" i="1"/>
  <c r="BI13" i="1"/>
  <c r="AC13" i="1" s="1"/>
  <c r="BH13" i="1"/>
  <c r="AB13" i="1" s="1"/>
  <c r="BF13" i="1"/>
  <c r="BD13" i="1"/>
  <c r="AP13" i="1"/>
  <c r="AX13" i="1" s="1"/>
  <c r="AO13" i="1"/>
  <c r="AW13" i="1" s="1"/>
  <c r="AL13" i="1"/>
  <c r="AK13" i="1"/>
  <c r="AJ13" i="1"/>
  <c r="AH13" i="1"/>
  <c r="C20" i="3" s="1"/>
  <c r="AG13" i="1"/>
  <c r="AF13" i="1"/>
  <c r="AE13" i="1"/>
  <c r="AD13" i="1"/>
  <c r="Z13" i="1"/>
  <c r="J13" i="1"/>
  <c r="H13" i="1"/>
  <c r="AU1" i="1"/>
  <c r="AT1" i="1"/>
  <c r="AS1" i="1"/>
  <c r="AV19" i="1" l="1"/>
  <c r="BC19" i="1"/>
  <c r="BC50" i="1"/>
  <c r="AV50" i="1"/>
  <c r="BC75" i="1"/>
  <c r="AV75" i="1"/>
  <c r="BC97" i="1"/>
  <c r="AV97" i="1"/>
  <c r="BC14" i="1"/>
  <c r="AV14" i="1"/>
  <c r="BC37" i="1"/>
  <c r="AV37" i="1"/>
  <c r="BC72" i="1"/>
  <c r="AV72" i="1"/>
  <c r="BC88" i="1"/>
  <c r="AV88" i="1"/>
  <c r="H143" i="1"/>
  <c r="I58" i="1"/>
  <c r="AT66" i="1"/>
  <c r="AV79" i="1"/>
  <c r="AT29" i="1"/>
  <c r="H89" i="1"/>
  <c r="AT12" i="1"/>
  <c r="BC49" i="1"/>
  <c r="AV49" i="1"/>
  <c r="AV80" i="1"/>
  <c r="BC80" i="1"/>
  <c r="BC87" i="1"/>
  <c r="AV87" i="1"/>
  <c r="BC52" i="1"/>
  <c r="AV52" i="1"/>
  <c r="BC73" i="1"/>
  <c r="AV73" i="1"/>
  <c r="BC77" i="1"/>
  <c r="AV77" i="1"/>
  <c r="BC13" i="1"/>
  <c r="AV13" i="1"/>
  <c r="BC35" i="1"/>
  <c r="AV35" i="1"/>
  <c r="BC38" i="1"/>
  <c r="AV38" i="1"/>
  <c r="H58" i="1"/>
  <c r="AT89" i="1"/>
  <c r="BC116" i="1"/>
  <c r="AV116" i="1"/>
  <c r="BC65" i="1"/>
  <c r="AV65" i="1"/>
  <c r="AT96" i="1"/>
  <c r="BC34" i="1"/>
  <c r="AV34" i="1"/>
  <c r="BC16" i="1"/>
  <c r="AV16" i="1"/>
  <c r="BC28" i="1"/>
  <c r="H29" i="1"/>
  <c r="BC22" i="1"/>
  <c r="H53" i="1"/>
  <c r="AT58" i="1"/>
  <c r="BC112" i="1"/>
  <c r="AV112" i="1"/>
  <c r="BC20" i="1"/>
  <c r="BC41" i="1"/>
  <c r="BC81" i="1"/>
  <c r="BH148" i="1"/>
  <c r="AD148" i="1" s="1"/>
  <c r="AW148" i="1"/>
  <c r="I270" i="1"/>
  <c r="BI270" i="1"/>
  <c r="AG270" i="1" s="1"/>
  <c r="AX270" i="1"/>
  <c r="I13" i="1"/>
  <c r="C29" i="3"/>
  <c r="F29" i="3" s="1"/>
  <c r="H14" i="1"/>
  <c r="AX22" i="1"/>
  <c r="AV22" i="1" s="1"/>
  <c r="AW23" i="1"/>
  <c r="I28" i="1"/>
  <c r="AX30" i="1"/>
  <c r="AV30" i="1" s="1"/>
  <c r="AW31" i="1"/>
  <c r="I35" i="1"/>
  <c r="I29" i="1" s="1"/>
  <c r="H37" i="1"/>
  <c r="AX43" i="1"/>
  <c r="AV43" i="1" s="1"/>
  <c r="AW45" i="1"/>
  <c r="I50" i="1"/>
  <c r="H52" i="1"/>
  <c r="AW54" i="1"/>
  <c r="J58" i="1"/>
  <c r="AX61" i="1"/>
  <c r="AV61" i="1" s="1"/>
  <c r="AW62" i="1"/>
  <c r="AX68" i="1"/>
  <c r="AV68" i="1" s="1"/>
  <c r="AW69" i="1"/>
  <c r="I73" i="1"/>
  <c r="I66" i="1" s="1"/>
  <c r="H75" i="1"/>
  <c r="H66" i="1" s="1"/>
  <c r="AX83" i="1"/>
  <c r="AV83" i="1" s="1"/>
  <c r="AW84" i="1"/>
  <c r="I88" i="1"/>
  <c r="AX90" i="1"/>
  <c r="AV90" i="1" s="1"/>
  <c r="AW91" i="1"/>
  <c r="AW101" i="1"/>
  <c r="I106" i="1"/>
  <c r="BI106" i="1"/>
  <c r="AE106" i="1" s="1"/>
  <c r="AX106" i="1"/>
  <c r="BI107" i="1"/>
  <c r="AE107" i="1" s="1"/>
  <c r="BI119" i="1"/>
  <c r="AE119" i="1" s="1"/>
  <c r="AX119" i="1"/>
  <c r="AV128" i="1"/>
  <c r="I138" i="1"/>
  <c r="BI138" i="1"/>
  <c r="AE138" i="1" s="1"/>
  <c r="AX138" i="1"/>
  <c r="BC138" i="1" s="1"/>
  <c r="BH141" i="1"/>
  <c r="AD141" i="1" s="1"/>
  <c r="AW141" i="1"/>
  <c r="AV158" i="1"/>
  <c r="AW192" i="1"/>
  <c r="H192" i="1"/>
  <c r="BH192" i="1"/>
  <c r="I242" i="1"/>
  <c r="BI242" i="1"/>
  <c r="AG242" i="1" s="1"/>
  <c r="AX242" i="1"/>
  <c r="J96" i="1"/>
  <c r="AX23" i="1"/>
  <c r="AW24" i="1"/>
  <c r="AX31" i="1"/>
  <c r="AW32" i="1"/>
  <c r="AX45" i="1"/>
  <c r="AW46" i="1"/>
  <c r="AX54" i="1"/>
  <c r="AW56" i="1"/>
  <c r="AX62" i="1"/>
  <c r="AW63" i="1"/>
  <c r="J66" i="1"/>
  <c r="AX69" i="1"/>
  <c r="AW70" i="1"/>
  <c r="BI79" i="1"/>
  <c r="AE79" i="1" s="1"/>
  <c r="BH80" i="1"/>
  <c r="AD80" i="1" s="1"/>
  <c r="AX84" i="1"/>
  <c r="AW85" i="1"/>
  <c r="AX91" i="1"/>
  <c r="AW92" i="1"/>
  <c r="AW93" i="1"/>
  <c r="AW94" i="1"/>
  <c r="AV95" i="1"/>
  <c r="AW100" i="1"/>
  <c r="AX103" i="1"/>
  <c r="BC123" i="1"/>
  <c r="AV123" i="1"/>
  <c r="AV136" i="1"/>
  <c r="I161" i="1"/>
  <c r="BI161" i="1"/>
  <c r="AX161" i="1"/>
  <c r="AV161" i="1" s="1"/>
  <c r="I169" i="1"/>
  <c r="I162" i="1" s="1"/>
  <c r="BI169" i="1"/>
  <c r="AE169" i="1" s="1"/>
  <c r="AX169" i="1"/>
  <c r="AV169" i="1" s="1"/>
  <c r="BH237" i="1"/>
  <c r="AB237" i="1" s="1"/>
  <c r="AW237" i="1"/>
  <c r="I104" i="1"/>
  <c r="BI104" i="1"/>
  <c r="AE104" i="1" s="1"/>
  <c r="C27" i="3"/>
  <c r="AX110" i="1"/>
  <c r="AV110" i="1" s="1"/>
  <c r="I110" i="1"/>
  <c r="H116" i="1"/>
  <c r="BH116" i="1"/>
  <c r="AD116" i="1" s="1"/>
  <c r="BC130" i="1"/>
  <c r="BC104" i="1"/>
  <c r="H119" i="1"/>
  <c r="BH119" i="1"/>
  <c r="AD119" i="1" s="1"/>
  <c r="AW119" i="1"/>
  <c r="I152" i="1"/>
  <c r="I151" i="1" s="1"/>
  <c r="BI152" i="1"/>
  <c r="AE152" i="1" s="1"/>
  <c r="AX152" i="1"/>
  <c r="AV152" i="1" s="1"/>
  <c r="H242" i="1"/>
  <c r="BH242" i="1"/>
  <c r="AF242" i="1" s="1"/>
  <c r="AW242" i="1"/>
  <c r="C21" i="3"/>
  <c r="AW25" i="1"/>
  <c r="AX32" i="1"/>
  <c r="AW33" i="1"/>
  <c r="AX46" i="1"/>
  <c r="AW47" i="1"/>
  <c r="AX56" i="1"/>
  <c r="AW57" i="1"/>
  <c r="AX63" i="1"/>
  <c r="AW64" i="1"/>
  <c r="AX70" i="1"/>
  <c r="AW71" i="1"/>
  <c r="AX85" i="1"/>
  <c r="AW86" i="1"/>
  <c r="J89" i="1"/>
  <c r="AX92" i="1"/>
  <c r="BC131" i="1"/>
  <c r="AV131" i="1"/>
  <c r="H146" i="1"/>
  <c r="BH146" i="1"/>
  <c r="AD146" i="1" s="1"/>
  <c r="AW146" i="1"/>
  <c r="BI171" i="1"/>
  <c r="AX171" i="1"/>
  <c r="AX24" i="1"/>
  <c r="J29" i="1"/>
  <c r="H19" i="1"/>
  <c r="H12" i="1" s="1"/>
  <c r="BI20" i="1"/>
  <c r="AC20" i="1" s="1"/>
  <c r="BH21" i="1"/>
  <c r="AB21" i="1" s="1"/>
  <c r="C14" i="3" s="1"/>
  <c r="C22" i="3" s="1"/>
  <c r="AV28" i="1"/>
  <c r="BI41" i="1"/>
  <c r="AC41" i="1" s="1"/>
  <c r="BH42" i="1"/>
  <c r="AB42" i="1" s="1"/>
  <c r="J53" i="1"/>
  <c r="BI59" i="1"/>
  <c r="AE59" i="1" s="1"/>
  <c r="BH60" i="1"/>
  <c r="AD60" i="1" s="1"/>
  <c r="BH67" i="1"/>
  <c r="AD67" i="1" s="1"/>
  <c r="I79" i="1"/>
  <c r="H80" i="1"/>
  <c r="BI81" i="1"/>
  <c r="AE81" i="1" s="1"/>
  <c r="BH82" i="1"/>
  <c r="AD82" i="1" s="1"/>
  <c r="AX99" i="1"/>
  <c r="BI110" i="1"/>
  <c r="AE110" i="1" s="1"/>
  <c r="AW111" i="1"/>
  <c r="H111" i="1"/>
  <c r="BC136" i="1"/>
  <c r="H139" i="1"/>
  <c r="BH139" i="1"/>
  <c r="AD139" i="1" s="1"/>
  <c r="AW139" i="1"/>
  <c r="I146" i="1"/>
  <c r="BI146" i="1"/>
  <c r="AE146" i="1" s="1"/>
  <c r="AX146" i="1"/>
  <c r="AS143" i="1"/>
  <c r="BC161" i="1"/>
  <c r="BC199" i="1"/>
  <c r="AV199" i="1"/>
  <c r="BC262" i="1"/>
  <c r="AV262" i="1"/>
  <c r="BC264" i="1"/>
  <c r="AV264" i="1"/>
  <c r="BI60" i="1"/>
  <c r="AE60" i="1" s="1"/>
  <c r="BH61" i="1"/>
  <c r="AD61" i="1" s="1"/>
  <c r="C16" i="3" s="1"/>
  <c r="BI67" i="1"/>
  <c r="AE67" i="1" s="1"/>
  <c r="BH68" i="1"/>
  <c r="AD68" i="1" s="1"/>
  <c r="BI82" i="1"/>
  <c r="AE82" i="1" s="1"/>
  <c r="BH83" i="1"/>
  <c r="AD83" i="1" s="1"/>
  <c r="BH90" i="1"/>
  <c r="AD90" i="1" s="1"/>
  <c r="I115" i="1"/>
  <c r="BI115" i="1"/>
  <c r="AE115" i="1" s="1"/>
  <c r="I117" i="1"/>
  <c r="BI117" i="1"/>
  <c r="AE117" i="1" s="1"/>
  <c r="AX117" i="1"/>
  <c r="AV117" i="1" s="1"/>
  <c r="BH120" i="1"/>
  <c r="AD120" i="1" s="1"/>
  <c r="AW120" i="1"/>
  <c r="I139" i="1"/>
  <c r="BI139" i="1"/>
  <c r="AE139" i="1" s="1"/>
  <c r="AX139" i="1"/>
  <c r="BC150" i="1"/>
  <c r="AV150" i="1"/>
  <c r="BC156" i="1"/>
  <c r="BC167" i="1"/>
  <c r="H170" i="1"/>
  <c r="BH170" i="1"/>
  <c r="AD170" i="1" s="1"/>
  <c r="AW170" i="1"/>
  <c r="BC178" i="1"/>
  <c r="AV178" i="1"/>
  <c r="AS189" i="1"/>
  <c r="BC230" i="1"/>
  <c r="AV230" i="1"/>
  <c r="BC234" i="1"/>
  <c r="AV234" i="1"/>
  <c r="H270" i="1"/>
  <c r="BH270" i="1"/>
  <c r="AF270" i="1" s="1"/>
  <c r="AW270" i="1"/>
  <c r="BC174" i="1"/>
  <c r="BC177" i="1"/>
  <c r="AV177" i="1"/>
  <c r="BI22" i="1"/>
  <c r="BH23" i="1"/>
  <c r="BI30" i="1"/>
  <c r="AC30" i="1" s="1"/>
  <c r="BH31" i="1"/>
  <c r="AB31" i="1" s="1"/>
  <c r="BI43" i="1"/>
  <c r="AC43" i="1" s="1"/>
  <c r="BH45" i="1"/>
  <c r="AB45" i="1" s="1"/>
  <c r="BH54" i="1"/>
  <c r="AB54" i="1" s="1"/>
  <c r="BI61" i="1"/>
  <c r="AE61" i="1" s="1"/>
  <c r="BH62" i="1"/>
  <c r="AD62" i="1" s="1"/>
  <c r="BI68" i="1"/>
  <c r="AE68" i="1" s="1"/>
  <c r="BH69" i="1"/>
  <c r="AD69" i="1" s="1"/>
  <c r="BI83" i="1"/>
  <c r="AE83" i="1" s="1"/>
  <c r="BH84" i="1"/>
  <c r="AD84" i="1" s="1"/>
  <c r="BI90" i="1"/>
  <c r="AE90" i="1" s="1"/>
  <c r="BH91" i="1"/>
  <c r="AD91" i="1" s="1"/>
  <c r="BC108" i="1"/>
  <c r="AV108" i="1"/>
  <c r="I170" i="1"/>
  <c r="BI170" i="1"/>
  <c r="AE170" i="1" s="1"/>
  <c r="AX170" i="1"/>
  <c r="AS181" i="1"/>
  <c r="H256" i="1"/>
  <c r="BH256" i="1"/>
  <c r="AF256" i="1" s="1"/>
  <c r="AW256" i="1"/>
  <c r="BC285" i="1"/>
  <c r="AV285" i="1"/>
  <c r="BC59" i="1"/>
  <c r="BC110" i="1"/>
  <c r="BI23" i="1"/>
  <c r="BH24" i="1"/>
  <c r="BI31" i="1"/>
  <c r="AC31" i="1" s="1"/>
  <c r="BH32" i="1"/>
  <c r="BI45" i="1"/>
  <c r="AC45" i="1" s="1"/>
  <c r="BH46" i="1"/>
  <c r="AB46" i="1" s="1"/>
  <c r="BI54" i="1"/>
  <c r="AC54" i="1" s="1"/>
  <c r="BH56" i="1"/>
  <c r="AB56" i="1" s="1"/>
  <c r="BI62" i="1"/>
  <c r="AE62" i="1" s="1"/>
  <c r="BH63" i="1"/>
  <c r="AD63" i="1" s="1"/>
  <c r="BI69" i="1"/>
  <c r="AE69" i="1" s="1"/>
  <c r="C17" i="3" s="1"/>
  <c r="BH70" i="1"/>
  <c r="AD70" i="1" s="1"/>
  <c r="BI84" i="1"/>
  <c r="AE84" i="1" s="1"/>
  <c r="BH85" i="1"/>
  <c r="AD85" i="1" s="1"/>
  <c r="BI91" i="1"/>
  <c r="AE91" i="1" s="1"/>
  <c r="BH92" i="1"/>
  <c r="AD92" i="1" s="1"/>
  <c r="BH94" i="1"/>
  <c r="AD94" i="1" s="1"/>
  <c r="BI103" i="1"/>
  <c r="AE103" i="1" s="1"/>
  <c r="BC105" i="1"/>
  <c r="I107" i="1"/>
  <c r="H107" i="1"/>
  <c r="BH107" i="1"/>
  <c r="AD107" i="1" s="1"/>
  <c r="AW107" i="1"/>
  <c r="AX115" i="1"/>
  <c r="BC115" i="1" s="1"/>
  <c r="BC117" i="1"/>
  <c r="BC124" i="1"/>
  <c r="AV124" i="1"/>
  <c r="AK139" i="1"/>
  <c r="AT129" i="1" s="1"/>
  <c r="J129" i="1"/>
  <c r="H147" i="1"/>
  <c r="BH147" i="1"/>
  <c r="AD147" i="1" s="1"/>
  <c r="AW147" i="1"/>
  <c r="BC154" i="1"/>
  <c r="AV154" i="1"/>
  <c r="BC166" i="1"/>
  <c r="BC175" i="1"/>
  <c r="AK182" i="1"/>
  <c r="AT181" i="1" s="1"/>
  <c r="AV252" i="1"/>
  <c r="I256" i="1"/>
  <c r="BI256" i="1"/>
  <c r="AG256" i="1" s="1"/>
  <c r="AX256" i="1"/>
  <c r="BC122" i="1"/>
  <c r="H171" i="1"/>
  <c r="BH171" i="1"/>
  <c r="AW171" i="1"/>
  <c r="BH188" i="1"/>
  <c r="AW188" i="1"/>
  <c r="I145" i="1"/>
  <c r="I143" i="1" s="1"/>
  <c r="BI145" i="1"/>
  <c r="AE145" i="1" s="1"/>
  <c r="AX145" i="1"/>
  <c r="BC145" i="1" s="1"/>
  <c r="J12" i="1"/>
  <c r="J300" i="1" s="1"/>
  <c r="AV40" i="1"/>
  <c r="H101" i="1"/>
  <c r="H96" i="1" s="1"/>
  <c r="H118" i="1"/>
  <c r="BH118" i="1"/>
  <c r="AD118" i="1" s="1"/>
  <c r="AW118" i="1"/>
  <c r="BC132" i="1"/>
  <c r="AV132" i="1"/>
  <c r="H140" i="1"/>
  <c r="BH140" i="1"/>
  <c r="AD140" i="1" s="1"/>
  <c r="AW140" i="1"/>
  <c r="AT143" i="1"/>
  <c r="BI147" i="1"/>
  <c r="AE147" i="1" s="1"/>
  <c r="AX147" i="1"/>
  <c r="J162" i="1"/>
  <c r="AU162" i="1"/>
  <c r="AU181" i="1"/>
  <c r="H277" i="1"/>
  <c r="BH277" i="1"/>
  <c r="AF277" i="1" s="1"/>
  <c r="AW277" i="1"/>
  <c r="BC246" i="1"/>
  <c r="AV246" i="1"/>
  <c r="BH106" i="1"/>
  <c r="AD106" i="1" s="1"/>
  <c r="AW106" i="1"/>
  <c r="H148" i="1"/>
  <c r="AS12" i="1"/>
  <c r="I118" i="1"/>
  <c r="BI118" i="1"/>
  <c r="AE118" i="1" s="1"/>
  <c r="AX118" i="1"/>
  <c r="AV137" i="1"/>
  <c r="BI140" i="1"/>
  <c r="AE140" i="1" s="1"/>
  <c r="AX140" i="1"/>
  <c r="BC144" i="1"/>
  <c r="I147" i="1"/>
  <c r="I153" i="1"/>
  <c r="BC160" i="1"/>
  <c r="BC163" i="1"/>
  <c r="AV163" i="1"/>
  <c r="BH182" i="1"/>
  <c r="AD182" i="1" s="1"/>
  <c r="AW182" i="1"/>
  <c r="AV222" i="1"/>
  <c r="BC248" i="1"/>
  <c r="AV248" i="1"/>
  <c r="BC274" i="1"/>
  <c r="AV274" i="1"/>
  <c r="I277" i="1"/>
  <c r="BI277" i="1"/>
  <c r="AG277" i="1" s="1"/>
  <c r="AX277" i="1"/>
  <c r="I122" i="1"/>
  <c r="I96" i="1" s="1"/>
  <c r="H123" i="1"/>
  <c r="I130" i="1"/>
  <c r="I129" i="1" s="1"/>
  <c r="H131" i="1"/>
  <c r="H129" i="1" s="1"/>
  <c r="I150" i="1"/>
  <c r="H177" i="1"/>
  <c r="AK177" i="1"/>
  <c r="AT176" i="1" s="1"/>
  <c r="I185" i="1"/>
  <c r="I181" i="1" s="1"/>
  <c r="AW186" i="1"/>
  <c r="H186" i="1"/>
  <c r="H181" i="1" s="1"/>
  <c r="AV198" i="1"/>
  <c r="H203" i="1"/>
  <c r="BH203" i="1"/>
  <c r="AD203" i="1" s="1"/>
  <c r="AW203" i="1"/>
  <c r="BC207" i="1"/>
  <c r="AV207" i="1"/>
  <c r="BC213" i="1"/>
  <c r="AV213" i="1"/>
  <c r="BC216" i="1"/>
  <c r="AV216" i="1"/>
  <c r="AV228" i="1"/>
  <c r="AK242" i="1"/>
  <c r="J240" i="1"/>
  <c r="AS240" i="1"/>
  <c r="AK277" i="1"/>
  <c r="AT276" i="1" s="1"/>
  <c r="J276" i="1"/>
  <c r="AU276" i="1"/>
  <c r="AS276" i="1"/>
  <c r="I299" i="1"/>
  <c r="BI299" i="1"/>
  <c r="AX299" i="1"/>
  <c r="BC299" i="1" s="1"/>
  <c r="I111" i="1"/>
  <c r="H112" i="1"/>
  <c r="I123" i="1"/>
  <c r="H124" i="1"/>
  <c r="I131" i="1"/>
  <c r="H132" i="1"/>
  <c r="J143" i="1"/>
  <c r="H154" i="1"/>
  <c r="H153" i="1" s="1"/>
  <c r="H163" i="1"/>
  <c r="H162" i="1" s="1"/>
  <c r="I177" i="1"/>
  <c r="I176" i="1" s="1"/>
  <c r="H178" i="1"/>
  <c r="J189" i="1"/>
  <c r="AV191" i="1"/>
  <c r="H194" i="1"/>
  <c r="AV197" i="1"/>
  <c r="BI203" i="1"/>
  <c r="AE203" i="1" s="1"/>
  <c r="AX203" i="1"/>
  <c r="H223" i="1"/>
  <c r="BH223" i="1"/>
  <c r="AW223" i="1"/>
  <c r="AV227" i="1"/>
  <c r="BC239" i="1"/>
  <c r="AV239" i="1"/>
  <c r="H243" i="1"/>
  <c r="H240" i="1" s="1"/>
  <c r="BH243" i="1"/>
  <c r="AB243" i="1" s="1"/>
  <c r="AW243" i="1"/>
  <c r="AV251" i="1"/>
  <c r="AV267" i="1"/>
  <c r="H271" i="1"/>
  <c r="BH271" i="1"/>
  <c r="AB271" i="1" s="1"/>
  <c r="AW271" i="1"/>
  <c r="H279" i="1"/>
  <c r="BH279" i="1"/>
  <c r="AF279" i="1" s="1"/>
  <c r="AW279" i="1"/>
  <c r="I200" i="1"/>
  <c r="BI200" i="1"/>
  <c r="AE200" i="1" s="1"/>
  <c r="AX200" i="1"/>
  <c r="I223" i="1"/>
  <c r="BI223" i="1"/>
  <c r="AX223" i="1"/>
  <c r="AS235" i="1"/>
  <c r="BI243" i="1"/>
  <c r="AC243" i="1" s="1"/>
  <c r="AX243" i="1"/>
  <c r="H258" i="1"/>
  <c r="BH258" i="1"/>
  <c r="AF258" i="1" s="1"/>
  <c r="AW258" i="1"/>
  <c r="BI271" i="1"/>
  <c r="AC271" i="1" s="1"/>
  <c r="AX271" i="1"/>
  <c r="BI279" i="1"/>
  <c r="AG279" i="1" s="1"/>
  <c r="AX279" i="1"/>
  <c r="BI128" i="1"/>
  <c r="BI136" i="1"/>
  <c r="AE136" i="1" s="1"/>
  <c r="BH137" i="1"/>
  <c r="AD137" i="1" s="1"/>
  <c r="BH144" i="1"/>
  <c r="AD144" i="1" s="1"/>
  <c r="BI158" i="1"/>
  <c r="AE158" i="1" s="1"/>
  <c r="BH160" i="1"/>
  <c r="AD160" i="1" s="1"/>
  <c r="BI167" i="1"/>
  <c r="AE167" i="1" s="1"/>
  <c r="BH168" i="1"/>
  <c r="AD168" i="1" s="1"/>
  <c r="BI174" i="1"/>
  <c r="AE174" i="1" s="1"/>
  <c r="BH175" i="1"/>
  <c r="AU235" i="1"/>
  <c r="I243" i="1"/>
  <c r="BC247" i="1"/>
  <c r="AV247" i="1"/>
  <c r="BI258" i="1"/>
  <c r="AG258" i="1" s="1"/>
  <c r="AX258" i="1"/>
  <c r="I271" i="1"/>
  <c r="I279" i="1"/>
  <c r="BH105" i="1"/>
  <c r="AD105" i="1" s="1"/>
  <c r="BI116" i="1"/>
  <c r="AE116" i="1" s="1"/>
  <c r="BH117" i="1"/>
  <c r="AD117" i="1" s="1"/>
  <c r="BI137" i="1"/>
  <c r="AE137" i="1" s="1"/>
  <c r="BH138" i="1"/>
  <c r="AD138" i="1" s="1"/>
  <c r="BI144" i="1"/>
  <c r="AE144" i="1" s="1"/>
  <c r="BH145" i="1"/>
  <c r="AD145" i="1" s="1"/>
  <c r="BH152" i="1"/>
  <c r="AD152" i="1" s="1"/>
  <c r="BI160" i="1"/>
  <c r="AE160" i="1" s="1"/>
  <c r="BH161" i="1"/>
  <c r="BI168" i="1"/>
  <c r="AE168" i="1" s="1"/>
  <c r="BH169" i="1"/>
  <c r="AD169" i="1" s="1"/>
  <c r="BI175" i="1"/>
  <c r="BC187" i="1"/>
  <c r="BC190" i="1"/>
  <c r="BC195" i="1"/>
  <c r="AV210" i="1"/>
  <c r="BC221" i="1"/>
  <c r="BC232" i="1"/>
  <c r="AV232" i="1"/>
  <c r="H236" i="1"/>
  <c r="H235" i="1" s="1"/>
  <c r="BH236" i="1"/>
  <c r="AB236" i="1" s="1"/>
  <c r="AW236" i="1"/>
  <c r="AU240" i="1"/>
  <c r="I258" i="1"/>
  <c r="BC263" i="1"/>
  <c r="AV263" i="1"/>
  <c r="AV266" i="1"/>
  <c r="BC287" i="1"/>
  <c r="AV287" i="1"/>
  <c r="BC194" i="1"/>
  <c r="BH204" i="1"/>
  <c r="AD204" i="1" s="1"/>
  <c r="AW204" i="1"/>
  <c r="BC211" i="1"/>
  <c r="BC214" i="1"/>
  <c r="AV214" i="1"/>
  <c r="BI236" i="1"/>
  <c r="AC236" i="1" s="1"/>
  <c r="C15" i="3" s="1"/>
  <c r="AX236" i="1"/>
  <c r="BC275" i="1"/>
  <c r="AV275" i="1"/>
  <c r="I236" i="1"/>
  <c r="I241" i="1"/>
  <c r="BI241" i="1"/>
  <c r="AG241" i="1" s="1"/>
  <c r="AX241" i="1"/>
  <c r="AV241" i="1" s="1"/>
  <c r="I254" i="1"/>
  <c r="BI254" i="1"/>
  <c r="AG254" i="1" s="1"/>
  <c r="AX254" i="1"/>
  <c r="AV254" i="1" s="1"/>
  <c r="BC261" i="1"/>
  <c r="I269" i="1"/>
  <c r="BI269" i="1"/>
  <c r="AC269" i="1" s="1"/>
  <c r="AX269" i="1"/>
  <c r="AV269" i="1" s="1"/>
  <c r="BC297" i="1"/>
  <c r="H202" i="1"/>
  <c r="BH202" i="1"/>
  <c r="AD202" i="1" s="1"/>
  <c r="AW202" i="1"/>
  <c r="BC206" i="1"/>
  <c r="AV206" i="1"/>
  <c r="BC208" i="1"/>
  <c r="AV208" i="1"/>
  <c r="AK236" i="1"/>
  <c r="AT235" i="1" s="1"/>
  <c r="J235" i="1"/>
  <c r="BH244" i="1"/>
  <c r="AF244" i="1" s="1"/>
  <c r="AW244" i="1"/>
  <c r="BH272" i="1"/>
  <c r="AB272" i="1" s="1"/>
  <c r="AW272" i="1"/>
  <c r="BH281" i="1"/>
  <c r="AF281" i="1" s="1"/>
  <c r="AW281" i="1"/>
  <c r="BH194" i="1"/>
  <c r="I202" i="1"/>
  <c r="BI202" i="1"/>
  <c r="AE202" i="1" s="1"/>
  <c r="AV218" i="1"/>
  <c r="I222" i="1"/>
  <c r="BI222" i="1"/>
  <c r="AE222" i="1" s="1"/>
  <c r="AX222" i="1"/>
  <c r="BC222" i="1" s="1"/>
  <c r="BC238" i="1"/>
  <c r="AT240" i="1"/>
  <c r="BC254" i="1"/>
  <c r="BH260" i="1"/>
  <c r="AF260" i="1" s="1"/>
  <c r="AW260" i="1"/>
  <c r="AV295" i="1"/>
  <c r="I192" i="1"/>
  <c r="I189" i="1" s="1"/>
  <c r="H193" i="1"/>
  <c r="H189" i="1" s="1"/>
  <c r="I206" i="1"/>
  <c r="H207" i="1"/>
  <c r="I213" i="1"/>
  <c r="H214" i="1"/>
  <c r="H212" i="1" s="1"/>
  <c r="H232" i="1"/>
  <c r="H231" i="1" s="1"/>
  <c r="AK232" i="1"/>
  <c r="AT231" i="1" s="1"/>
  <c r="I239" i="1"/>
  <c r="I246" i="1"/>
  <c r="H247" i="1"/>
  <c r="BI248" i="1"/>
  <c r="AG248" i="1" s="1"/>
  <c r="C19" i="3" s="1"/>
  <c r="BH249" i="1"/>
  <c r="AB249" i="1" s="1"/>
  <c r="I262" i="1"/>
  <c r="H263" i="1"/>
  <c r="BH265" i="1"/>
  <c r="AB265" i="1" s="1"/>
  <c r="I274" i="1"/>
  <c r="H275" i="1"/>
  <c r="I285" i="1"/>
  <c r="H287" i="1"/>
  <c r="AV205" i="1"/>
  <c r="AV238" i="1"/>
  <c r="AV245" i="1"/>
  <c r="AV261" i="1"/>
  <c r="AV273" i="1"/>
  <c r="BI295" i="1"/>
  <c r="AG295" i="1" s="1"/>
  <c r="BH297" i="1"/>
  <c r="AB297" i="1" s="1"/>
  <c r="BI199" i="1"/>
  <c r="AE199" i="1" s="1"/>
  <c r="BH200" i="1"/>
  <c r="AD200" i="1" s="1"/>
  <c r="BI221" i="1"/>
  <c r="AE221" i="1" s="1"/>
  <c r="BH222" i="1"/>
  <c r="AD222" i="1" s="1"/>
  <c r="BI230" i="1"/>
  <c r="AE230" i="1" s="1"/>
  <c r="BH241" i="1"/>
  <c r="AF241" i="1" s="1"/>
  <c r="C18" i="3" s="1"/>
  <c r="AV289" i="1"/>
  <c r="H27" i="4" l="1"/>
  <c r="I27" i="4" s="1"/>
  <c r="F29" i="4" s="1"/>
  <c r="I22" i="3"/>
  <c r="C28" i="3" s="1"/>
  <c r="F28" i="3" s="1"/>
  <c r="AV100" i="1"/>
  <c r="BC100" i="1"/>
  <c r="BC279" i="1"/>
  <c r="AV279" i="1"/>
  <c r="H176" i="1"/>
  <c r="BC170" i="1"/>
  <c r="AV170" i="1"/>
  <c r="BC86" i="1"/>
  <c r="AV86" i="1"/>
  <c r="BC25" i="1"/>
  <c r="AV25" i="1"/>
  <c r="BC63" i="1"/>
  <c r="AV63" i="1"/>
  <c r="BC30" i="1"/>
  <c r="BC269" i="1"/>
  <c r="BC223" i="1"/>
  <c r="AV223" i="1"/>
  <c r="BC182" i="1"/>
  <c r="AV182" i="1"/>
  <c r="BC71" i="1"/>
  <c r="AV71" i="1"/>
  <c r="BC242" i="1"/>
  <c r="AV242" i="1"/>
  <c r="AV93" i="1"/>
  <c r="BC93" i="1"/>
  <c r="BC56" i="1"/>
  <c r="AV56" i="1"/>
  <c r="AV69" i="1"/>
  <c r="BC69" i="1"/>
  <c r="BC31" i="1"/>
  <c r="AV31" i="1"/>
  <c r="AV138" i="1"/>
  <c r="BC260" i="1"/>
  <c r="AV260" i="1"/>
  <c r="BC204" i="1"/>
  <c r="AV204" i="1"/>
  <c r="BC271" i="1"/>
  <c r="AV271" i="1"/>
  <c r="BC277" i="1"/>
  <c r="AV277" i="1"/>
  <c r="AV188" i="1"/>
  <c r="BC188" i="1"/>
  <c r="BC92" i="1"/>
  <c r="AV92" i="1"/>
  <c r="BC43" i="1"/>
  <c r="BC140" i="1"/>
  <c r="AV140" i="1"/>
  <c r="BC281" i="1"/>
  <c r="AV281" i="1"/>
  <c r="BC202" i="1"/>
  <c r="AV202" i="1"/>
  <c r="BC203" i="1"/>
  <c r="AV203" i="1"/>
  <c r="AV107" i="1"/>
  <c r="BC107" i="1"/>
  <c r="AV115" i="1"/>
  <c r="AV299" i="1"/>
  <c r="BC146" i="1"/>
  <c r="AV146" i="1"/>
  <c r="BC64" i="1"/>
  <c r="AV64" i="1"/>
  <c r="BC46" i="1"/>
  <c r="AV46" i="1"/>
  <c r="BC192" i="1"/>
  <c r="AV192" i="1"/>
  <c r="AV62" i="1"/>
  <c r="BC62" i="1"/>
  <c r="AV145" i="1"/>
  <c r="BC139" i="1"/>
  <c r="AV139" i="1"/>
  <c r="H276" i="1"/>
  <c r="BC152" i="1"/>
  <c r="BC85" i="1"/>
  <c r="AV85" i="1"/>
  <c r="BC23" i="1"/>
  <c r="AV23" i="1"/>
  <c r="BC90" i="1"/>
  <c r="BC83" i="1"/>
  <c r="BC258" i="1"/>
  <c r="AV258" i="1"/>
  <c r="I240" i="1"/>
  <c r="BC171" i="1"/>
  <c r="AV171" i="1"/>
  <c r="BC241" i="1"/>
  <c r="BC272" i="1"/>
  <c r="AV272" i="1"/>
  <c r="I235" i="1"/>
  <c r="BC118" i="1"/>
  <c r="AV118" i="1"/>
  <c r="BC147" i="1"/>
  <c r="AV147" i="1"/>
  <c r="AV111" i="1"/>
  <c r="BC111" i="1"/>
  <c r="BC57" i="1"/>
  <c r="AV57" i="1"/>
  <c r="BC32" i="1"/>
  <c r="AV32" i="1"/>
  <c r="BC141" i="1"/>
  <c r="AV141" i="1"/>
  <c r="AV101" i="1"/>
  <c r="BC101" i="1"/>
  <c r="BC169" i="1"/>
  <c r="AV91" i="1"/>
  <c r="BC91" i="1"/>
  <c r="BC54" i="1"/>
  <c r="AV54" i="1"/>
  <c r="BC68" i="1"/>
  <c r="BC270" i="1"/>
  <c r="AV270" i="1"/>
  <c r="BC148" i="1"/>
  <c r="AV148" i="1"/>
  <c r="BC244" i="1"/>
  <c r="AV244" i="1"/>
  <c r="BC99" i="1"/>
  <c r="AV99" i="1"/>
  <c r="BC47" i="1"/>
  <c r="AV47" i="1"/>
  <c r="BC119" i="1"/>
  <c r="AV119" i="1"/>
  <c r="BC24" i="1"/>
  <c r="AV24" i="1"/>
  <c r="BC61" i="1"/>
  <c r="BC243" i="1"/>
  <c r="AV243" i="1"/>
  <c r="I276" i="1"/>
  <c r="BC186" i="1"/>
  <c r="AV186" i="1"/>
  <c r="BC106" i="1"/>
  <c r="AV106" i="1"/>
  <c r="BC256" i="1"/>
  <c r="AV256" i="1"/>
  <c r="BC237" i="1"/>
  <c r="AV237" i="1"/>
  <c r="BC70" i="1"/>
  <c r="AV70" i="1"/>
  <c r="I12" i="1"/>
  <c r="BC236" i="1"/>
  <c r="AV236" i="1"/>
  <c r="BC94" i="1"/>
  <c r="AV94" i="1"/>
  <c r="I212" i="1"/>
  <c r="BC200" i="1"/>
  <c r="AV200" i="1"/>
  <c r="BC120" i="1"/>
  <c r="AV120" i="1"/>
  <c r="BC33" i="1"/>
  <c r="AV33" i="1"/>
  <c r="AV103" i="1"/>
  <c r="BC103" i="1"/>
  <c r="AV84" i="1"/>
  <c r="BC84" i="1"/>
  <c r="AV45" i="1"/>
  <c r="BC45" i="1"/>
  <c r="I28" i="3" l="1"/>
  <c r="I29" i="3" s="1"/>
</calcChain>
</file>

<file path=xl/sharedStrings.xml><?xml version="1.0" encoding="utf-8"?>
<sst xmlns="http://schemas.openxmlformats.org/spreadsheetml/2006/main" count="4818" uniqueCount="1060">
  <si>
    <t>Slepý stavební rozpočet</t>
  </si>
  <si>
    <t>Název stavby:</t>
  </si>
  <si>
    <t>Revitalizace městských bytů v Šumperku - BJ č.4</t>
  </si>
  <si>
    <t>Doba výstavby:</t>
  </si>
  <si>
    <t xml:space="preserve"> </t>
  </si>
  <si>
    <t>Objednatel:</t>
  </si>
  <si>
    <t>Město Šumperk, nám. Míru 1, 787 01 Šumperk</t>
  </si>
  <si>
    <t>Druh stavby:</t>
  </si>
  <si>
    <t>Bytový dům</t>
  </si>
  <si>
    <t>Začátek výstavby:</t>
  </si>
  <si>
    <t>Projektant:</t>
  </si>
  <si>
    <t>Ing. Petr Doleček</t>
  </si>
  <si>
    <t>Lokalita:</t>
  </si>
  <si>
    <t>17.listopadu 1326/5 Šumperk</t>
  </si>
  <si>
    <t>Konec výstavby:</t>
  </si>
  <si>
    <t>Zhotovitel:</t>
  </si>
  <si>
    <t> </t>
  </si>
  <si>
    <t>JKSO:</t>
  </si>
  <si>
    <t>Zpracováno dne:</t>
  </si>
  <si>
    <t>26.06.2024</t>
  </si>
  <si>
    <t>Zpracoval:</t>
  </si>
  <si>
    <t>Č</t>
  </si>
  <si>
    <t>Kód</t>
  </si>
  <si>
    <t>Zkrácený popis / Varianta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</si>
  <si>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</si>
  <si>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</si>
  <si>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</si>
  <si>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</si>
  <si>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</si>
  <si>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</si>
  <si>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</si>
  <si>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</si>
  <si>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</si>
  <si>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</si>
  <si>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</si>
  <si>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</si>
  <si>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</si>
  <si>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</si>
  <si>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</si>
  <si>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</si>
  <si>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</si>
  <si>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</si>
  <si>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</si>
  <si>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</si>
  <si>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</si>
  <si>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</si>
  <si>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</si>
  <si>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</si>
  <si>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</si>
  <si>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</si>
  <si>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</si>
  <si>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34</t>
  </si>
  <si>
    <t>Stěny a příčky</t>
  </si>
  <si>
    <t>1</t>
  </si>
  <si>
    <t>968061126R00</t>
  </si>
  <si>
    <t>Vyvěšení dřevěných a plastových dveřních křídel pl. nad 2 m2</t>
  </si>
  <si>
    <t>kus</t>
  </si>
  <si>
    <t>RTS I / 2024</t>
  </si>
  <si>
    <t>34_</t>
  </si>
  <si>
    <t>3_</t>
  </si>
  <si>
    <t>_</t>
  </si>
  <si>
    <t>2</t>
  </si>
  <si>
    <t>962200011RAA</t>
  </si>
  <si>
    <t>Bourání příček z cihel pálených</t>
  </si>
  <si>
    <t>m2</t>
  </si>
  <si>
    <t>Varianta:</t>
  </si>
  <si>
    <t>tloušťka 10 cm</t>
  </si>
  <si>
    <t>3</t>
  </si>
  <si>
    <t>460680023RT2</t>
  </si>
  <si>
    <t>Průraz zdivem v cihlové zdi tloušťky 45 cm</t>
  </si>
  <si>
    <t>plochy do 0,025 m2</t>
  </si>
  <si>
    <t>4</t>
  </si>
  <si>
    <t>767312739R00</t>
  </si>
  <si>
    <t>Úprava pro prostup potrubí</t>
  </si>
  <si>
    <t>5</t>
  </si>
  <si>
    <t>974031122R00</t>
  </si>
  <si>
    <t>Vysekání rýh ve zdi cihelné 3 x 7 cm</t>
  </si>
  <si>
    <t>m</t>
  </si>
  <si>
    <t>6</t>
  </si>
  <si>
    <t>974031133R00</t>
  </si>
  <si>
    <t>Vysekání rýh ve zdi cihelné 5 x 10 cm</t>
  </si>
  <si>
    <t>7</t>
  </si>
  <si>
    <t>974031143R00</t>
  </si>
  <si>
    <t>Vysekání rýh ve zdi cihelné 7 x 10 cm</t>
  </si>
  <si>
    <t>8</t>
  </si>
  <si>
    <t>979082212R00</t>
  </si>
  <si>
    <t>Vodorovná doprava suti po suchu do 50 m</t>
  </si>
  <si>
    <t>t</t>
  </si>
  <si>
    <t>9</t>
  </si>
  <si>
    <t>979083117R00</t>
  </si>
  <si>
    <t>Vodorovné přemístění suti na skládku do 6000 m</t>
  </si>
  <si>
    <t>10</t>
  </si>
  <si>
    <t>979990107R00</t>
  </si>
  <si>
    <t>Poplatek za uložení suti - směs betonu, cihel, dřeva, skupina odpadu 170904</t>
  </si>
  <si>
    <t>11</t>
  </si>
  <si>
    <t>342111322RT4</t>
  </si>
  <si>
    <t>Příčka SDVK tl.100 mm,ocel.kce,oplášť 12,5+12,5 mm</t>
  </si>
  <si>
    <t>izolace miner.tl. 60 mm, objem. hmotnost 50 kg/m3</t>
  </si>
  <si>
    <t>12</t>
  </si>
  <si>
    <t>342090131R00</t>
  </si>
  <si>
    <t>Úprava SDK příčky pro zřízení dveří 1kř do 25 kg, profily CW 100, 1x opláštěné</t>
  </si>
  <si>
    <t>13</t>
  </si>
  <si>
    <t>998011001R00</t>
  </si>
  <si>
    <t>Přesun hmot pro budovy zděné výšky do 6 m</t>
  </si>
  <si>
    <t>61</t>
  </si>
  <si>
    <t>Úprava povrchů vnitřní</t>
  </si>
  <si>
    <t>14</t>
  </si>
  <si>
    <t>610991111R00</t>
  </si>
  <si>
    <t>Zakrývání výplní vnitřních otvorů</t>
  </si>
  <si>
    <t>61_</t>
  </si>
  <si>
    <t>6_</t>
  </si>
  <si>
    <t>15</t>
  </si>
  <si>
    <t>978500010RA0</t>
  </si>
  <si>
    <t>Odsekání vnitřních obkladů</t>
  </si>
  <si>
    <t>16</t>
  </si>
  <si>
    <t>17</t>
  </si>
  <si>
    <t>18</t>
  </si>
  <si>
    <t>979990001R00</t>
  </si>
  <si>
    <t>Poplatek za skládku stavební suti</t>
  </si>
  <si>
    <t>RTS I / 2020</t>
  </si>
  <si>
    <t>19</t>
  </si>
  <si>
    <t>612403386R00</t>
  </si>
  <si>
    <t>Hrubá výplň rýh ve stěnách do 10x10cm maltou z SMS</t>
  </si>
  <si>
    <t>vč. omítkové směsi</t>
  </si>
  <si>
    <t>20</t>
  </si>
  <si>
    <t>319201315R00</t>
  </si>
  <si>
    <t>Vyrovnání zdiva pod omítku maltou ze SMS tl. 10 mm</t>
  </si>
  <si>
    <t>21</t>
  </si>
  <si>
    <t>711212311R00</t>
  </si>
  <si>
    <t>Penetrace savých podkladů weberpodklad A</t>
  </si>
  <si>
    <t>22</t>
  </si>
  <si>
    <t>781101142R00</t>
  </si>
  <si>
    <t>Hydroizolační stěrka dvouvrstvá pod obklady</t>
  </si>
  <si>
    <t>23</t>
  </si>
  <si>
    <t>585811012</t>
  </si>
  <si>
    <t>SE6 jednosložková hydroizolační stěrka</t>
  </si>
  <si>
    <t>kg</t>
  </si>
  <si>
    <t>24</t>
  </si>
  <si>
    <t>781475116R00</t>
  </si>
  <si>
    <t>Obklad vnitřní stěn keramický, do tmele, 30x30 cm</t>
  </si>
  <si>
    <t>25</t>
  </si>
  <si>
    <t>781497131R00</t>
  </si>
  <si>
    <t>Lišta nerezová ukončovacích k obkladům</t>
  </si>
  <si>
    <t>26</t>
  </si>
  <si>
    <t>612481211RU1</t>
  </si>
  <si>
    <t>Montáž výztužné sítě(perlinky)do stěrky-vnit.stěny</t>
  </si>
  <si>
    <t>včetně výztužné sítě a stěrkového tmelu Terranova</t>
  </si>
  <si>
    <t>27</t>
  </si>
  <si>
    <t>620991005R00</t>
  </si>
  <si>
    <t>Začišťovací okenní lišta s tkaninou</t>
  </si>
  <si>
    <t>28</t>
  </si>
  <si>
    <t>602013142R00</t>
  </si>
  <si>
    <t>Štuk na stěnách univerzální MVJ 2 ručně</t>
  </si>
  <si>
    <t>RTS I / 2022</t>
  </si>
  <si>
    <t>29</t>
  </si>
  <si>
    <t>611481211RU1</t>
  </si>
  <si>
    <t>Montáž výztužné sítě (perlinky) do stěrky-stropy</t>
  </si>
  <si>
    <t>včetně výztužné sítě a stěrkového tmelu Weber</t>
  </si>
  <si>
    <t>30</t>
  </si>
  <si>
    <t>601016174R00</t>
  </si>
  <si>
    <t>Štuk na stropech PROFI MK2, ručně</t>
  </si>
  <si>
    <t>31</t>
  </si>
  <si>
    <t>612421431RT2</t>
  </si>
  <si>
    <t>Oprava vápen.omítek stěn do 50 % pl. - štukových</t>
  </si>
  <si>
    <t>s použitím suché maltové směsi</t>
  </si>
  <si>
    <t>32</t>
  </si>
  <si>
    <t>64</t>
  </si>
  <si>
    <t>Výplně otvorů</t>
  </si>
  <si>
    <t>33</t>
  </si>
  <si>
    <t>642940012RAB</t>
  </si>
  <si>
    <t>Dveře jednokřídlové 70/197, překlad, zárubeň, práh</t>
  </si>
  <si>
    <t>64_</t>
  </si>
  <si>
    <t>dřevěné hladké, ze 2/3 zasklené</t>
  </si>
  <si>
    <t>762300001</t>
  </si>
  <si>
    <t>Zavěšení konstrukcí dveřních křídel</t>
  </si>
  <si>
    <t>35</t>
  </si>
  <si>
    <t>721</t>
  </si>
  <si>
    <t>Vnitřní kanalizace</t>
  </si>
  <si>
    <t>36</t>
  </si>
  <si>
    <t>721176103R00</t>
  </si>
  <si>
    <t>Potrubí HT připojovací D 50 x 1,8 mm</t>
  </si>
  <si>
    <t>721_</t>
  </si>
  <si>
    <t>72_</t>
  </si>
  <si>
    <t>37</t>
  </si>
  <si>
    <t>721176105R00</t>
  </si>
  <si>
    <t>Potrubí HT připojovací D 110 x 2,7 mm</t>
  </si>
  <si>
    <t>38</t>
  </si>
  <si>
    <t>721194105R00</t>
  </si>
  <si>
    <t>Vyvedení odpadních výpustek, D 50 x 1,8 mm</t>
  </si>
  <si>
    <t>39</t>
  </si>
  <si>
    <t>721194109R00</t>
  </si>
  <si>
    <t>Vyvedení odpadních výpustek, D 110 x 2,3 mm</t>
  </si>
  <si>
    <t>40</t>
  </si>
  <si>
    <t>721140915R00</t>
  </si>
  <si>
    <t>Provedení opravy vnitřní kanalizace, potrubí litinové, propojení dosavadního potrubí, DN 100 mm</t>
  </si>
  <si>
    <t>41</t>
  </si>
  <si>
    <t>892561111R00</t>
  </si>
  <si>
    <t>Zkouška těsnosti kanalizace DN do 125, vodou</t>
  </si>
  <si>
    <t>42</t>
  </si>
  <si>
    <t>998721101R00</t>
  </si>
  <si>
    <t>Přesun hmot pro vnitřní kanalizaci, výšky do 6 m</t>
  </si>
  <si>
    <t>722</t>
  </si>
  <si>
    <t>Vnitřní vodovod</t>
  </si>
  <si>
    <t>43</t>
  </si>
  <si>
    <t>722172311R00</t>
  </si>
  <si>
    <t>Potrubí z PPR, D 20x2,8 mm, PN 16, vč.zed.výpom.</t>
  </si>
  <si>
    <t>722_</t>
  </si>
  <si>
    <t>44</t>
  </si>
  <si>
    <t>722172312R00</t>
  </si>
  <si>
    <t>Potrubí z PPR, D 25x3,5 mm, PN 16, vč.zed.výpom.</t>
  </si>
  <si>
    <t>45</t>
  </si>
  <si>
    <t>722172313R00</t>
  </si>
  <si>
    <t>Potrubí plastové PP-R Instaplast, včetně zednických výpomocí, D 32 x 4,4 mm, PN 16</t>
  </si>
  <si>
    <t>46</t>
  </si>
  <si>
    <t>722174912R00</t>
  </si>
  <si>
    <t>Sestavení plastového rozvodu vody D 20 mm</t>
  </si>
  <si>
    <t>47</t>
  </si>
  <si>
    <t>722174913R00</t>
  </si>
  <si>
    <t>Sestavení plastového rozvodu vody D 25 mm</t>
  </si>
  <si>
    <t>48</t>
  </si>
  <si>
    <t>722174914R00</t>
  </si>
  <si>
    <t>Sestavení plastového rozvodu vody D 32 mm</t>
  </si>
  <si>
    <t>49</t>
  </si>
  <si>
    <t>722181213RT7</t>
  </si>
  <si>
    <t>Izolace návleková MIRELON PRO tl. stěny 13 mm</t>
  </si>
  <si>
    <t>vnitřní průměr 22 mm</t>
  </si>
  <si>
    <t>50</t>
  </si>
  <si>
    <t>722181213RT8</t>
  </si>
  <si>
    <t>vnitřní průměr 25 mm</t>
  </si>
  <si>
    <t>51</t>
  </si>
  <si>
    <t>722181213RU1</t>
  </si>
  <si>
    <t>vnitřní průměr 32 mm</t>
  </si>
  <si>
    <t>52</t>
  </si>
  <si>
    <t>722190401R00</t>
  </si>
  <si>
    <t>Vyvedení a upevnění výpustek DN 15 mm</t>
  </si>
  <si>
    <t>53</t>
  </si>
  <si>
    <t>722190403R00</t>
  </si>
  <si>
    <t>Vyvedení a upevnění výpustek DN 25 mm</t>
  </si>
  <si>
    <t>54</t>
  </si>
  <si>
    <t>722223182R00</t>
  </si>
  <si>
    <t>Kohout vodovodní, kulový, výtokový, GIACOMINI R621, DN 20 mm</t>
  </si>
  <si>
    <t>55</t>
  </si>
  <si>
    <t>722220111R00</t>
  </si>
  <si>
    <t>Nástěnka K 247, pro výtokový ventil G 1/2"</t>
  </si>
  <si>
    <t>56</t>
  </si>
  <si>
    <t>722220112R00</t>
  </si>
  <si>
    <t>Nástěnka K 247, pro výtokový ventil G 3/4"</t>
  </si>
  <si>
    <t>57</t>
  </si>
  <si>
    <t>722220121R00</t>
  </si>
  <si>
    <t>Nástěnka K 247, pro baterii G 1/2"</t>
  </si>
  <si>
    <t>pár</t>
  </si>
  <si>
    <t>58</t>
  </si>
  <si>
    <t>722235111R00</t>
  </si>
  <si>
    <t>Kohout vodovodní, kulový, vnitřní-vnitřní závit, IVAR PERFECTA, DN 15 mm</t>
  </si>
  <si>
    <t>59</t>
  </si>
  <si>
    <t>722290226R00</t>
  </si>
  <si>
    <t>Zkouška tlaku potrubí závitového DN 50 mm</t>
  </si>
  <si>
    <t>60</t>
  </si>
  <si>
    <t>722290234R00</t>
  </si>
  <si>
    <t>Proplach a dezinfekce vodovodního potrubí DN 80 mm</t>
  </si>
  <si>
    <t>998722101R00</t>
  </si>
  <si>
    <t>Přesun hmot pro vnitřní vodovod, výšky do 6 m</t>
  </si>
  <si>
    <t>723</t>
  </si>
  <si>
    <t>Vnitřní plynovod</t>
  </si>
  <si>
    <t>62</t>
  </si>
  <si>
    <t>723120805R00</t>
  </si>
  <si>
    <t>Demontáž potrubí svařovaného závitového DN 25 - 50 mm</t>
  </si>
  <si>
    <t>723_</t>
  </si>
  <si>
    <t>63</t>
  </si>
  <si>
    <t>723182145R00</t>
  </si>
  <si>
    <t>Potrubí nerezové 1.4401 Sanpress inox, D 28 x 1,2 mm, lisované, těsnění HNBR, PN 5, plyn</t>
  </si>
  <si>
    <t>723215113R00</t>
  </si>
  <si>
    <t>Kohout kulový IVAR BRA.02.100 DN 25 mm, spoj s navařením přírub, litinový</t>
  </si>
  <si>
    <t>65</t>
  </si>
  <si>
    <t>723190907R00</t>
  </si>
  <si>
    <t>Odvzdušnění a napuštění plynového potrubí</t>
  </si>
  <si>
    <t>66</t>
  </si>
  <si>
    <t>723190909R00</t>
  </si>
  <si>
    <t>Zkouška tlaková  plynového potrubí</t>
  </si>
  <si>
    <t>67</t>
  </si>
  <si>
    <t>998723101R00</t>
  </si>
  <si>
    <t>Přesun hmot pro vnitřní plynovod, výšky do 6 m</t>
  </si>
  <si>
    <t>725</t>
  </si>
  <si>
    <t>Zařizovací předměty</t>
  </si>
  <si>
    <t>68</t>
  </si>
  <si>
    <t>725650805R00</t>
  </si>
  <si>
    <t>Demontáž těles otopných plynových podokenních</t>
  </si>
  <si>
    <t>soubor</t>
  </si>
  <si>
    <t>725_</t>
  </si>
  <si>
    <t>69</t>
  </si>
  <si>
    <t>725530823R00</t>
  </si>
  <si>
    <t>Demontáž, zásobník elektrický tlakový  200 l</t>
  </si>
  <si>
    <t>70</t>
  </si>
  <si>
    <t>725110811R00</t>
  </si>
  <si>
    <t>Demontáž klozetů splachovacích</t>
  </si>
  <si>
    <t>71</t>
  </si>
  <si>
    <t>725290020RA0</t>
  </si>
  <si>
    <t>Demontáž umyvadla včetně baterie a konzol</t>
  </si>
  <si>
    <t>72</t>
  </si>
  <si>
    <t>725829301RT2</t>
  </si>
  <si>
    <t>Montáž baterie umyvadlové a dřezové stojánkové</t>
  </si>
  <si>
    <t>včetně baterie</t>
  </si>
  <si>
    <t>73</t>
  </si>
  <si>
    <t>725200030RA0</t>
  </si>
  <si>
    <t>Montáž zařizovacích předmětů - umyvadlo</t>
  </si>
  <si>
    <t>74</t>
  </si>
  <si>
    <t>64214361</t>
  </si>
  <si>
    <t>Umyvadlo LYRA Plus s otv. bater. 600x490x195 mm</t>
  </si>
  <si>
    <t>75</t>
  </si>
  <si>
    <t>725860251R00</t>
  </si>
  <si>
    <t>Sifon umyvadlový chromovaný Raf SV1410</t>
  </si>
  <si>
    <t>76</t>
  </si>
  <si>
    <t>725119305R00</t>
  </si>
  <si>
    <t>Montáž klozetových mís kombinovaných</t>
  </si>
  <si>
    <t>77</t>
  </si>
  <si>
    <t>64234636</t>
  </si>
  <si>
    <t>Mísa kombinační CUBITO PURE stojící VARIO odpad, boční připojení, povrch JIKA perla</t>
  </si>
  <si>
    <t>78</t>
  </si>
  <si>
    <t>55167397.A</t>
  </si>
  <si>
    <t>Sedátko klozetové z PH LUKAS/RIGO/DINO č. 9337.0</t>
  </si>
  <si>
    <t>79</t>
  </si>
  <si>
    <t>725845811R00</t>
  </si>
  <si>
    <t>Baterie termostatická sprchová nástěnná</t>
  </si>
  <si>
    <t>80</t>
  </si>
  <si>
    <t>725249102R00</t>
  </si>
  <si>
    <t>Montáž sprchových mís a vaniček</t>
  </si>
  <si>
    <t>81</t>
  </si>
  <si>
    <t>55423054.A</t>
  </si>
  <si>
    <t>Sprchová vanička akrylátová Rhea 1200 x 730 x 150 mm, 99 l, bílá</t>
  </si>
  <si>
    <t>82</t>
  </si>
  <si>
    <t>725249121T00</t>
  </si>
  <si>
    <t>Montáž jednodílné sprchové zástěny</t>
  </si>
  <si>
    <t>83</t>
  </si>
  <si>
    <t>725249123T00</t>
  </si>
  <si>
    <t>Montáž sprchových dveří</t>
  </si>
  <si>
    <t>84</t>
  </si>
  <si>
    <t>55484439.A</t>
  </si>
  <si>
    <t>Zástěna vanová posuvná 120 cm Pearl</t>
  </si>
  <si>
    <t>85</t>
  </si>
  <si>
    <t>551450090</t>
  </si>
  <si>
    <t>Baterie sprchová směšovací nástěnná PL80B</t>
  </si>
  <si>
    <t>86</t>
  </si>
  <si>
    <t>55145352</t>
  </si>
  <si>
    <t>Set sprchový hadice, růžice, držák 901.00</t>
  </si>
  <si>
    <t>87</t>
  </si>
  <si>
    <t>725849302R00</t>
  </si>
  <si>
    <t>Montáž držáku sprchy</t>
  </si>
  <si>
    <t>88</t>
  </si>
  <si>
    <t>725319101R00</t>
  </si>
  <si>
    <t>Montáž dřezů jednoduchých</t>
  </si>
  <si>
    <t>89</t>
  </si>
  <si>
    <t>642812122</t>
  </si>
  <si>
    <t>Dřez nerezový DR45/58 s přepadem 580 x 450 mm</t>
  </si>
  <si>
    <t>90</t>
  </si>
  <si>
    <t>725860201R00</t>
  </si>
  <si>
    <t>Sifon dřezový HL100, 6/4", s přípojkou pro myčku, pračku</t>
  </si>
  <si>
    <t>91</t>
  </si>
  <si>
    <t>725314290R00</t>
  </si>
  <si>
    <t>Příslušenství k dřezu v kuchyňské sestavě</t>
  </si>
  <si>
    <t>92</t>
  </si>
  <si>
    <t>766495100R00</t>
  </si>
  <si>
    <t>Zhotovení otvorů pro instal. dvířka do 0,9 m2</t>
  </si>
  <si>
    <t>93</t>
  </si>
  <si>
    <t>763761201R00</t>
  </si>
  <si>
    <t>Montáž otvorových výplní - dvířek, poklopů</t>
  </si>
  <si>
    <t>94</t>
  </si>
  <si>
    <t>725980122R00</t>
  </si>
  <si>
    <t>Dvířka z plastu, 200 x 300 mm</t>
  </si>
  <si>
    <t>95</t>
  </si>
  <si>
    <t>725860227RT1</t>
  </si>
  <si>
    <t>Sifon ke sprchové vaničce PP HL520, D 50 mm</t>
  </si>
  <si>
    <t>HL 520, s krytkou z nerez oceli</t>
  </si>
  <si>
    <t>96</t>
  </si>
  <si>
    <t>725860184R00</t>
  </si>
  <si>
    <t>Sifon pračkový HL406, D 40/50 mm</t>
  </si>
  <si>
    <t>97</t>
  </si>
  <si>
    <t>998725101R00</t>
  </si>
  <si>
    <t>Přesun hmot pro zařizovací předměty, výšky do 6 m</t>
  </si>
  <si>
    <t>728</t>
  </si>
  <si>
    <t>Vzduchotechnika</t>
  </si>
  <si>
    <t>98</t>
  </si>
  <si>
    <t>728414611R00</t>
  </si>
  <si>
    <t>Montáž digestoře vestavěné</t>
  </si>
  <si>
    <t>728_</t>
  </si>
  <si>
    <t>99</t>
  </si>
  <si>
    <t>220261612R00</t>
  </si>
  <si>
    <t>Zhotovení kruhového otvoru do D 160 mm</t>
  </si>
  <si>
    <t>100</t>
  </si>
  <si>
    <t>Potrubí HT připojovací, D 110 x 2,7 mm</t>
  </si>
  <si>
    <t>101</t>
  </si>
  <si>
    <t>713481111R00</t>
  </si>
  <si>
    <t>Montáž tepelné izolace potrubí provazci a drátem 1 vrstvá</t>
  </si>
  <si>
    <t>minerální vatou tl. 120 mm</t>
  </si>
  <si>
    <t>102</t>
  </si>
  <si>
    <t>721176101R00</t>
  </si>
  <si>
    <t>Potrubí HT připojovací, D 32 x 1,8 mm</t>
  </si>
  <si>
    <t>103</t>
  </si>
  <si>
    <t>728611113R00</t>
  </si>
  <si>
    <t>Montáž ventilátoru radiálního nízkotlakého potrubního do 0,07 m2</t>
  </si>
  <si>
    <t>104</t>
  </si>
  <si>
    <t>429148001VD</t>
  </si>
  <si>
    <t>Ventilátor do koupelny VENTS TT 150</t>
  </si>
  <si>
    <t>105</t>
  </si>
  <si>
    <t>728412321R00</t>
  </si>
  <si>
    <t>Montáž anemostatu kruhového tryskového do d 200 mm</t>
  </si>
  <si>
    <t>106</t>
  </si>
  <si>
    <t>4297268211</t>
  </si>
  <si>
    <t>Anemostat vířivý 12</t>
  </si>
  <si>
    <t>107</t>
  </si>
  <si>
    <t>728415121R00</t>
  </si>
  <si>
    <t>Montáž mřížky větrací nebo ventilační do d 100 mm</t>
  </si>
  <si>
    <t>108</t>
  </si>
  <si>
    <t>429727810</t>
  </si>
  <si>
    <t>Mřížka kruhová PVC průměr 100 mm</t>
  </si>
  <si>
    <t>109</t>
  </si>
  <si>
    <t>998728101R00</t>
  </si>
  <si>
    <t>Přesun hmot pro vzduchotechniku, výšky do 6 m</t>
  </si>
  <si>
    <t>731</t>
  </si>
  <si>
    <t>Kotelny</t>
  </si>
  <si>
    <t>110</t>
  </si>
  <si>
    <t>731249322R00</t>
  </si>
  <si>
    <t>Montáž závěsných kotlů turbo s TUV, odkouření</t>
  </si>
  <si>
    <t>731_</t>
  </si>
  <si>
    <t>73_</t>
  </si>
  <si>
    <t>111</t>
  </si>
  <si>
    <t>48417461</t>
  </si>
  <si>
    <t>Kotel Therm PRO 14 KX.A (55 l) s integrovaným zásobníkem TV</t>
  </si>
  <si>
    <t>112</t>
  </si>
  <si>
    <t>731411271R00</t>
  </si>
  <si>
    <t>Průchodka střešní pro šik. stř. s olověným límcem</t>
  </si>
  <si>
    <t>113</t>
  </si>
  <si>
    <t>731412577R00</t>
  </si>
  <si>
    <t>Kryt komína, šachty pro kondenzační kotel</t>
  </si>
  <si>
    <t>114</t>
  </si>
  <si>
    <t>731412211R00</t>
  </si>
  <si>
    <t>Odkouř. koax.svislé 80/125 PP dl.1,5m vč.stř.nást.</t>
  </si>
  <si>
    <t>sada</t>
  </si>
  <si>
    <t>115</t>
  </si>
  <si>
    <t>731412253R00</t>
  </si>
  <si>
    <t>Kus prodlužovací odkouření 80/125 mm PP dl. 2,0 m</t>
  </si>
  <si>
    <t>116</t>
  </si>
  <si>
    <t>998731101R00</t>
  </si>
  <si>
    <t>Přesun hmot pro kotelny, výšky do 6 m</t>
  </si>
  <si>
    <t>732</t>
  </si>
  <si>
    <t>Strojovny</t>
  </si>
  <si>
    <t>117</t>
  </si>
  <si>
    <t>732331512R00</t>
  </si>
  <si>
    <t>Nádoby expanzní tlak.s memb.Expanzomat, 12 l</t>
  </si>
  <si>
    <t>732_</t>
  </si>
  <si>
    <t>733</t>
  </si>
  <si>
    <t>Rozvod potrubí</t>
  </si>
  <si>
    <t>118</t>
  </si>
  <si>
    <t>733163102R00</t>
  </si>
  <si>
    <t>Potrubí z měděných trubek vytápění D 15 x 1,0 mm</t>
  </si>
  <si>
    <t>733_</t>
  </si>
  <si>
    <t>119</t>
  </si>
  <si>
    <t>733163103R00</t>
  </si>
  <si>
    <t>Potrubí z měděných trubek vytápění D 18 x 1,0 mm</t>
  </si>
  <si>
    <t>120</t>
  </si>
  <si>
    <t>722181212RT5</t>
  </si>
  <si>
    <t>Izolace návleková MIRELON PRO tl. stěny 9 mm</t>
  </si>
  <si>
    <t>vnitřní průměr 15 mm</t>
  </si>
  <si>
    <t>121</t>
  </si>
  <si>
    <t>722181212RT6</t>
  </si>
  <si>
    <t>vnitřní průměr 18 mm</t>
  </si>
  <si>
    <t>122</t>
  </si>
  <si>
    <t>733190106R00</t>
  </si>
  <si>
    <t>Tlaková zkouška potrubí  DN 32</t>
  </si>
  <si>
    <t>123</t>
  </si>
  <si>
    <t>998733101R00</t>
  </si>
  <si>
    <t>Přesun hmot pro rozvody potrubí, výšky do 6 m</t>
  </si>
  <si>
    <t>734</t>
  </si>
  <si>
    <t>Armatury</t>
  </si>
  <si>
    <t>124</t>
  </si>
  <si>
    <t>734223112RT1</t>
  </si>
  <si>
    <t>Ventil termostatický, rohový, IVAR.VS DN 15</t>
  </si>
  <si>
    <t>734_</t>
  </si>
  <si>
    <t>bez termostatické hlavice</t>
  </si>
  <si>
    <t>125</t>
  </si>
  <si>
    <t>734221672R00</t>
  </si>
  <si>
    <t>Hlavice ovládání ventilů termostatická</t>
  </si>
  <si>
    <t>126</t>
  </si>
  <si>
    <t>734213112R00</t>
  </si>
  <si>
    <t>Ventil automatický odvzdušňovací, IVAR VARIA DN 15</t>
  </si>
  <si>
    <t>127</t>
  </si>
  <si>
    <t>734233112R00</t>
  </si>
  <si>
    <t>Kohout kulový, vnitř.-vnitř.z. IVAR PERFECTA DN 20</t>
  </si>
  <si>
    <t>128</t>
  </si>
  <si>
    <t>734291113R00</t>
  </si>
  <si>
    <t>Kohouty plnící a vypouštěcí G 1/2</t>
  </si>
  <si>
    <t>129</t>
  </si>
  <si>
    <t>734432114R00</t>
  </si>
  <si>
    <t>Prostorový termostat IVAR MAGICTIME PLUS</t>
  </si>
  <si>
    <t>130</t>
  </si>
  <si>
    <t>734209113R00</t>
  </si>
  <si>
    <t>Montáž armatur závitových,se 2závity, G 1/2</t>
  </si>
  <si>
    <t>131</t>
  </si>
  <si>
    <t>998734101R00</t>
  </si>
  <si>
    <t>Přesun hmot pro armatury, výšky do 6 m</t>
  </si>
  <si>
    <t>735</t>
  </si>
  <si>
    <t>Otopná tělesa</t>
  </si>
  <si>
    <t>132</t>
  </si>
  <si>
    <t>735157548R00</t>
  </si>
  <si>
    <t>Otopné těleso panelové Radik Ventil Kompakt 21, v. 500 mm, dl. 1200 mm</t>
  </si>
  <si>
    <t>735_</t>
  </si>
  <si>
    <t>133</t>
  </si>
  <si>
    <t>735157550R00</t>
  </si>
  <si>
    <t>Otopné těleso panelové Radik Ventil Kompakt 21, v. 500 mm, dl. 1600 mm</t>
  </si>
  <si>
    <t>134</t>
  </si>
  <si>
    <t>998735101R00</t>
  </si>
  <si>
    <t>Přesun hmot pro otopná tělesa, výšky do 6 m</t>
  </si>
  <si>
    <t>762</t>
  </si>
  <si>
    <t>Konstrukce tesařské</t>
  </si>
  <si>
    <t>135</t>
  </si>
  <si>
    <t>762812811R00</t>
  </si>
  <si>
    <t>Demontáž záklopů z hoblovaných prken tl. do 3,2 cm</t>
  </si>
  <si>
    <t>762_</t>
  </si>
  <si>
    <t>76_</t>
  </si>
  <si>
    <t>136</t>
  </si>
  <si>
    <t>762812240RT3</t>
  </si>
  <si>
    <t>Montáž záklopu, vrchní na sraz, hoblovaná prkna</t>
  </si>
  <si>
    <t>včetně dodávky řeziva, prkna hobl. tl. 24 mm</t>
  </si>
  <si>
    <t>137</t>
  </si>
  <si>
    <t>998762102R00</t>
  </si>
  <si>
    <t>Přesun hmot pro tesařské konstrukce, výšky do 12 m</t>
  </si>
  <si>
    <t>766</t>
  </si>
  <si>
    <t>Konstrukce truhlářské</t>
  </si>
  <si>
    <t>138</t>
  </si>
  <si>
    <t>726190906R00</t>
  </si>
  <si>
    <t>Odmontování kuchyňské linky s armaturou</t>
  </si>
  <si>
    <t>766_</t>
  </si>
  <si>
    <t>139</t>
  </si>
  <si>
    <t>766810010VD</t>
  </si>
  <si>
    <t>Kuchyňské linky dodávka a montáž</t>
  </si>
  <si>
    <t>linka 300 cm</t>
  </si>
  <si>
    <t>140</t>
  </si>
  <si>
    <t>766664916R00</t>
  </si>
  <si>
    <t>Seříznutí dveřních křídel z tvrdého dřeva</t>
  </si>
  <si>
    <t>141</t>
  </si>
  <si>
    <t>766825122R00</t>
  </si>
  <si>
    <t>Montáž vestavěné skříně 2křídlové šatní</t>
  </si>
  <si>
    <t>142</t>
  </si>
  <si>
    <t>615200001</t>
  </si>
  <si>
    <t>Skříň vestavná</t>
  </si>
  <si>
    <t>143</t>
  </si>
  <si>
    <t>998766101R00</t>
  </si>
  <si>
    <t>Přesun hmot pro truhlářské konstr., výšky do 6 m</t>
  </si>
  <si>
    <t>771</t>
  </si>
  <si>
    <t>Podlahy z dlaždic</t>
  </si>
  <si>
    <t>144</t>
  </si>
  <si>
    <t>771990010RA0</t>
  </si>
  <si>
    <t>Vybourání keramické nebo teracové dlažby</t>
  </si>
  <si>
    <t>771_</t>
  </si>
  <si>
    <t>77_</t>
  </si>
  <si>
    <t>145</t>
  </si>
  <si>
    <t>965200013RA0</t>
  </si>
  <si>
    <t>Bourání mazanin betonových s potěrem nebo teracem</t>
  </si>
  <si>
    <t>m3</t>
  </si>
  <si>
    <t>146</t>
  </si>
  <si>
    <t>147</t>
  </si>
  <si>
    <t>148</t>
  </si>
  <si>
    <t>149</t>
  </si>
  <si>
    <t>713191100RT9</t>
  </si>
  <si>
    <t>Položení separační fólie</t>
  </si>
  <si>
    <t>včetně dodávky PE fólie</t>
  </si>
  <si>
    <t>150</t>
  </si>
  <si>
    <t>631591211R00</t>
  </si>
  <si>
    <t>Násyp pod podlahy FERMACELL do 100 mm</t>
  </si>
  <si>
    <t>151</t>
  </si>
  <si>
    <t>635110051R00</t>
  </si>
  <si>
    <t>Montáž suchých podlah z dílců na pero a drážku</t>
  </si>
  <si>
    <t>152</t>
  </si>
  <si>
    <t>59597014</t>
  </si>
  <si>
    <t>Deska sádrovláknitá FERMACELL, rozměr 2500 x 1250 x 12,5 mm</t>
  </si>
  <si>
    <t>153</t>
  </si>
  <si>
    <t>713121111RT1</t>
  </si>
  <si>
    <t>Montáž tepelné nebo kročejové izolace podlah na sucho, jednovrstvé</t>
  </si>
  <si>
    <t>materiál ve specifikaci</t>
  </si>
  <si>
    <t>154</t>
  </si>
  <si>
    <t>63153802.A</t>
  </si>
  <si>
    <t>Deska z minerální vlny podlahová tuhá STEPROCK HD tl. 40 x 600 x 1000 mm</t>
  </si>
  <si>
    <t>155</t>
  </si>
  <si>
    <t>635111022R00</t>
  </si>
  <si>
    <t>Podlaha Fermacell 2E22, desky 12,5 +12,5 mm</t>
  </si>
  <si>
    <t>156</t>
  </si>
  <si>
    <t>635111041R00</t>
  </si>
  <si>
    <t>Podlaha Fermacell Powerpanel TE,desky 25 mm</t>
  </si>
  <si>
    <t>157</t>
  </si>
  <si>
    <t>771101210R00</t>
  </si>
  <si>
    <t>Penetrace podkladu pod dlažby</t>
  </si>
  <si>
    <t>158</t>
  </si>
  <si>
    <t>711212012R00</t>
  </si>
  <si>
    <t>Hydroizolační povlak vyztužený tkaninou</t>
  </si>
  <si>
    <t>159</t>
  </si>
  <si>
    <t>711212231R00</t>
  </si>
  <si>
    <t>Těsnicí pás do spoje podlaha - stěna FERMACELL</t>
  </si>
  <si>
    <t>160</t>
  </si>
  <si>
    <t>711212241R00</t>
  </si>
  <si>
    <t>Těsnění prostupů těsnicí manžetou FERMACELL</t>
  </si>
  <si>
    <t>161</t>
  </si>
  <si>
    <t>771570014RA0</t>
  </si>
  <si>
    <t>Dlažba z dlaždic keramických 30 x 30 cm</t>
  </si>
  <si>
    <t>162</t>
  </si>
  <si>
    <t>771471017R00</t>
  </si>
  <si>
    <t>Obklad soklíků keram.rovných do MC,25x6,5,H 6,5 cm</t>
  </si>
  <si>
    <t>163</t>
  </si>
  <si>
    <t>998771101R00</t>
  </si>
  <si>
    <t>Přesun hmot pro podlahy z dlaždic, výšky do 6 m</t>
  </si>
  <si>
    <t>775</t>
  </si>
  <si>
    <t>Podlahy vlysové a parketové</t>
  </si>
  <si>
    <t>164</t>
  </si>
  <si>
    <t>775511800R00</t>
  </si>
  <si>
    <t>Demontáž podlah vlysových lepených včetně lišt</t>
  </si>
  <si>
    <t>775_</t>
  </si>
  <si>
    <t>165</t>
  </si>
  <si>
    <t>762900060RAB</t>
  </si>
  <si>
    <t>Demontáž dřevěných podlah z prken</t>
  </si>
  <si>
    <t>s polštáři</t>
  </si>
  <si>
    <t>166</t>
  </si>
  <si>
    <t>713190813R00</t>
  </si>
  <si>
    <t>Odstranění tepelné izolace ze sypkých hmot, lože ze škváry, tl. do 150 mm</t>
  </si>
  <si>
    <t>167</t>
  </si>
  <si>
    <t>168</t>
  </si>
  <si>
    <t>979990265R00</t>
  </si>
  <si>
    <t>Poplatek za uložení směsné stavební a demoliční suti s obsahem nebezpečných látek</t>
  </si>
  <si>
    <t>169</t>
  </si>
  <si>
    <t>775540040RAC</t>
  </si>
  <si>
    <t>Podlaha lamelová, nášlap vinyl, podložka Adipan</t>
  </si>
  <si>
    <t>lamela tl. 5 mm, jádro se skelným vláknem, 33/42</t>
  </si>
  <si>
    <t>170</t>
  </si>
  <si>
    <t>28342451</t>
  </si>
  <si>
    <t>Lišta soklová PVC pro vinyl Bolta 25669, 58 x 11,8 mm</t>
  </si>
  <si>
    <t>171</t>
  </si>
  <si>
    <t>775413021R00</t>
  </si>
  <si>
    <t>Montáž podlahové lišty připevněné vruty, výšky 60 mm</t>
  </si>
  <si>
    <t>172</t>
  </si>
  <si>
    <t>998775101R00</t>
  </si>
  <si>
    <t>Přesun hmot pro podlahy vlysové, výšky do 6 m</t>
  </si>
  <si>
    <t>783</t>
  </si>
  <si>
    <t>Nátěry</t>
  </si>
  <si>
    <t>173</t>
  </si>
  <si>
    <t>783900030RAB</t>
  </si>
  <si>
    <t>Odstranění nátěrů z truhlářských výrobků</t>
  </si>
  <si>
    <t>783_</t>
  </si>
  <si>
    <t>78_</t>
  </si>
  <si>
    <t>opálením s obroušením</t>
  </si>
  <si>
    <t>174</t>
  </si>
  <si>
    <t>783624200R00</t>
  </si>
  <si>
    <t>Nátěr synt. truhl. výrobků 2x + 1x email + 1x tmel</t>
  </si>
  <si>
    <t>175</t>
  </si>
  <si>
    <t>783220010RAC</t>
  </si>
  <si>
    <t>Nátěr kovových doplňkových konstrukcí syntetický</t>
  </si>
  <si>
    <t>dvojnásobný krycí s 1x emailováním</t>
  </si>
  <si>
    <t>176</t>
  </si>
  <si>
    <t>783424140R00</t>
  </si>
  <si>
    <t>Nátěr syntetický potrubí do DN 50 mm  Z + 2x</t>
  </si>
  <si>
    <t>784</t>
  </si>
  <si>
    <t>Malby</t>
  </si>
  <si>
    <t>177</t>
  </si>
  <si>
    <t>784900010RAB</t>
  </si>
  <si>
    <t>Odstranění stávajících maleb</t>
  </si>
  <si>
    <t>784_</t>
  </si>
  <si>
    <t>oškrábáním</t>
  </si>
  <si>
    <t>178</t>
  </si>
  <si>
    <t>784450075RA0</t>
  </si>
  <si>
    <t>Malba disperzní, penetrace 1x, malba bílá 2x</t>
  </si>
  <si>
    <t>Různé dokončovací konstrukce a práce na pozemních stavbách</t>
  </si>
  <si>
    <t>179</t>
  </si>
  <si>
    <t>953941312R00</t>
  </si>
  <si>
    <t>Osazení požárního hasicího přístroje na stěnu</t>
  </si>
  <si>
    <t>95_</t>
  </si>
  <si>
    <t>9_</t>
  </si>
  <si>
    <t>180</t>
  </si>
  <si>
    <t>44984114</t>
  </si>
  <si>
    <t>Přístroj hasicí práškový P6Te</t>
  </si>
  <si>
    <t>181</t>
  </si>
  <si>
    <t>953941395R00</t>
  </si>
  <si>
    <t>Vystavení revizní zprávy-požární hasicí přístroj</t>
  </si>
  <si>
    <t>182</t>
  </si>
  <si>
    <t>222330891R00</t>
  </si>
  <si>
    <t>Kouřový nasávací hlásič 1kanálový, na úchytné body</t>
  </si>
  <si>
    <t>M21</t>
  </si>
  <si>
    <t>Elektromontáže</t>
  </si>
  <si>
    <t>183</t>
  </si>
  <si>
    <t>210000001VD</t>
  </si>
  <si>
    <t>Demontáže stávajících prvků elektro k jejich výměně</t>
  </si>
  <si>
    <t>soub.</t>
  </si>
  <si>
    <t>M21_</t>
  </si>
  <si>
    <t>184</t>
  </si>
  <si>
    <t>210120901R00</t>
  </si>
  <si>
    <t>Hlavní vypínač v rozvaděči</t>
  </si>
  <si>
    <t>185</t>
  </si>
  <si>
    <t>35822000002VD</t>
  </si>
  <si>
    <t>Hlavní vypínač 25A</t>
  </si>
  <si>
    <t>186</t>
  </si>
  <si>
    <t>650063212R00</t>
  </si>
  <si>
    <t>Montáž svodiče přepětí</t>
  </si>
  <si>
    <t>187</t>
  </si>
  <si>
    <t>357160002VD</t>
  </si>
  <si>
    <t>Svodič přepětí B+C, EATON SPBT12-280/4</t>
  </si>
  <si>
    <t>188</t>
  </si>
  <si>
    <t>210120569R00</t>
  </si>
  <si>
    <t>Jistič trojpólový do 25 A se zapojením</t>
  </si>
  <si>
    <t>189</t>
  </si>
  <si>
    <t>35822000003VD</t>
  </si>
  <si>
    <t>Jistič EATON třífázový 16A</t>
  </si>
  <si>
    <t>190</t>
  </si>
  <si>
    <t>210120813R00</t>
  </si>
  <si>
    <t>Chránič proudový do 16 A</t>
  </si>
  <si>
    <t>191</t>
  </si>
  <si>
    <t>35822000004VD</t>
  </si>
  <si>
    <t>Proudový chránič s nadproud. ochranou šířka 1 modul, 10A</t>
  </si>
  <si>
    <t>192</t>
  </si>
  <si>
    <t>35822000005VD</t>
  </si>
  <si>
    <t>Proudový chránič s nadproud. ochranou šířka 2 moduly, 10A</t>
  </si>
  <si>
    <t>193</t>
  </si>
  <si>
    <t>35822000006VD</t>
  </si>
  <si>
    <t>Proudový chránič s nadproud. ochranou šířka 2 moduly, 16A</t>
  </si>
  <si>
    <t>194</t>
  </si>
  <si>
    <t>210111011RT7</t>
  </si>
  <si>
    <t>Zásuvka domovní zapuštěná - provedení 2P+PE</t>
  </si>
  <si>
    <t>včetně dodávky zásuvky. Bez rámečku.</t>
  </si>
  <si>
    <t>195</t>
  </si>
  <si>
    <t>210110041RT6</t>
  </si>
  <si>
    <t>Spínač zapuštěný jednopólový, řazení 1</t>
  </si>
  <si>
    <t>vč. dodávky strojku, rámečku a krytu</t>
  </si>
  <si>
    <t>196</t>
  </si>
  <si>
    <t>210110054RT6</t>
  </si>
  <si>
    <t>Spínač zapuštěný střídavý dvojitý,  řazení 6+6</t>
  </si>
  <si>
    <t>197</t>
  </si>
  <si>
    <t>210110043RT6</t>
  </si>
  <si>
    <t>Spínač zapuštěný seriový, řazení 5</t>
  </si>
  <si>
    <t>198</t>
  </si>
  <si>
    <t>222730001R00</t>
  </si>
  <si>
    <t>Účastnická zásuvka TV+R+SAT koncová pod omítku</t>
  </si>
  <si>
    <t>199</t>
  </si>
  <si>
    <t>34536515</t>
  </si>
  <si>
    <t>Přístroj zásuvky TV+R+SAT, koncový (typ EU 3303) 5011-A3303</t>
  </si>
  <si>
    <t>200</t>
  </si>
  <si>
    <t>222490901R00</t>
  </si>
  <si>
    <t>Zásuvka telefonní pod omítku, do krabice</t>
  </si>
  <si>
    <t>201</t>
  </si>
  <si>
    <t>3745165110</t>
  </si>
  <si>
    <t>Zásuvka telefonní 1 x RJ11</t>
  </si>
  <si>
    <t>202</t>
  </si>
  <si>
    <t>371202013</t>
  </si>
  <si>
    <t>Zásuvka datová OPUS 2xRJ45</t>
  </si>
  <si>
    <t>203</t>
  </si>
  <si>
    <t>34536700</t>
  </si>
  <si>
    <t>Rámeček jednonásobný 3901A-B10</t>
  </si>
  <si>
    <t>204</t>
  </si>
  <si>
    <t>34536705</t>
  </si>
  <si>
    <t>Rámeček dvojnásobný, vodorovný 3901A-B20</t>
  </si>
  <si>
    <t>205</t>
  </si>
  <si>
    <t>34536710</t>
  </si>
  <si>
    <t>Rámeček trojnásobný, vodorovný 3901A-B30</t>
  </si>
  <si>
    <t>206</t>
  </si>
  <si>
    <t>650101576R00</t>
  </si>
  <si>
    <t>Montáž LED svítidla nástěnného přisaz. s čidlem</t>
  </si>
  <si>
    <t>207</t>
  </si>
  <si>
    <t>3481410001VD</t>
  </si>
  <si>
    <t>Svítidlo interiérové stropní 18 W s pohybovým čidlem PIR nebo RF</t>
  </si>
  <si>
    <t>208</t>
  </si>
  <si>
    <t>650031112R00</t>
  </si>
  <si>
    <t>Osazení rozvodnice do výklenku, pl. do 0,3 m2</t>
  </si>
  <si>
    <t>209</t>
  </si>
  <si>
    <t>357160001VD</t>
  </si>
  <si>
    <t>Rozvodnice zapuštěná 4-řadá  ABB UK648E3</t>
  </si>
  <si>
    <t>210</t>
  </si>
  <si>
    <t>Zapuštěná rozvodnice, multimediální SEZ C-BOX MSF 14M</t>
  </si>
  <si>
    <t>211</t>
  </si>
  <si>
    <t>37500007VD</t>
  </si>
  <si>
    <t>Super multifunkční relé ELKO SMR-H</t>
  </si>
  <si>
    <t>212</t>
  </si>
  <si>
    <t>210000002VD</t>
  </si>
  <si>
    <t>Revize elektro</t>
  </si>
  <si>
    <t>213</t>
  </si>
  <si>
    <t>M65</t>
  </si>
  <si>
    <t>Elektroinstalace</t>
  </si>
  <si>
    <t>214</t>
  </si>
  <si>
    <t>650125217RT2</t>
  </si>
  <si>
    <t>Uložení kabelu Cu 5 x 6 mm2 do trubky</t>
  </si>
  <si>
    <t>M65_</t>
  </si>
  <si>
    <t>včetně dodávky kabelu CYKY 5 x 6 mm2</t>
  </si>
  <si>
    <t>215</t>
  </si>
  <si>
    <t>650125213RT2</t>
  </si>
  <si>
    <t>Uložení kabelu Cu 5 x 2,5 mm2 do trubky</t>
  </si>
  <si>
    <t>včetně dodávky kabelu CYKY 5 x 2,5 mm2</t>
  </si>
  <si>
    <t>216</t>
  </si>
  <si>
    <t>650125143RT2</t>
  </si>
  <si>
    <t>Uložení kabelu Cu 3 x 2,5 mm2 do trubky</t>
  </si>
  <si>
    <t>včetně dodávky kabelu CYKY 3 x 2,5 mm2</t>
  </si>
  <si>
    <t>217</t>
  </si>
  <si>
    <t>650125141RT2</t>
  </si>
  <si>
    <t>Uložení kabelu Cu 3 x 1,5 mm2 do trubky</t>
  </si>
  <si>
    <t>včetně dodávky kabelu CYKY 3 x 1,5 mm2</t>
  </si>
  <si>
    <t>218</t>
  </si>
  <si>
    <t>650125211RT2</t>
  </si>
  <si>
    <t>Uložení kabelu Cu 5 x 1,5 mm2 do trubky</t>
  </si>
  <si>
    <t>včetně dodávky kabelu CYKY 5 x 1,5 mm2</t>
  </si>
  <si>
    <t>219</t>
  </si>
  <si>
    <t>222280001VD</t>
  </si>
  <si>
    <t>Koaxiální kabel v trubkách EMOS CB113UV</t>
  </si>
  <si>
    <t>Kabel koaxiální venkovní pro TV a SAT, třikrát stíněný</t>
  </si>
  <si>
    <t>220</t>
  </si>
  <si>
    <t>222280002VD</t>
  </si>
  <si>
    <t>Kabel instalační silikonový ohebný pro vývod k varné desce SIHF 5Cx2,5</t>
  </si>
  <si>
    <t>včetně kabelu SIHF 5Cx2,5</t>
  </si>
  <si>
    <t>221</t>
  </si>
  <si>
    <t>222280003VD</t>
  </si>
  <si>
    <t>FTP kabel Solarix SXKD-6-FTP-PE černý venkovní</t>
  </si>
  <si>
    <t>včetně kabelu SXKD-6-FTP-PE</t>
  </si>
  <si>
    <t>222</t>
  </si>
  <si>
    <t>222280004VD</t>
  </si>
  <si>
    <t>Instalační trubka plastová KOPOS MONOFLEX 1420</t>
  </si>
  <si>
    <t>vč. trubky KOPOS MONOFLEX 1420</t>
  </si>
  <si>
    <t>223</t>
  </si>
  <si>
    <t>222280005VD</t>
  </si>
  <si>
    <t>Instalační trubka plastová KOPOS MONOFLEX 1425</t>
  </si>
  <si>
    <t>vč. trubky KOPOS MONOFLEX 1425</t>
  </si>
  <si>
    <t>224</t>
  </si>
  <si>
    <t>225</t>
  </si>
  <si>
    <t>Celkem:</t>
  </si>
  <si>
    <t>Poznámka:</t>
  </si>
  <si>
    <t>Výkaz výměr</t>
  </si>
  <si>
    <t>Objekt</t>
  </si>
  <si>
    <t>Potřebné množství</t>
  </si>
  <si>
    <t>demontáž+montáž</t>
  </si>
  <si>
    <t>(1,74+0,8)*2,45-0,7*2,02*1</t>
  </si>
  <si>
    <t>příčka koupelna</t>
  </si>
  <si>
    <t>průrazy rozvod VZT</t>
  </si>
  <si>
    <t>plynovod</t>
  </si>
  <si>
    <t>zapravení rozvod VZT</t>
  </si>
  <si>
    <t>50+10</t>
  </si>
  <si>
    <t>rozvody elektro</t>
  </si>
  <si>
    <t>14,4+9,8+2</t>
  </si>
  <si>
    <t>rozvody vodovod</t>
  </si>
  <si>
    <t>9+14</t>
  </si>
  <si>
    <t>rozvody topení</t>
  </si>
  <si>
    <t>18,1+1</t>
  </si>
  <si>
    <t>rozvody kanalizace</t>
  </si>
  <si>
    <t>(1,74)*2,45</t>
  </si>
  <si>
    <t>příčka m.č.402</t>
  </si>
  <si>
    <t>m.č.402</t>
  </si>
  <si>
    <t>1,63*1,39+1,61*1,39+0,62*1,04+0,66*1,04+1,025*1,4</t>
  </si>
  <si>
    <t>okna</t>
  </si>
  <si>
    <t>1,1*2,22</t>
  </si>
  <si>
    <t>dveře</t>
  </si>
  <si>
    <t>(1,07+0,5)*1,5</t>
  </si>
  <si>
    <t>m.č.401</t>
  </si>
  <si>
    <t>(1,18+0,9+3,56+3,56-1,3+0,3+0,8+0,4)*1,5-0,62*0,3-0,66*0,3-1,025*0,66</t>
  </si>
  <si>
    <t>0,33129</t>
  </si>
  <si>
    <t>obklady koupelna</t>
  </si>
  <si>
    <t>obklady</t>
  </si>
  <si>
    <t>49,2+19,1</t>
  </si>
  <si>
    <t>zához drážky</t>
  </si>
  <si>
    <t>(2,49*2+2,49*2+0,5*2)*2,45-1,0*2,02*1-0,8*2,02*2</t>
  </si>
  <si>
    <t>(1,9*2+3,56*2)*2,425-0,62*1,04-0,66*1,04-1,025*1,4+(0,66+0,62+1,025+1,04*4+1,4*2)*0,3</t>
  </si>
  <si>
    <t>(3,78*2+3,69*2)*2,47-1,0*2,22-0,9*2,02-1,61*1,39+(1,61+1,39*2)*0,3</t>
  </si>
  <si>
    <t>m.č.403</t>
  </si>
  <si>
    <t>(4,95*2+4,96*2+0,49+1,15*2)*2,46-1,63*1,39-1*2,22*1+(1,63+2*1,39)*0,3</t>
  </si>
  <si>
    <t>m.č.404</t>
  </si>
  <si>
    <t>47,15</t>
  </si>
  <si>
    <t>stropy</t>
  </si>
  <si>
    <t>(1,9*2+3,56*2)*2,1-0,62*0,9-0,66*0,9-1,025*1,4+(0,66+0,62+1,025+0,9*4+1,4*2)*0,3</t>
  </si>
  <si>
    <t>((1,9*2+3,56*2)*2,1-0,62*0,9-0,66*0,9-1,025*1,4+(0,66+0,62+1,025+0,9*4+1,4*2)*0,3)*1,5*2</t>
  </si>
  <si>
    <t>;ztratné 5%; 3,443475</t>
  </si>
  <si>
    <t>1,9*2+3,56*2+2,1*8</t>
  </si>
  <si>
    <t>-((1,74)*2,45-0,8*2,02)*2</t>
  </si>
  <si>
    <t>příčka SDK</t>
  </si>
  <si>
    <t>(1,,63+2*1,39)+(1,61+1,39*2)+(0,66+1,04*2)*2+(1,025+2*1,4)</t>
  </si>
  <si>
    <t>(1,1+2,25*2)*2*2,5</t>
  </si>
  <si>
    <t>2*2*1</t>
  </si>
  <si>
    <t>zapravení průrazů</t>
  </si>
  <si>
    <t>dveře stávající</t>
  </si>
  <si>
    <t>2+5,5+1+1+3,5+3,1+1+1</t>
  </si>
  <si>
    <t>splašková kanalizace</t>
  </si>
  <si>
    <t>napojení na soupací potrubí</t>
  </si>
  <si>
    <t>3,6+1+1+1+1,2</t>
  </si>
  <si>
    <t>voda studená</t>
  </si>
  <si>
    <t>3,6+1+1+1</t>
  </si>
  <si>
    <t>voda teplá</t>
  </si>
  <si>
    <t>4,9</t>
  </si>
  <si>
    <t>studená voda</t>
  </si>
  <si>
    <t>teplá voda</t>
  </si>
  <si>
    <t>vodovod</t>
  </si>
  <si>
    <t>2,5+2,5+2,5+15,5</t>
  </si>
  <si>
    <t>stávající potrubí</t>
  </si>
  <si>
    <t>1,5+1,5+0,7</t>
  </si>
  <si>
    <t>rozvod plynu</t>
  </si>
  <si>
    <t>3,7</t>
  </si>
  <si>
    <t>plynové potrubí</t>
  </si>
  <si>
    <t>stávající topení</t>
  </si>
  <si>
    <t>umyvadlo koupelna</t>
  </si>
  <si>
    <t>koupelna</t>
  </si>
  <si>
    <t>kuchyně</t>
  </si>
  <si>
    <t>umyvadlo kooupelna</t>
  </si>
  <si>
    <t>WC koupelna</t>
  </si>
  <si>
    <t>sprcha koupelna</t>
  </si>
  <si>
    <t>vodoměr</t>
  </si>
  <si>
    <t>vodoměr+vana</t>
  </si>
  <si>
    <t>dvířka vodoměr</t>
  </si>
  <si>
    <t>sprcha</t>
  </si>
  <si>
    <t>digestoř kuchyňská</t>
  </si>
  <si>
    <t>VZT prostup stropem</t>
  </si>
  <si>
    <t>1,8+0,5</t>
  </si>
  <si>
    <t>VZT potrubí m.č.402</t>
  </si>
  <si>
    <t>5,2+0,5</t>
  </si>
  <si>
    <t>VZT potrubí m.č.403</t>
  </si>
  <si>
    <t>2,0+1,5</t>
  </si>
  <si>
    <t>odvod kondenzátu VZT</t>
  </si>
  <si>
    <t>VZT</t>
  </si>
  <si>
    <t>odvětrání VZT</t>
  </si>
  <si>
    <t>odvětrání VZT fasáda</t>
  </si>
  <si>
    <t>vytápění</t>
  </si>
  <si>
    <t>4,5*2</t>
  </si>
  <si>
    <t>rozovdy ÚT</t>
  </si>
  <si>
    <t>(5,5+1,5)*2</t>
  </si>
  <si>
    <t>otopná tělesa</t>
  </si>
  <si>
    <t>(3,5+1,6+3,5)*0,5</t>
  </si>
  <si>
    <t>kanalizace v podlaze</t>
  </si>
  <si>
    <t>kuchyňská linka</t>
  </si>
  <si>
    <t>kuch linka</t>
  </si>
  <si>
    <t>úprava pro VZT</t>
  </si>
  <si>
    <t>3,99</t>
  </si>
  <si>
    <t>m.č. 402</t>
  </si>
  <si>
    <t>3,99*0,15</t>
  </si>
  <si>
    <t>1,57605</t>
  </si>
  <si>
    <t>47,57</t>
  </si>
  <si>
    <t>m.č.401, 402, 403, 404</t>
  </si>
  <si>
    <t>47,57*0,06</t>
  </si>
  <si>
    <t>m.č.401 - 404</t>
  </si>
  <si>
    <t>m.č.401-404</t>
  </si>
  <si>
    <t>;ztratné 10%; 4,757</t>
  </si>
  <si>
    <t>47,57-3,99</t>
  </si>
  <si>
    <t>m.č.401, 403, 404</t>
  </si>
  <si>
    <t>6,47+3,99</t>
  </si>
  <si>
    <t>m.č.401, 402</t>
  </si>
  <si>
    <t>1,2*2+3,56*2</t>
  </si>
  <si>
    <t>2,49*2+2,49*2-0,8*3+2*0,3</t>
  </si>
  <si>
    <t>soklík m.č. 401</t>
  </si>
  <si>
    <t>47,15-4,68</t>
  </si>
  <si>
    <t>12,56+24,01</t>
  </si>
  <si>
    <t>m.č.403 a 404</t>
  </si>
  <si>
    <t>3,69*2+4,95*2+4,96*2+3,79*2-0,8*2</t>
  </si>
  <si>
    <t>m.č.403, 404</t>
  </si>
  <si>
    <t>;ztratné 5%; 1,659</t>
  </si>
  <si>
    <t>(0,2+0,6+0,2)*(2,3+2,3+1,2)*2</t>
  </si>
  <si>
    <t>dveře zárubně</t>
  </si>
  <si>
    <t>(1*2,2)*2*2</t>
  </si>
  <si>
    <t>dveře křídla</t>
  </si>
  <si>
    <t>(2,05+2,05+0,9)*(0,1+0,15+0,1)</t>
  </si>
  <si>
    <t>zárubně m.č.401</t>
  </si>
  <si>
    <t>(2,85+2,05+2,49+0,8)*2,45-1,0*2,02*2</t>
  </si>
  <si>
    <t>(1,18+0,9+3,56+3,56-1,3)*2,425-0,62*1,04-0,66*1,04-1,025*1,4+(0,66+0,62+1,025+1,04*4+1,4*2)*0,3</t>
  </si>
  <si>
    <t>PHP</t>
  </si>
  <si>
    <t>PBŘ</t>
  </si>
  <si>
    <t>elektro</t>
  </si>
  <si>
    <t>2+1+6</t>
  </si>
  <si>
    <t>2,5</t>
  </si>
  <si>
    <t>0,138</t>
  </si>
  <si>
    <t>Krycí list slepého rozpočtu</t>
  </si>
  <si>
    <t>IČO/DIČ:</t>
  </si>
  <si>
    <t>00303461/</t>
  </si>
  <si>
    <t>71779647/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</si>
  <si>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</si>
  <si>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</si>
  <si>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</si>
  <si>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</si>
  <si>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</si>
  <si>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</si>
  <si>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</si>
  <si>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</si>
  <si>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</si>
  <si>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</si>
  <si>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</si>
  <si>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</si>
  <si>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</si>
  <si>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</si>
  <si>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</si>
  <si>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</si>
  <si>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</si>
  <si>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</si>
  <si>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</si>
  <si>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</si>
  <si>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</si>
  <si>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</si>
  <si>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</si>
  <si>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</si>
  <si>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</si>
  <si>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</si>
  <si>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</si>
  <si>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</si>
  <si>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</si>
  <si>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</si>
  <si>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</si>
  <si>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</si>
  <si>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</si>
  <si>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</si>
  <si>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</si>
  <si>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</si>
  <si>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</si>
  <si>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</si>
  <si>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</si>
  <si>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</si>
  <si>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</si>
  <si>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</si>
  <si>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</si>
  <si>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</si>
  <si>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</si>
  <si>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</si>
  <si>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</si>
  <si>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</si>
  <si>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</si>
  <si>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</si>
  <si>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</si>
  <si>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</si>
  <si>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</si>
  <si>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</si>
  <si>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r>
      <t>Byt č.4,</t>
    </r>
    <r>
      <rPr>
        <sz val="11"/>
        <rFont val="Calibri"/>
        <charset val="1"/>
      </rPr>
      <t xml:space="preserve"> č.p.1326/5, 3. NP</t>
    </r>
  </si>
  <si>
    <t>Název</t>
  </si>
  <si>
    <t>Označení výrobce</t>
  </si>
  <si>
    <t>Počet ks</t>
  </si>
  <si>
    <t>IS-25/3 25A</t>
  </si>
  <si>
    <t>Svodič přepětí B+C</t>
  </si>
  <si>
    <t>SPBT12-280/4</t>
  </si>
  <si>
    <t>PL6-B16/3 16A</t>
  </si>
  <si>
    <t>LMF-10B-1N-030A</t>
  </si>
  <si>
    <t>PFL6-10/1N/B/003</t>
  </si>
  <si>
    <t>PFL6-16/1N/B/003</t>
  </si>
  <si>
    <t>Vývodka kabelová se svorkovnicí ABB 5P (varná deska)</t>
  </si>
  <si>
    <t>3938A-A106B</t>
  </si>
  <si>
    <t>Zásuvka jednonásobná s ochranným kolíkem, s clonkami</t>
  </si>
  <si>
    <t>5519A-A02357 B</t>
  </si>
  <si>
    <t>Přístroj spínače jednopólového (1)</t>
  </si>
  <si>
    <t>3559-A01345</t>
  </si>
  <si>
    <t>Přístroj přepínače střídavého dvojitého (6+6)</t>
  </si>
  <si>
    <t>3559-A52345</t>
  </si>
  <si>
    <t>Přístroj přepínače sériového (5)</t>
  </si>
  <si>
    <t>3559-A05345</t>
  </si>
  <si>
    <t>Přístroj zásuvky anténní TV, rozhlasové a satelitní - koncové</t>
  </si>
  <si>
    <t>5011-A3303</t>
  </si>
  <si>
    <t>Přístroj zásuvky datové Modular Jack RJ 45-8 Cat. 6</t>
  </si>
  <si>
    <t>RJ45C6U</t>
  </si>
  <si>
    <t>Kryt zásuvky anténní s 3 otvory</t>
  </si>
  <si>
    <t>5011C-A201 B1</t>
  </si>
  <si>
    <t>Kryt zásuvky komunikační</t>
  </si>
  <si>
    <t>5014A-A02018 B</t>
  </si>
  <si>
    <t>Rámeček pro  el.přístroje, jednonásobný</t>
  </si>
  <si>
    <t>3901A-B10 B</t>
  </si>
  <si>
    <t>Rámeček pro el. přístroje, dvojnásobný vodorovný</t>
  </si>
  <si>
    <t>3901A-B20 B</t>
  </si>
  <si>
    <t>Rámeček pro el. přístroje, dvojnásobný svislý</t>
  </si>
  <si>
    <t>3901A-B21 B</t>
  </si>
  <si>
    <t>Rámeček pro el. přístroje, trojnásobný vodorovný</t>
  </si>
  <si>
    <t>3901A-B30 B</t>
  </si>
  <si>
    <t>Stropní LED svítidlo s pohybovým čidlem PIR nebo RF např.</t>
  </si>
  <si>
    <t>JOTA 18W</t>
  </si>
  <si>
    <r>
      <t xml:space="preserve">Zapuštěná rozvodnice, 3-řadá </t>
    </r>
    <r>
      <rPr>
        <b/>
        <sz val="11"/>
        <color theme="1"/>
        <rFont val="Calibri"/>
        <family val="2"/>
        <charset val="238"/>
        <scheme val="minor"/>
      </rPr>
      <t>např</t>
    </r>
    <r>
      <rPr>
        <sz val="11"/>
        <rFont val="Calibri"/>
        <charset val="1"/>
      </rPr>
      <t>. ABB UK636E3</t>
    </r>
  </si>
  <si>
    <t>2CPX077842R9999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</si>
</sst>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  <charset val="1"/>
    </font>
    <font>
      <sz val="1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8E1D8"/>
        <bgColor rgb="FFC8E1D8"/>
      </patternFill>
    </fill>
    <fill>
      <patternFill patternType="solid">
        <fgColor theme="9" tint="0.79998168889431442"/>
        <bgColor indexed="64"/>
      </patternFill>
    </fill>
  </fills>
  <borders count="10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C0C0C0"/>
      </left>
      <right/>
      <top/>
      <bottom/>
      <diagonal/>
    </border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2" fillId="0" borderId="87"/>
  </cellStyleXfs>
  <cellXfs count="198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4" fontId="2" fillId="2" borderId="29" xfId="0" applyNumberFormat="1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right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  <xf numFmtId="4" fontId="3" fillId="3" borderId="32" xfId="0" applyNumberFormat="1" applyFont="1" applyFill="1" applyBorder="1" applyAlignment="1">
      <alignment horizontal="right" vertical="center"/>
    </xf>
    <xf numFmtId="0" fontId="3" fillId="3" borderId="33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3" borderId="34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4" fontId="3" fillId="3" borderId="35" xfId="0" applyNumberFormat="1" applyFont="1" applyFill="1" applyBorder="1" applyAlignment="1">
      <alignment horizontal="right" vertical="center"/>
    </xf>
    <xf numFmtId="0" fontId="3" fillId="3" borderId="36" xfId="0" applyFont="1" applyFill="1" applyBorder="1" applyAlignment="1">
      <alignment horizontal="right" vertical="center"/>
    </xf>
    <xf numFmtId="0" fontId="0" fillId="0" borderId="37" xfId="0" applyBorder="1"/>
    <xf numFmtId="0" fontId="4" fillId="0" borderId="38" xfId="0" applyFont="1" applyBorder="1" applyAlignment="1">
      <alignment horizontal="right" vertical="center"/>
    </xf>
    <xf numFmtId="0" fontId="3" fillId="2" borderId="37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4" fontId="2" fillId="2" borderId="38" xfId="0" applyNumberFormat="1" applyFont="1" applyFill="1" applyBorder="1" applyAlignment="1">
      <alignment horizontal="right" vertical="center"/>
    </xf>
    <xf numFmtId="0" fontId="2" fillId="2" borderId="39" xfId="0" applyFont="1" applyFill="1" applyBorder="1" applyAlignment="1">
      <alignment horizontal="right" vertical="center"/>
    </xf>
    <xf numFmtId="0" fontId="3" fillId="3" borderId="40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4" fontId="3" fillId="3" borderId="41" xfId="0" applyNumberFormat="1" applyFont="1" applyFill="1" applyBorder="1" applyAlignment="1">
      <alignment horizontal="right" vertical="center"/>
    </xf>
    <xf numFmtId="0" fontId="3" fillId="3" borderId="42" xfId="0" applyFont="1" applyFill="1" applyBorder="1" applyAlignment="1">
      <alignment horizontal="right" vertical="center"/>
    </xf>
    <xf numFmtId="4" fontId="2" fillId="0" borderId="43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8" xfId="0" applyFont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4" fontId="3" fillId="0" borderId="51" xfId="0" applyNumberFormat="1" applyFont="1" applyBorder="1" applyAlignment="1">
      <alignment horizontal="right" vertical="center"/>
    </xf>
    <xf numFmtId="4" fontId="3" fillId="0" borderId="52" xfId="0" applyNumberFormat="1" applyFont="1" applyBorder="1" applyAlignment="1">
      <alignment horizontal="right" vertical="center"/>
    </xf>
    <xf numFmtId="0" fontId="0" fillId="0" borderId="5" xfId="0" applyBorder="1"/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right" vertical="center"/>
    </xf>
    <xf numFmtId="0" fontId="0" fillId="0" borderId="6" xfId="0" applyBorder="1"/>
    <xf numFmtId="4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0" fillId="0" borderId="53" xfId="0" applyBorder="1"/>
    <xf numFmtId="0" fontId="0" fillId="0" borderId="54" xfId="0" applyBorder="1"/>
    <xf numFmtId="0" fontId="6" fillId="0" borderId="54" xfId="0" applyFont="1" applyBorder="1" applyAlignment="1">
      <alignment horizontal="left" vertical="center"/>
    </xf>
    <xf numFmtId="4" fontId="6" fillId="0" borderId="54" xfId="0" applyNumberFormat="1" applyFont="1" applyBorder="1" applyAlignment="1">
      <alignment horizontal="right" vertical="center"/>
    </xf>
    <xf numFmtId="0" fontId="0" fillId="0" borderId="55" xfId="0" applyBorder="1"/>
    <xf numFmtId="0" fontId="8" fillId="2" borderId="57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0" fillId="0" borderId="61" xfId="0" applyFont="1" applyBorder="1" applyAlignment="1">
      <alignment horizontal="left" vertical="center"/>
    </xf>
    <xf numFmtId="0" fontId="11" fillId="0" borderId="62" xfId="0" applyFont="1" applyBorder="1" applyAlignment="1">
      <alignment horizontal="left" vertical="center"/>
    </xf>
    <xf numFmtId="4" fontId="11" fillId="0" borderId="62" xfId="0" applyNumberFormat="1" applyFont="1" applyBorder="1" applyAlignment="1">
      <alignment horizontal="right" vertical="center"/>
    </xf>
    <xf numFmtId="0" fontId="11" fillId="0" borderId="62" xfId="0" applyFont="1" applyBorder="1" applyAlignment="1">
      <alignment horizontal="right" vertical="center"/>
    </xf>
    <xf numFmtId="0" fontId="10" fillId="0" borderId="65" xfId="0" applyFont="1" applyBorder="1" applyAlignment="1">
      <alignment horizontal="left" vertical="center"/>
    </xf>
    <xf numFmtId="4" fontId="11" fillId="0" borderId="69" xfId="0" applyNumberFormat="1" applyFont="1" applyBorder="1" applyAlignment="1">
      <alignment horizontal="right" vertical="center"/>
    </xf>
    <xf numFmtId="0" fontId="11" fillId="0" borderId="69" xfId="0" applyFont="1" applyBorder="1" applyAlignment="1">
      <alignment horizontal="right" vertical="center"/>
    </xf>
    <xf numFmtId="4" fontId="11" fillId="0" borderId="60" xfId="0" applyNumberFormat="1" applyFont="1" applyBorder="1" applyAlignment="1">
      <alignment horizontal="right" vertical="center"/>
    </xf>
    <xf numFmtId="4" fontId="11" fillId="0" borderId="25" xfId="0" applyNumberFormat="1" applyFont="1" applyBorder="1" applyAlignment="1">
      <alignment horizontal="right" vertical="center"/>
    </xf>
    <xf numFmtId="4" fontId="10" fillId="2" borderId="59" xfId="0" applyNumberFormat="1" applyFont="1" applyFill="1" applyBorder="1" applyAlignment="1">
      <alignment horizontal="right" vertical="center"/>
    </xf>
    <xf numFmtId="4" fontId="10" fillId="2" borderId="64" xfId="0" applyNumberFormat="1" applyFont="1" applyFill="1" applyBorder="1" applyAlignment="1">
      <alignment horizontal="right" vertical="center"/>
    </xf>
    <xf numFmtId="0" fontId="5" fillId="0" borderId="51" xfId="0" applyFont="1" applyBorder="1" applyAlignment="1">
      <alignment horizontal="left" vertical="center"/>
    </xf>
    <xf numFmtId="0" fontId="2" fillId="0" borderId="85" xfId="0" applyFont="1" applyBorder="1" applyAlignment="1">
      <alignment horizontal="right" vertical="center"/>
    </xf>
    <xf numFmtId="4" fontId="3" fillId="0" borderId="62" xfId="0" applyNumberFormat="1" applyFont="1" applyBorder="1" applyAlignment="1">
      <alignment horizontal="right" vertical="center"/>
    </xf>
    <xf numFmtId="0" fontId="3" fillId="0" borderId="62" xfId="0" applyFont="1" applyBorder="1" applyAlignment="1">
      <alignment horizontal="left" vertical="center"/>
    </xf>
    <xf numFmtId="4" fontId="3" fillId="0" borderId="89" xfId="0" applyNumberFormat="1" applyFont="1" applyBorder="1" applyAlignment="1">
      <alignment horizontal="right" vertical="center"/>
    </xf>
    <xf numFmtId="0" fontId="3" fillId="0" borderId="89" xfId="0" applyFont="1" applyBorder="1" applyAlignment="1">
      <alignment horizontal="left" vertical="center"/>
    </xf>
    <xf numFmtId="0" fontId="2" fillId="0" borderId="93" xfId="0" applyFont="1" applyBorder="1" applyAlignment="1">
      <alignment horizontal="left" vertical="center"/>
    </xf>
    <xf numFmtId="0" fontId="2" fillId="0" borderId="93" xfId="0" applyFont="1" applyBorder="1" applyAlignment="1">
      <alignment horizontal="right" vertical="center"/>
    </xf>
    <xf numFmtId="4" fontId="2" fillId="0" borderId="9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/>
    </xf>
    <xf numFmtId="0" fontId="4" fillId="0" borderId="38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0" fillId="0" borderId="71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1" fillId="0" borderId="63" xfId="0" applyFont="1" applyBorder="1" applyAlignment="1">
      <alignment horizontal="left" vertical="center"/>
    </xf>
    <xf numFmtId="0" fontId="11" fillId="0" borderId="64" xfId="0" applyFont="1" applyBorder="1" applyAlignment="1">
      <alignment horizontal="left" vertical="center"/>
    </xf>
    <xf numFmtId="0" fontId="11" fillId="0" borderId="70" xfId="0" applyFont="1" applyBorder="1" applyAlignment="1">
      <alignment horizontal="left" vertical="center"/>
    </xf>
    <xf numFmtId="0" fontId="11" fillId="0" borderId="68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10" fillId="2" borderId="71" xfId="0" applyFont="1" applyFill="1" applyBorder="1" applyAlignment="1">
      <alignment horizontal="left" vertical="center"/>
    </xf>
    <xf numFmtId="0" fontId="10" fillId="2" borderId="72" xfId="0" applyFont="1" applyFill="1" applyBorder="1" applyAlignment="1">
      <alignment horizontal="left" vertical="center"/>
    </xf>
    <xf numFmtId="0" fontId="10" fillId="2" borderId="66" xfId="0" applyFont="1" applyFill="1" applyBorder="1" applyAlignment="1">
      <alignment horizontal="left" vertical="center"/>
    </xf>
    <xf numFmtId="0" fontId="10" fillId="2" borderId="73" xfId="0" applyFont="1" applyFill="1" applyBorder="1" applyAlignment="1">
      <alignment horizontal="left" vertical="center"/>
    </xf>
    <xf numFmtId="0" fontId="10" fillId="2" borderId="58" xfId="0" applyFont="1" applyFill="1" applyBorder="1" applyAlignment="1">
      <alignment horizontal="left" vertical="center"/>
    </xf>
    <xf numFmtId="0" fontId="10" fillId="2" borderId="63" xfId="0" applyFont="1" applyFill="1" applyBorder="1" applyAlignment="1">
      <alignment horizontal="left" vertical="center"/>
    </xf>
    <xf numFmtId="0" fontId="11" fillId="0" borderId="74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0" borderId="76" xfId="0" applyFont="1" applyBorder="1" applyAlignment="1">
      <alignment horizontal="left" vertical="center"/>
    </xf>
    <xf numFmtId="0" fontId="11" fillId="0" borderId="7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9" xfId="0" applyFont="1" applyBorder="1" applyAlignment="1">
      <alignment horizontal="left" vertical="center"/>
    </xf>
    <xf numFmtId="0" fontId="11" fillId="0" borderId="81" xfId="0" applyFont="1" applyBorder="1" applyAlignment="1">
      <alignment horizontal="left" vertical="center"/>
    </xf>
    <xf numFmtId="0" fontId="11" fillId="0" borderId="82" xfId="0" applyFont="1" applyBorder="1" applyAlignment="1">
      <alignment horizontal="left" vertical="center"/>
    </xf>
    <xf numFmtId="0" fontId="11" fillId="0" borderId="83" xfId="0" applyFont="1" applyBorder="1" applyAlignment="1">
      <alignment horizontal="left" vertical="center"/>
    </xf>
    <xf numFmtId="0" fontId="11" fillId="0" borderId="77" xfId="0" applyFont="1" applyBorder="1" applyAlignment="1">
      <alignment horizontal="left" vertical="center"/>
    </xf>
    <xf numFmtId="0" fontId="11" fillId="0" borderId="80" xfId="0" applyFont="1" applyBorder="1" applyAlignment="1">
      <alignment horizontal="left" vertical="center"/>
    </xf>
    <xf numFmtId="0" fontId="11" fillId="0" borderId="84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0" borderId="86" xfId="0" applyFont="1" applyBorder="1" applyAlignment="1">
      <alignment horizontal="left" vertical="center"/>
    </xf>
    <xf numFmtId="0" fontId="3" fillId="0" borderId="87" xfId="0" applyFont="1" applyBorder="1" applyAlignment="1">
      <alignment horizontal="left" vertical="center"/>
    </xf>
    <xf numFmtId="0" fontId="3" fillId="0" borderId="88" xfId="0" applyFont="1" applyBorder="1" applyAlignment="1">
      <alignment horizontal="left" vertical="center"/>
    </xf>
    <xf numFmtId="0" fontId="2" fillId="0" borderId="90" xfId="0" applyFont="1" applyBorder="1" applyAlignment="1">
      <alignment horizontal="left" vertical="center"/>
    </xf>
    <xf numFmtId="0" fontId="2" fillId="0" borderId="91" xfId="0" applyFont="1" applyBorder="1" applyAlignment="1">
      <alignment horizontal="left" vertical="center"/>
    </xf>
    <xf numFmtId="0" fontId="2" fillId="0" borderId="92" xfId="0" applyFont="1" applyBorder="1" applyAlignment="1">
      <alignment horizontal="left" vertical="center"/>
    </xf>
    <xf numFmtId="0" fontId="10" fillId="0" borderId="90" xfId="0" applyFont="1" applyBorder="1" applyAlignment="1">
      <alignment horizontal="left" vertical="center"/>
    </xf>
    <xf numFmtId="0" fontId="10" fillId="0" borderId="91" xfId="0" applyFont="1" applyBorder="1" applyAlignment="1">
      <alignment horizontal="left" vertical="center"/>
    </xf>
    <xf numFmtId="0" fontId="10" fillId="0" borderId="92" xfId="0" applyFont="1" applyBorder="1" applyAlignment="1">
      <alignment horizontal="left" vertical="center"/>
    </xf>
    <xf numFmtId="4" fontId="10" fillId="0" borderId="94" xfId="0" applyNumberFormat="1" applyFont="1" applyBorder="1" applyAlignment="1">
      <alignment horizontal="right" vertical="center"/>
    </xf>
    <xf numFmtId="0" fontId="10" fillId="0" borderId="91" xfId="0" applyFont="1" applyBorder="1" applyAlignment="1">
      <alignment horizontal="right" vertical="center"/>
    </xf>
    <xf numFmtId="0" fontId="10" fillId="0" borderId="92" xfId="0" applyFont="1" applyBorder="1" applyAlignment="1">
      <alignment horizontal="right" vertical="center"/>
    </xf>
    <xf numFmtId="0" fontId="13" fillId="4" borderId="95" xfId="1" applyFont="1" applyFill="1" applyBorder="1" applyAlignment="1">
      <alignment horizontal="center"/>
    </xf>
    <xf numFmtId="0" fontId="13" fillId="4" borderId="96" xfId="1" applyFont="1" applyFill="1" applyBorder="1" applyAlignment="1">
      <alignment horizontal="center"/>
    </xf>
    <xf numFmtId="0" fontId="13" fillId="4" borderId="97" xfId="1" applyFont="1" applyFill="1" applyBorder="1" applyAlignment="1">
      <alignment horizontal="center"/>
    </xf>
    <xf numFmtId="0" fontId="12" fillId="0" borderId="87" xfId="1"/>
    <xf numFmtId="0" fontId="13" fillId="0" borderId="98" xfId="1" applyFont="1" applyBorder="1" applyAlignment="1">
      <alignment horizontal="center"/>
    </xf>
    <xf numFmtId="0" fontId="13" fillId="0" borderId="99" xfId="1" applyFont="1" applyBorder="1" applyAlignment="1">
      <alignment horizontal="center"/>
    </xf>
    <xf numFmtId="0" fontId="13" fillId="0" borderId="100" xfId="1" applyFont="1" applyBorder="1" applyAlignment="1">
      <alignment horizontal="center"/>
    </xf>
    <xf numFmtId="0" fontId="12" fillId="0" borderId="101" xfId="1" applyBorder="1"/>
    <xf numFmtId="0" fontId="12" fillId="0" borderId="87" xfId="1" applyAlignment="1">
      <alignment horizontal="center"/>
    </xf>
    <xf numFmtId="0" fontId="12" fillId="0" borderId="102" xfId="1" applyBorder="1" applyAlignment="1">
      <alignment horizontal="center"/>
    </xf>
  </cellXfs>
  <cellStyles count="2">
    <cellStyle name="Normální" xfId="0" builtinId="0"/>
    <cellStyle name="Normální 2" xfId="1" xr:uid="{BB67E4BA-8851-44F3-B71F-16DE1F54ED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"/>
  <sheetViews>
    <sheetView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30" t="s">
        <v>961</v>
      </c>
      <c r="B1" s="88"/>
      <c r="C1" s="88"/>
      <c r="D1" s="88"/>
      <c r="E1" s="88"/>
      <c r="F1" s="88"/>
      <c r="G1" s="88"/>
      <c r="H1" s="88"/>
      <c r="I1" s="88"/>
    </row>
    <row r="2" spans="1:9" x14ac:dyDescent="0.25">
      <c r="A2" s="89" t="s">
        <v>1</v>
      </c>
      <c r="B2" s="90"/>
      <c r="C2" s="98" t="str">
        <f>'Stavební rozpočet'!C2</f>
        <v>Revitalizace městských bytů v Šumperku - BJ č.4</v>
      </c>
      <c r="D2" s="99"/>
      <c r="E2" s="96" t="s">
        <v>5</v>
      </c>
      <c r="F2" s="96" t="str">
        <f>'Stavební rozpočet'!I2</f>
        <v>Město Šumperk, nám. Míru 1, 787 01 Šumperk</v>
      </c>
      <c r="G2" s="90"/>
      <c r="H2" s="96" t="s">
        <v>962</v>
      </c>
      <c r="I2" s="101" t="s">
        <v>963</v>
      </c>
    </row>
    <row r="3" spans="1:9" ht="15" customHeight="1" x14ac:dyDescent="0.25">
      <c r="A3" s="91"/>
      <c r="B3" s="92"/>
      <c r="C3" s="100"/>
      <c r="D3" s="100"/>
      <c r="E3" s="92"/>
      <c r="F3" s="92"/>
      <c r="G3" s="92"/>
      <c r="H3" s="92"/>
      <c r="I3" s="102"/>
    </row>
    <row r="4" spans="1:9" x14ac:dyDescent="0.25">
      <c r="A4" s="93" t="s">
        <v>7</v>
      </c>
      <c r="B4" s="92"/>
      <c r="C4" s="97" t="str">
        <f>'Stavební rozpočet'!C4</f>
        <v>Bytový dům</v>
      </c>
      <c r="D4" s="92"/>
      <c r="E4" s="97" t="s">
        <v>10</v>
      </c>
      <c r="F4" s="97" t="str">
        <f>'Stavební rozpočet'!I4</f>
        <v>Ing. Petr Doleček</v>
      </c>
      <c r="G4" s="92"/>
      <c r="H4" s="97" t="s">
        <v>962</v>
      </c>
      <c r="I4" s="102" t="s">
        <v>964</v>
      </c>
    </row>
    <row r="5" spans="1:9" ht="15" customHeight="1" x14ac:dyDescent="0.25">
      <c r="A5" s="91"/>
      <c r="B5" s="92"/>
      <c r="C5" s="92"/>
      <c r="D5" s="92"/>
      <c r="E5" s="92"/>
      <c r="F5" s="92"/>
      <c r="G5" s="92"/>
      <c r="H5" s="92"/>
      <c r="I5" s="102"/>
    </row>
    <row r="6" spans="1:9" x14ac:dyDescent="0.25">
      <c r="A6" s="93" t="s">
        <v>12</v>
      </c>
      <c r="B6" s="92"/>
      <c r="C6" s="97" t="str">
        <f>'Stavební rozpočet'!C6</f>
        <v>17.listopadu 1326/5 Šumperk</v>
      </c>
      <c r="D6" s="92"/>
      <c r="E6" s="97" t="s">
        <v>15</v>
      </c>
      <c r="F6" s="97" t="str">
        <f>'Stavební rozpočet'!I6</f>
        <v> </v>
      </c>
      <c r="G6" s="92"/>
      <c r="H6" s="97" t="s">
        <v>962</v>
      </c>
      <c r="I6" s="102" t="s">
        <v>50</v>
      </c>
    </row>
    <row r="7" spans="1:9" ht="15" customHeight="1" x14ac:dyDescent="0.25">
      <c r="A7" s="91"/>
      <c r="B7" s="92"/>
      <c r="C7" s="92"/>
      <c r="D7" s="92"/>
      <c r="E7" s="92"/>
      <c r="F7" s="92"/>
      <c r="G7" s="92"/>
      <c r="H7" s="92"/>
      <c r="I7" s="102"/>
    </row>
    <row r="8" spans="1:9" x14ac:dyDescent="0.25">
      <c r="A8" s="93" t="s">
        <v>9</v>
      </c>
      <c r="B8" s="92"/>
      <c r="C8" s="97" t="str">
        <f>'Stavební rozpočet'!G4</f>
        <v xml:space="preserve"> </v>
      </c>
      <c r="D8" s="92"/>
      <c r="E8" s="97" t="s">
        <v>14</v>
      </c>
      <c r="F8" s="97" t="str">
        <f>'Stavební rozpočet'!G6</f>
        <v xml:space="preserve"> </v>
      </c>
      <c r="G8" s="92"/>
      <c r="H8" s="92" t="s">
        <v>965</v>
      </c>
      <c r="I8" s="133">
        <v>225</v>
      </c>
    </row>
    <row r="9" spans="1:9" x14ac:dyDescent="0.25">
      <c r="A9" s="91"/>
      <c r="B9" s="92"/>
      <c r="C9" s="92"/>
      <c r="D9" s="92"/>
      <c r="E9" s="92"/>
      <c r="F9" s="92"/>
      <c r="G9" s="92"/>
      <c r="H9" s="92"/>
      <c r="I9" s="102"/>
    </row>
    <row r="10" spans="1:9" x14ac:dyDescent="0.25">
      <c r="A10" s="93" t="s">
        <v>17</v>
      </c>
      <c r="B10" s="92"/>
      <c r="C10" s="97" t="str">
        <f>'Stavební rozpočet'!C8</f>
        <v xml:space="preserve"> </v>
      </c>
      <c r="D10" s="92"/>
      <c r="E10" s="97" t="s">
        <v>20</v>
      </c>
      <c r="F10" s="97" t="str">
        <f>'Stavební rozpočet'!I8</f>
        <v>Ing. Petr Doleček</v>
      </c>
      <c r="G10" s="92"/>
      <c r="H10" s="92" t="s">
        <v>966</v>
      </c>
      <c r="I10" s="134" t="str">
        <f>'Stavební rozpočet'!G8</f>
        <v>26.06.2024</v>
      </c>
    </row>
    <row r="11" spans="1:9" x14ac:dyDescent="0.25">
      <c r="A11" s="131"/>
      <c r="B11" s="132"/>
      <c r="C11" s="132"/>
      <c r="D11" s="132"/>
      <c r="E11" s="132"/>
      <c r="F11" s="132"/>
      <c r="G11" s="132"/>
      <c r="H11" s="132"/>
      <c r="I11" s="135"/>
    </row>
    <row r="12" spans="1:9" ht="23.25" x14ac:dyDescent="0.25">
      <c r="A12" s="136" t="s">
        <v>967</v>
      </c>
      <c r="B12" s="136"/>
      <c r="C12" s="136"/>
      <c r="D12" s="136"/>
      <c r="E12" s="136"/>
      <c r="F12" s="136"/>
      <c r="G12" s="136"/>
      <c r="H12" s="136"/>
      <c r="I12" s="136"/>
    </row>
    <row r="13" spans="1:9" ht="26.25" customHeight="1" x14ac:dyDescent="0.25">
      <c r="A13" s="66" t="s">
        <v>968</v>
      </c>
      <c r="B13" s="137" t="s">
        <v>969</v>
      </c>
      <c r="C13" s="138"/>
      <c r="D13" s="67" t="s">
        <v>970</v>
      </c>
      <c r="E13" s="137" t="s">
        <v>971</v>
      </c>
      <c r="F13" s="138"/>
      <c r="G13" s="67" t="s">
        <v>972</v>
      </c>
      <c r="H13" s="137" t="s">
        <v>973</v>
      </c>
      <c r="I13" s="138"/>
    </row>
    <row r="14" spans="1:9" ht="15.75" x14ac:dyDescent="0.25">
      <c r="A14" s="68" t="s">
        <v>974</v>
      </c>
      <c r="B14" s="69" t="s">
        <v>975</v>
      </c>
      <c r="C14" s="70">
        <f>SUM('Stavební rozpočet'!AB12:AB299)</f>
        <v>0</v>
      </c>
      <c r="D14" s="145" t="s">
        <v>976</v>
      </c>
      <c r="E14" s="146"/>
      <c r="F14" s="70">
        <f>VORN!I15</f>
        <v>0</v>
      </c>
      <c r="G14" s="145" t="s">
        <v>977</v>
      </c>
      <c r="H14" s="146"/>
      <c r="I14" s="71">
        <f>VORN!I21</f>
        <v>0</v>
      </c>
    </row>
    <row r="15" spans="1:9" ht="15.75" x14ac:dyDescent="0.25">
      <c r="A15" s="72" t="s">
        <v>50</v>
      </c>
      <c r="B15" s="69" t="s">
        <v>35</v>
      </c>
      <c r="C15" s="70">
        <f>SUM('Stavební rozpočet'!AC12:AC299)</f>
        <v>0</v>
      </c>
      <c r="D15" s="145" t="s">
        <v>978</v>
      </c>
      <c r="E15" s="146"/>
      <c r="F15" s="70">
        <f>VORN!I16</f>
        <v>0</v>
      </c>
      <c r="G15" s="145" t="s">
        <v>979</v>
      </c>
      <c r="H15" s="146"/>
      <c r="I15" s="71">
        <f>VORN!I22</f>
        <v>0</v>
      </c>
    </row>
    <row r="16" spans="1:9" ht="15.75" x14ac:dyDescent="0.25">
      <c r="A16" s="68" t="s">
        <v>980</v>
      </c>
      <c r="B16" s="69" t="s">
        <v>975</v>
      </c>
      <c r="C16" s="70">
        <f>SUM('Stavební rozpočet'!AD12:AD299)</f>
        <v>0</v>
      </c>
      <c r="D16" s="145" t="s">
        <v>981</v>
      </c>
      <c r="E16" s="146"/>
      <c r="F16" s="70">
        <f>VORN!I17</f>
        <v>0</v>
      </c>
      <c r="G16" s="145" t="s">
        <v>982</v>
      </c>
      <c r="H16" s="146"/>
      <c r="I16" s="71">
        <f>VORN!I23</f>
        <v>0</v>
      </c>
    </row>
    <row r="17" spans="1:9" ht="15.75" x14ac:dyDescent="0.25">
      <c r="A17" s="72" t="s">
        <v>50</v>
      </c>
      <c r="B17" s="69" t="s">
        <v>35</v>
      </c>
      <c r="C17" s="70">
        <f>SUM('Stavební rozpočet'!AE12:AE299)</f>
        <v>0</v>
      </c>
      <c r="D17" s="145" t="s">
        <v>50</v>
      </c>
      <c r="E17" s="146"/>
      <c r="F17" s="71" t="s">
        <v>50</v>
      </c>
      <c r="G17" s="145" t="s">
        <v>983</v>
      </c>
      <c r="H17" s="146"/>
      <c r="I17" s="71">
        <f>VORN!I24</f>
        <v>0</v>
      </c>
    </row>
    <row r="18" spans="1:9" ht="15.75" x14ac:dyDescent="0.25">
      <c r="A18" s="68" t="s">
        <v>984</v>
      </c>
      <c r="B18" s="69" t="s">
        <v>975</v>
      </c>
      <c r="C18" s="70">
        <f>SUM('Stavební rozpočet'!AF12:AF299)</f>
        <v>0</v>
      </c>
      <c r="D18" s="145" t="s">
        <v>50</v>
      </c>
      <c r="E18" s="146"/>
      <c r="F18" s="71" t="s">
        <v>50</v>
      </c>
      <c r="G18" s="145" t="s">
        <v>985</v>
      </c>
      <c r="H18" s="146"/>
      <c r="I18" s="71">
        <f>VORN!I25</f>
        <v>0</v>
      </c>
    </row>
    <row r="19" spans="1:9" ht="15.75" x14ac:dyDescent="0.25">
      <c r="A19" s="72" t="s">
        <v>50</v>
      </c>
      <c r="B19" s="69" t="s">
        <v>35</v>
      </c>
      <c r="C19" s="70">
        <f>SUM('Stavební rozpočet'!AG12:AG299)</f>
        <v>0</v>
      </c>
      <c r="D19" s="145" t="s">
        <v>50</v>
      </c>
      <c r="E19" s="146"/>
      <c r="F19" s="71" t="s">
        <v>50</v>
      </c>
      <c r="G19" s="145" t="s">
        <v>986</v>
      </c>
      <c r="H19" s="146"/>
      <c r="I19" s="71">
        <f>VORN!I26</f>
        <v>0</v>
      </c>
    </row>
    <row r="20" spans="1:9" ht="15.75" x14ac:dyDescent="0.25">
      <c r="A20" s="139" t="s">
        <v>987</v>
      </c>
      <c r="B20" s="140"/>
      <c r="C20" s="70">
        <f>SUM('Stavební rozpočet'!AH12:AH299)</f>
        <v>0</v>
      </c>
      <c r="D20" s="145" t="s">
        <v>50</v>
      </c>
      <c r="E20" s="146"/>
      <c r="F20" s="71" t="s">
        <v>50</v>
      </c>
      <c r="G20" s="145" t="s">
        <v>50</v>
      </c>
      <c r="H20" s="146"/>
      <c r="I20" s="71" t="s">
        <v>50</v>
      </c>
    </row>
    <row r="21" spans="1:9" ht="15.75" x14ac:dyDescent="0.25">
      <c r="A21" s="141" t="s">
        <v>988</v>
      </c>
      <c r="B21" s="142"/>
      <c r="C21" s="73">
        <f>SUM('Stavební rozpočet'!Z12:Z299)</f>
        <v>0</v>
      </c>
      <c r="D21" s="147" t="s">
        <v>50</v>
      </c>
      <c r="E21" s="148"/>
      <c r="F21" s="74" t="s">
        <v>50</v>
      </c>
      <c r="G21" s="147" t="s">
        <v>50</v>
      </c>
      <c r="H21" s="148"/>
      <c r="I21" s="74" t="s">
        <v>50</v>
      </c>
    </row>
    <row r="22" spans="1:9" ht="16.5" customHeight="1" x14ac:dyDescent="0.25">
      <c r="A22" s="143" t="s">
        <v>989</v>
      </c>
      <c r="B22" s="144"/>
      <c r="C22" s="75">
        <f>SUM(C14:C21)</f>
        <v>0</v>
      </c>
      <c r="D22" s="149" t="s">
        <v>990</v>
      </c>
      <c r="E22" s="144"/>
      <c r="F22" s="75">
        <f>SUM(F14:F21)</f>
        <v>0</v>
      </c>
      <c r="G22" s="149" t="s">
        <v>991</v>
      </c>
      <c r="H22" s="144"/>
      <c r="I22" s="75">
        <f>ROUND(C22*(3/100),2)</f>
        <v>0</v>
      </c>
    </row>
    <row r="23" spans="1:9" ht="15.75" x14ac:dyDescent="0.25">
      <c r="D23" s="139" t="s">
        <v>992</v>
      </c>
      <c r="E23" s="140"/>
      <c r="F23" s="76">
        <v>0</v>
      </c>
      <c r="G23" s="150" t="s">
        <v>993</v>
      </c>
      <c r="H23" s="140"/>
      <c r="I23" s="70">
        <v>0</v>
      </c>
    </row>
    <row r="24" spans="1:9" ht="15.75" x14ac:dyDescent="0.25">
      <c r="G24" s="139" t="s">
        <v>994</v>
      </c>
      <c r="H24" s="140"/>
      <c r="I24" s="73">
        <f>vorn_sum</f>
        <v>0</v>
      </c>
    </row>
    <row r="25" spans="1:9" ht="15.75" x14ac:dyDescent="0.25">
      <c r="G25" s="139" t="s">
        <v>995</v>
      </c>
      <c r="H25" s="140"/>
      <c r="I25" s="75">
        <v>0</v>
      </c>
    </row>
    <row r="27" spans="1:9" ht="15.75" x14ac:dyDescent="0.25">
      <c r="A27" s="151" t="s">
        <v>996</v>
      </c>
      <c r="B27" s="152"/>
      <c r="C27" s="77">
        <f>SUM('Stavební rozpočet'!AJ12:AJ299)</f>
        <v>0</v>
      </c>
    </row>
    <row r="28" spans="1:9" ht="15.75" x14ac:dyDescent="0.25">
      <c r="A28" s="153" t="s">
        <v>997</v>
      </c>
      <c r="B28" s="154"/>
      <c r="C28" s="78">
        <f>SUM('Stavební rozpočet'!AK12:AK299)+(F22+I22+F23+I23+I24+I25)</f>
        <v>0</v>
      </c>
      <c r="D28" s="155" t="s">
        <v>998</v>
      </c>
      <c r="E28" s="152"/>
      <c r="F28" s="77">
        <f>ROUND(C28*(12/100),2)</f>
        <v>0</v>
      </c>
      <c r="G28" s="155" t="s">
        <v>999</v>
      </c>
      <c r="H28" s="152"/>
      <c r="I28" s="77">
        <f>SUM(C27:C29)</f>
        <v>0</v>
      </c>
    </row>
    <row r="29" spans="1:9" ht="15.75" x14ac:dyDescent="0.25">
      <c r="A29" s="153" t="s">
        <v>1000</v>
      </c>
      <c r="B29" s="154"/>
      <c r="C29" s="78">
        <f>SUM('Stavební rozpočet'!AL12:AL299)</f>
        <v>0</v>
      </c>
      <c r="D29" s="156" t="s">
        <v>1001</v>
      </c>
      <c r="E29" s="154"/>
      <c r="F29" s="78">
        <f>ROUND(C29*(21/100),2)</f>
        <v>0</v>
      </c>
      <c r="G29" s="156" t="s">
        <v>1002</v>
      </c>
      <c r="H29" s="154"/>
      <c r="I29" s="78">
        <f>SUM(F28:F29)+I28</f>
        <v>0</v>
      </c>
    </row>
    <row r="31" spans="1:9" x14ac:dyDescent="0.25">
      <c r="A31" s="157" t="s">
        <v>1003</v>
      </c>
      <c r="B31" s="158"/>
      <c r="C31" s="159"/>
      <c r="D31" s="166" t="s">
        <v>1004</v>
      </c>
      <c r="E31" s="158"/>
      <c r="F31" s="159"/>
      <c r="G31" s="166" t="s">
        <v>1005</v>
      </c>
      <c r="H31" s="158"/>
      <c r="I31" s="159"/>
    </row>
    <row r="32" spans="1:9" x14ac:dyDescent="0.25">
      <c r="A32" s="160" t="s">
        <v>50</v>
      </c>
      <c r="B32" s="161"/>
      <c r="C32" s="162"/>
      <c r="D32" s="167" t="s">
        <v>50</v>
      </c>
      <c r="E32" s="161"/>
      <c r="F32" s="162"/>
      <c r="G32" s="167" t="s">
        <v>50</v>
      </c>
      <c r="H32" s="161"/>
      <c r="I32" s="162"/>
    </row>
    <row r="33" spans="1:9" x14ac:dyDescent="0.25">
      <c r="A33" s="160" t="s">
        <v>50</v>
      </c>
      <c r="B33" s="161"/>
      <c r="C33" s="162"/>
      <c r="D33" s="167" t="s">
        <v>50</v>
      </c>
      <c r="E33" s="161"/>
      <c r="F33" s="162"/>
      <c r="G33" s="167" t="s">
        <v>50</v>
      </c>
      <c r="H33" s="161"/>
      <c r="I33" s="162"/>
    </row>
    <row r="34" spans="1:9" x14ac:dyDescent="0.25">
      <c r="A34" s="160" t="s">
        <v>50</v>
      </c>
      <c r="B34" s="161"/>
      <c r="C34" s="162"/>
      <c r="D34" s="167" t="s">
        <v>50</v>
      </c>
      <c r="E34" s="161"/>
      <c r="F34" s="162"/>
      <c r="G34" s="167" t="s">
        <v>50</v>
      </c>
      <c r="H34" s="161"/>
      <c r="I34" s="162"/>
    </row>
    <row r="35" spans="1:9" x14ac:dyDescent="0.25">
      <c r="A35" s="163" t="s">
        <v>1006</v>
      </c>
      <c r="B35" s="164"/>
      <c r="C35" s="165"/>
      <c r="D35" s="168" t="s">
        <v>1006</v>
      </c>
      <c r="E35" s="164"/>
      <c r="F35" s="165"/>
      <c r="G35" s="168" t="s">
        <v>1006</v>
      </c>
      <c r="H35" s="164"/>
      <c r="I35" s="165"/>
    </row>
    <row r="36" spans="1:9" x14ac:dyDescent="0.25">
      <c r="A36" s="79" t="s">
        <v>823</v>
      </c>
    </row>
    <row r="37" spans="1:9" ht="12.75" customHeight="1" x14ac:dyDescent="0.25">
      <c r="A37" s="97" t="s">
        <v>50</v>
      </c>
      <c r="B37" s="92"/>
      <c r="C37" s="92"/>
      <c r="D37" s="92"/>
      <c r="E37" s="92"/>
      <c r="F37" s="92"/>
      <c r="G37" s="92"/>
      <c r="H37" s="92"/>
      <c r="I37" s="92"/>
    </row>
  </sheetData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H2:H3"/>
    <mergeCell ref="H4:H5"/>
    <mergeCell ref="H6:H7"/>
    <mergeCell ref="H8:H9"/>
    <mergeCell ref="H10:H11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302"/>
  <sheetViews>
    <sheetView workbookViewId="0">
      <pane ySplit="11" topLeftCell="A12" activePane="bottomLeft" state="frozen"/>
      <selection pane="bottomLeft" activeCell="A302" sqref="A302:K302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42.85546875" customWidth="1"/>
    <col min="4" max="4" width="35.7109375" customWidth="1"/>
    <col min="5" max="5" width="6.42578125" customWidth="1"/>
    <col min="6" max="6" width="12.85546875" customWidth="1"/>
    <col min="7" max="7" width="12" customWidth="1"/>
    <col min="8" max="10" width="15.7109375" customWidth="1"/>
    <col min="11" max="11" width="13.4257812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89" t="s">
        <v>1</v>
      </c>
      <c r="B2" s="90"/>
      <c r="C2" s="98" t="s">
        <v>2</v>
      </c>
      <c r="D2" s="99"/>
      <c r="E2" s="90" t="s">
        <v>3</v>
      </c>
      <c r="F2" s="90"/>
      <c r="G2" s="90" t="s">
        <v>4</v>
      </c>
      <c r="H2" s="96" t="s">
        <v>5</v>
      </c>
      <c r="I2" s="96" t="s">
        <v>6</v>
      </c>
      <c r="J2" s="90"/>
      <c r="K2" s="101"/>
    </row>
    <row r="3" spans="1:76" x14ac:dyDescent="0.25">
      <c r="A3" s="91"/>
      <c r="B3" s="92"/>
      <c r="C3" s="100"/>
      <c r="D3" s="100"/>
      <c r="E3" s="92"/>
      <c r="F3" s="92"/>
      <c r="G3" s="92"/>
      <c r="H3" s="92"/>
      <c r="I3" s="92"/>
      <c r="J3" s="92"/>
      <c r="K3" s="102"/>
    </row>
    <row r="4" spans="1:76" x14ac:dyDescent="0.25">
      <c r="A4" s="93" t="s">
        <v>7</v>
      </c>
      <c r="B4" s="92"/>
      <c r="C4" s="97" t="s">
        <v>8</v>
      </c>
      <c r="D4" s="92"/>
      <c r="E4" s="92" t="s">
        <v>9</v>
      </c>
      <c r="F4" s="92"/>
      <c r="G4" s="92" t="s">
        <v>4</v>
      </c>
      <c r="H4" s="97" t="s">
        <v>10</v>
      </c>
      <c r="I4" s="97" t="s">
        <v>11</v>
      </c>
      <c r="J4" s="92"/>
      <c r="K4" s="102"/>
    </row>
    <row r="5" spans="1:76" x14ac:dyDescent="0.25">
      <c r="A5" s="91"/>
      <c r="B5" s="92"/>
      <c r="C5" s="92"/>
      <c r="D5" s="92"/>
      <c r="E5" s="92"/>
      <c r="F5" s="92"/>
      <c r="G5" s="92"/>
      <c r="H5" s="92"/>
      <c r="I5" s="92"/>
      <c r="J5" s="92"/>
      <c r="K5" s="102"/>
    </row>
    <row r="6" spans="1:76" x14ac:dyDescent="0.25">
      <c r="A6" s="93" t="s">
        <v>12</v>
      </c>
      <c r="B6" s="92"/>
      <c r="C6" s="97" t="s">
        <v>13</v>
      </c>
      <c r="D6" s="92"/>
      <c r="E6" s="92" t="s">
        <v>14</v>
      </c>
      <c r="F6" s="92"/>
      <c r="G6" s="92" t="s">
        <v>4</v>
      </c>
      <c r="H6" s="97" t="s">
        <v>15</v>
      </c>
      <c r="I6" s="92" t="s">
        <v>16</v>
      </c>
      <c r="J6" s="92"/>
      <c r="K6" s="102"/>
    </row>
    <row r="7" spans="1:76" x14ac:dyDescent="0.25">
      <c r="A7" s="91"/>
      <c r="B7" s="92"/>
      <c r="C7" s="92"/>
      <c r="D7" s="92"/>
      <c r="E7" s="92"/>
      <c r="F7" s="92"/>
      <c r="G7" s="92"/>
      <c r="H7" s="92"/>
      <c r="I7" s="92"/>
      <c r="J7" s="92"/>
      <c r="K7" s="102"/>
    </row>
    <row r="8" spans="1:76" x14ac:dyDescent="0.25">
      <c r="A8" s="93" t="s">
        <v>17</v>
      </c>
      <c r="B8" s="92"/>
      <c r="C8" s="97" t="s">
        <v>4</v>
      </c>
      <c r="D8" s="92"/>
      <c r="E8" s="92" t="s">
        <v>18</v>
      </c>
      <c r="F8" s="92"/>
      <c r="G8" s="92" t="s">
        <v>19</v>
      </c>
      <c r="H8" s="97" t="s">
        <v>20</v>
      </c>
      <c r="I8" s="97" t="s">
        <v>11</v>
      </c>
      <c r="J8" s="92"/>
      <c r="K8" s="102"/>
    </row>
    <row r="9" spans="1:76" x14ac:dyDescent="0.25">
      <c r="A9" s="94"/>
      <c r="B9" s="95"/>
      <c r="C9" s="95"/>
      <c r="D9" s="95"/>
      <c r="E9" s="95"/>
      <c r="F9" s="95"/>
      <c r="G9" s="95"/>
      <c r="H9" s="95"/>
      <c r="I9" s="95"/>
      <c r="J9" s="95"/>
      <c r="K9" s="103"/>
    </row>
    <row r="10" spans="1:76" x14ac:dyDescent="0.25">
      <c r="A10" s="5" t="s">
        <v>21</v>
      </c>
      <c r="B10" s="6" t="s">
        <v>22</v>
      </c>
      <c r="C10" s="104" t="s">
        <v>23</v>
      </c>
      <c r="D10" s="105"/>
      <c r="E10" s="6" t="s">
        <v>24</v>
      </c>
      <c r="F10" s="7" t="s">
        <v>25</v>
      </c>
      <c r="G10" s="8" t="s">
        <v>26</v>
      </c>
      <c r="H10" s="108" t="s">
        <v>27</v>
      </c>
      <c r="I10" s="109"/>
      <c r="J10" s="110"/>
      <c r="K10" s="9" t="s">
        <v>28</v>
      </c>
      <c r="BK10" s="10" t="s">
        <v>29</v>
      </c>
      <c r="BL10" s="11" t="s">
        <v>30</v>
      </c>
      <c r="BW10" s="11" t="s">
        <v>31</v>
      </c>
    </row>
    <row r="11" spans="1:76" x14ac:dyDescent="0.25">
      <c r="A11" s="12" t="s">
        <v>4</v>
      </c>
      <c r="B11" s="13" t="s">
        <v>4</v>
      </c>
      <c r="C11" s="106" t="s">
        <v>32</v>
      </c>
      <c r="D11" s="107"/>
      <c r="E11" s="13" t="s">
        <v>4</v>
      </c>
      <c r="F11" s="13" t="s">
        <v>4</v>
      </c>
      <c r="G11" s="14" t="s">
        <v>33</v>
      </c>
      <c r="H11" s="15" t="s">
        <v>34</v>
      </c>
      <c r="I11" s="16" t="s">
        <v>35</v>
      </c>
      <c r="J11" s="17" t="s">
        <v>36</v>
      </c>
      <c r="K11" s="18" t="s">
        <v>37</v>
      </c>
      <c r="Z11" s="10" t="s">
        <v>38</v>
      </c>
      <c r="AA11" s="10" t="s">
        <v>39</v>
      </c>
      <c r="AB11" s="10" t="s">
        <v>40</v>
      </c>
      <c r="AC11" s="10" t="s">
        <v>41</v>
      </c>
      <c r="AD11" s="10" t="s">
        <v>42</v>
      </c>
      <c r="AE11" s="10" t="s">
        <v>43</v>
      </c>
      <c r="AF11" s="10" t="s">
        <v>44</v>
      </c>
      <c r="AG11" s="10" t="s">
        <v>45</v>
      </c>
      <c r="AH11" s="10" t="s">
        <v>46</v>
      </c>
      <c r="BH11" s="10" t="s">
        <v>47</v>
      </c>
      <c r="BI11" s="10" t="s">
        <v>48</v>
      </c>
      <c r="BJ11" s="10" t="s">
        <v>49</v>
      </c>
    </row>
    <row r="12" spans="1:76" x14ac:dyDescent="0.25">
      <c r="A12" s="19" t="s">
        <v>50</v>
      </c>
      <c r="B12" s="20" t="s">
        <v>51</v>
      </c>
      <c r="C12" s="111" t="s">
        <v>52</v>
      </c>
      <c r="D12" s="112"/>
      <c r="E12" s="21" t="s">
        <v>4</v>
      </c>
      <c r="F12" s="21" t="s">
        <v>4</v>
      </c>
      <c r="G12" s="21" t="s">
        <v>4</v>
      </c>
      <c r="H12" s="22">
        <f>SUM(H13:H28)</f>
        <v>0</v>
      </c>
      <c r="I12" s="22">
        <f>SUM(I13:I28)</f>
        <v>0</v>
      </c>
      <c r="J12" s="22">
        <f>SUM(J13:J28)</f>
        <v>0</v>
      </c>
      <c r="K12" s="23" t="s">
        <v>50</v>
      </c>
      <c r="AI12" s="10" t="s">
        <v>50</v>
      </c>
      <c r="AS12" s="1">
        <f>SUM(AJ13:AJ28)</f>
        <v>0</v>
      </c>
      <c r="AT12" s="1">
        <f>SUM(AK13:AK28)</f>
        <v>0</v>
      </c>
      <c r="AU12" s="1">
        <f>SUM(AL13:AL28)</f>
        <v>0</v>
      </c>
    </row>
    <row r="13" spans="1:76" x14ac:dyDescent="0.25">
      <c r="A13" s="24" t="s">
        <v>53</v>
      </c>
      <c r="B13" s="25" t="s">
        <v>54</v>
      </c>
      <c r="C13" s="113" t="s">
        <v>55</v>
      </c>
      <c r="D13" s="114"/>
      <c r="E13" s="25" t="s">
        <v>56</v>
      </c>
      <c r="F13" s="26">
        <v>4</v>
      </c>
      <c r="G13" s="26">
        <v>0</v>
      </c>
      <c r="H13" s="26">
        <f>F13*AO13</f>
        <v>0</v>
      </c>
      <c r="I13" s="26">
        <f>F13*AP13</f>
        <v>0</v>
      </c>
      <c r="J13" s="26">
        <f>F13*G13</f>
        <v>0</v>
      </c>
      <c r="K13" s="27" t="s">
        <v>57</v>
      </c>
      <c r="Z13" s="28">
        <f>IF(AQ13="5",BJ13,0)</f>
        <v>0</v>
      </c>
      <c r="AB13" s="28">
        <f>IF(AQ13="1",BH13,0)</f>
        <v>0</v>
      </c>
      <c r="AC13" s="28">
        <f>IF(AQ13="1",BI13,0)</f>
        <v>0</v>
      </c>
      <c r="AD13" s="28">
        <f>IF(AQ13="7",BH13,0)</f>
        <v>0</v>
      </c>
      <c r="AE13" s="28">
        <f>IF(AQ13="7",BI13,0)</f>
        <v>0</v>
      </c>
      <c r="AF13" s="28">
        <f>IF(AQ13="2",BH13,0)</f>
        <v>0</v>
      </c>
      <c r="AG13" s="28">
        <f>IF(AQ13="2",BI13,0)</f>
        <v>0</v>
      </c>
      <c r="AH13" s="28">
        <f>IF(AQ13="0",BJ13,0)</f>
        <v>0</v>
      </c>
      <c r="AI13" s="10" t="s">
        <v>50</v>
      </c>
      <c r="AJ13" s="28">
        <f>IF(AN13=0,J13,0)</f>
        <v>0</v>
      </c>
      <c r="AK13" s="28">
        <f>IF(AN13=12,J13,0)</f>
        <v>0</v>
      </c>
      <c r="AL13" s="28">
        <f>IF(AN13=21,J13,0)</f>
        <v>0</v>
      </c>
      <c r="AN13" s="28">
        <v>12</v>
      </c>
      <c r="AO13" s="28">
        <f>G13*0</f>
        <v>0</v>
      </c>
      <c r="AP13" s="28">
        <f>G13*(1-0)</f>
        <v>0</v>
      </c>
      <c r="AQ13" s="29" t="s">
        <v>53</v>
      </c>
      <c r="AV13" s="28">
        <f>AW13+AX13</f>
        <v>0</v>
      </c>
      <c r="AW13" s="28">
        <f>F13*AO13</f>
        <v>0</v>
      </c>
      <c r="AX13" s="28">
        <f>F13*AP13</f>
        <v>0</v>
      </c>
      <c r="AY13" s="29" t="s">
        <v>58</v>
      </c>
      <c r="AZ13" s="29" t="s">
        <v>59</v>
      </c>
      <c r="BA13" s="10" t="s">
        <v>60</v>
      </c>
      <c r="BC13" s="28">
        <f>AW13+AX13</f>
        <v>0</v>
      </c>
      <c r="BD13" s="28">
        <f>G13/(100-BE13)*100</f>
        <v>0</v>
      </c>
      <c r="BE13" s="28">
        <v>0</v>
      </c>
      <c r="BF13" s="28">
        <f>13</f>
        <v>13</v>
      </c>
      <c r="BH13" s="28">
        <f>F13*AO13</f>
        <v>0</v>
      </c>
      <c r="BI13" s="28">
        <f>F13*AP13</f>
        <v>0</v>
      </c>
      <c r="BJ13" s="28">
        <f>F13*G13</f>
        <v>0</v>
      </c>
      <c r="BK13" s="28"/>
      <c r="BL13" s="28">
        <v>34</v>
      </c>
      <c r="BW13" s="28">
        <v>12</v>
      </c>
      <c r="BX13" s="4" t="s">
        <v>55</v>
      </c>
    </row>
    <row r="14" spans="1:76" x14ac:dyDescent="0.25">
      <c r="A14" s="30" t="s">
        <v>61</v>
      </c>
      <c r="B14" s="31" t="s">
        <v>62</v>
      </c>
      <c r="C14" s="115" t="s">
        <v>63</v>
      </c>
      <c r="D14" s="116"/>
      <c r="E14" s="31" t="s">
        <v>64</v>
      </c>
      <c r="F14" s="32">
        <v>4.8090000000000002</v>
      </c>
      <c r="G14" s="32">
        <v>0</v>
      </c>
      <c r="H14" s="32">
        <f>F14*AO14</f>
        <v>0</v>
      </c>
      <c r="I14" s="32">
        <f>F14*AP14</f>
        <v>0</v>
      </c>
      <c r="J14" s="32">
        <f>F14*G14</f>
        <v>0</v>
      </c>
      <c r="K14" s="33" t="s">
        <v>57</v>
      </c>
      <c r="Z14" s="28">
        <f>IF(AQ14="5",BJ14,0)</f>
        <v>0</v>
      </c>
      <c r="AB14" s="28">
        <f>IF(AQ14="1",BH14,0)</f>
        <v>0</v>
      </c>
      <c r="AC14" s="28">
        <f>IF(AQ14="1",BI14,0)</f>
        <v>0</v>
      </c>
      <c r="AD14" s="28">
        <f>IF(AQ14="7",BH14,0)</f>
        <v>0</v>
      </c>
      <c r="AE14" s="28">
        <f>IF(AQ14="7",BI14,0)</f>
        <v>0</v>
      </c>
      <c r="AF14" s="28">
        <f>IF(AQ14="2",BH14,0)</f>
        <v>0</v>
      </c>
      <c r="AG14" s="28">
        <f>IF(AQ14="2",BI14,0)</f>
        <v>0</v>
      </c>
      <c r="AH14" s="28">
        <f>IF(AQ14="0",BJ14,0)</f>
        <v>0</v>
      </c>
      <c r="AI14" s="10" t="s">
        <v>50</v>
      </c>
      <c r="AJ14" s="28">
        <f>IF(AN14=0,J14,0)</f>
        <v>0</v>
      </c>
      <c r="AK14" s="28">
        <f>IF(AN14=12,J14,0)</f>
        <v>0</v>
      </c>
      <c r="AL14" s="28">
        <f>IF(AN14=21,J14,0)</f>
        <v>0</v>
      </c>
      <c r="AN14" s="28">
        <v>12</v>
      </c>
      <c r="AO14" s="28">
        <f>G14*0.05809177</f>
        <v>0</v>
      </c>
      <c r="AP14" s="28">
        <f>G14*(1-0.05809177)</f>
        <v>0</v>
      </c>
      <c r="AQ14" s="29" t="s">
        <v>53</v>
      </c>
      <c r="AV14" s="28">
        <f>AW14+AX14</f>
        <v>0</v>
      </c>
      <c r="AW14" s="28">
        <f>F14*AO14</f>
        <v>0</v>
      </c>
      <c r="AX14" s="28">
        <f>F14*AP14</f>
        <v>0</v>
      </c>
      <c r="AY14" s="29" t="s">
        <v>58</v>
      </c>
      <c r="AZ14" s="29" t="s">
        <v>59</v>
      </c>
      <c r="BA14" s="10" t="s">
        <v>60</v>
      </c>
      <c r="BC14" s="28">
        <f>AW14+AX14</f>
        <v>0</v>
      </c>
      <c r="BD14" s="28">
        <f>G14/(100-BE14)*100</f>
        <v>0</v>
      </c>
      <c r="BE14" s="28">
        <v>0</v>
      </c>
      <c r="BF14" s="28">
        <f>14</f>
        <v>14</v>
      </c>
      <c r="BH14" s="28">
        <f>F14*AO14</f>
        <v>0</v>
      </c>
      <c r="BI14" s="28">
        <f>F14*AP14</f>
        <v>0</v>
      </c>
      <c r="BJ14" s="28">
        <f>F14*G14</f>
        <v>0</v>
      </c>
      <c r="BK14" s="28"/>
      <c r="BL14" s="28">
        <v>34</v>
      </c>
      <c r="BW14" s="28">
        <v>12</v>
      </c>
      <c r="BX14" s="4" t="s">
        <v>63</v>
      </c>
    </row>
    <row r="15" spans="1:76" ht="13.5" customHeight="1" x14ac:dyDescent="0.25">
      <c r="A15" s="34"/>
      <c r="B15" s="35" t="s">
        <v>65</v>
      </c>
      <c r="C15" s="117" t="s">
        <v>66</v>
      </c>
      <c r="D15" s="118"/>
      <c r="E15" s="118"/>
      <c r="F15" s="118"/>
      <c r="G15" s="118"/>
      <c r="H15" s="118"/>
      <c r="I15" s="118"/>
      <c r="J15" s="118"/>
      <c r="K15" s="119"/>
    </row>
    <row r="16" spans="1:76" x14ac:dyDescent="0.25">
      <c r="A16" s="24" t="s">
        <v>67</v>
      </c>
      <c r="B16" s="25" t="s">
        <v>68</v>
      </c>
      <c r="C16" s="113" t="s">
        <v>69</v>
      </c>
      <c r="D16" s="114"/>
      <c r="E16" s="25" t="s">
        <v>56</v>
      </c>
      <c r="F16" s="26">
        <v>3</v>
      </c>
      <c r="G16" s="26">
        <v>0</v>
      </c>
      <c r="H16" s="26">
        <f>F16*AO16</f>
        <v>0</v>
      </c>
      <c r="I16" s="26">
        <f>F16*AP16</f>
        <v>0</v>
      </c>
      <c r="J16" s="26">
        <f>F16*G16</f>
        <v>0</v>
      </c>
      <c r="K16" s="27" t="s">
        <v>57</v>
      </c>
      <c r="Z16" s="28">
        <f>IF(AQ16="5",BJ16,0)</f>
        <v>0</v>
      </c>
      <c r="AB16" s="28">
        <f>IF(AQ16="1",BH16,0)</f>
        <v>0</v>
      </c>
      <c r="AC16" s="28">
        <f>IF(AQ16="1",BI16,0)</f>
        <v>0</v>
      </c>
      <c r="AD16" s="28">
        <f>IF(AQ16="7",BH16,0)</f>
        <v>0</v>
      </c>
      <c r="AE16" s="28">
        <f>IF(AQ16="7",BI16,0)</f>
        <v>0</v>
      </c>
      <c r="AF16" s="28">
        <f>IF(AQ16="2",BH16,0)</f>
        <v>0</v>
      </c>
      <c r="AG16" s="28">
        <f>IF(AQ16="2",BI16,0)</f>
        <v>0</v>
      </c>
      <c r="AH16" s="28">
        <f>IF(AQ16="0",BJ16,0)</f>
        <v>0</v>
      </c>
      <c r="AI16" s="10" t="s">
        <v>50</v>
      </c>
      <c r="AJ16" s="28">
        <f>IF(AN16=0,J16,0)</f>
        <v>0</v>
      </c>
      <c r="AK16" s="28">
        <f>IF(AN16=12,J16,0)</f>
        <v>0</v>
      </c>
      <c r="AL16" s="28">
        <f>IF(AN16=21,J16,0)</f>
        <v>0</v>
      </c>
      <c r="AN16" s="28">
        <v>12</v>
      </c>
      <c r="AO16" s="28">
        <f>G16*0.019495677</f>
        <v>0</v>
      </c>
      <c r="AP16" s="28">
        <f>G16*(1-0.019495677)</f>
        <v>0</v>
      </c>
      <c r="AQ16" s="29" t="s">
        <v>61</v>
      </c>
      <c r="AV16" s="28">
        <f>AW16+AX16</f>
        <v>0</v>
      </c>
      <c r="AW16" s="28">
        <f>F16*AO16</f>
        <v>0</v>
      </c>
      <c r="AX16" s="28">
        <f>F16*AP16</f>
        <v>0</v>
      </c>
      <c r="AY16" s="29" t="s">
        <v>58</v>
      </c>
      <c r="AZ16" s="29" t="s">
        <v>59</v>
      </c>
      <c r="BA16" s="10" t="s">
        <v>60</v>
      </c>
      <c r="BC16" s="28">
        <f>AW16+AX16</f>
        <v>0</v>
      </c>
      <c r="BD16" s="28">
        <f>G16/(100-BE16)*100</f>
        <v>0</v>
      </c>
      <c r="BE16" s="28">
        <v>0</v>
      </c>
      <c r="BF16" s="28">
        <f>16</f>
        <v>16</v>
      </c>
      <c r="BH16" s="28">
        <f>F16*AO16</f>
        <v>0</v>
      </c>
      <c r="BI16" s="28">
        <f>F16*AP16</f>
        <v>0</v>
      </c>
      <c r="BJ16" s="28">
        <f>F16*G16</f>
        <v>0</v>
      </c>
      <c r="BK16" s="28"/>
      <c r="BL16" s="28">
        <v>34</v>
      </c>
      <c r="BW16" s="28">
        <v>12</v>
      </c>
      <c r="BX16" s="4" t="s">
        <v>69</v>
      </c>
    </row>
    <row r="17" spans="1:76" ht="13.5" customHeight="1" x14ac:dyDescent="0.25">
      <c r="A17" s="34"/>
      <c r="B17" s="35" t="s">
        <v>65</v>
      </c>
      <c r="C17" s="117" t="s">
        <v>70</v>
      </c>
      <c r="D17" s="118"/>
      <c r="E17" s="118"/>
      <c r="F17" s="118"/>
      <c r="G17" s="118"/>
      <c r="H17" s="118"/>
      <c r="I17" s="118"/>
      <c r="J17" s="118"/>
      <c r="K17" s="119"/>
    </row>
    <row r="18" spans="1:76" x14ac:dyDescent="0.25">
      <c r="A18" s="24" t="s">
        <v>71</v>
      </c>
      <c r="B18" s="25" t="s">
        <v>72</v>
      </c>
      <c r="C18" s="113" t="s">
        <v>73</v>
      </c>
      <c r="D18" s="114"/>
      <c r="E18" s="25" t="s">
        <v>56</v>
      </c>
      <c r="F18" s="26">
        <v>2</v>
      </c>
      <c r="G18" s="26">
        <v>0</v>
      </c>
      <c r="H18" s="26">
        <f t="shared" ref="H18:H25" si="0">F18*AO18</f>
        <v>0</v>
      </c>
      <c r="I18" s="26">
        <f t="shared" ref="I18:I25" si="1">F18*AP18</f>
        <v>0</v>
      </c>
      <c r="J18" s="26">
        <f t="shared" ref="J18:J25" si="2">F18*G18</f>
        <v>0</v>
      </c>
      <c r="K18" s="27" t="s">
        <v>57</v>
      </c>
      <c r="Z18" s="28">
        <f t="shared" ref="Z18:Z25" si="3">IF(AQ18="5",BJ18,0)</f>
        <v>0</v>
      </c>
      <c r="AB18" s="28">
        <f t="shared" ref="AB18:AB25" si="4">IF(AQ18="1",BH18,0)</f>
        <v>0</v>
      </c>
      <c r="AC18" s="28">
        <f t="shared" ref="AC18:AC25" si="5">IF(AQ18="1",BI18,0)</f>
        <v>0</v>
      </c>
      <c r="AD18" s="28">
        <f t="shared" ref="AD18:AD25" si="6">IF(AQ18="7",BH18,0)</f>
        <v>0</v>
      </c>
      <c r="AE18" s="28">
        <f t="shared" ref="AE18:AE25" si="7">IF(AQ18="7",BI18,0)</f>
        <v>0</v>
      </c>
      <c r="AF18" s="28">
        <f t="shared" ref="AF18:AF25" si="8">IF(AQ18="2",BH18,0)</f>
        <v>0</v>
      </c>
      <c r="AG18" s="28">
        <f t="shared" ref="AG18:AG25" si="9">IF(AQ18="2",BI18,0)</f>
        <v>0</v>
      </c>
      <c r="AH18" s="28">
        <f t="shared" ref="AH18:AH25" si="10">IF(AQ18="0",BJ18,0)</f>
        <v>0</v>
      </c>
      <c r="AI18" s="10" t="s">
        <v>50</v>
      </c>
      <c r="AJ18" s="28">
        <f t="shared" ref="AJ18:AJ25" si="11">IF(AN18=0,J18,0)</f>
        <v>0</v>
      </c>
      <c r="AK18" s="28">
        <f t="shared" ref="AK18:AK25" si="12">IF(AN18=12,J18,0)</f>
        <v>0</v>
      </c>
      <c r="AL18" s="28">
        <f t="shared" ref="AL18:AL25" si="13">IF(AN18=21,J18,0)</f>
        <v>0</v>
      </c>
      <c r="AN18" s="28">
        <v>12</v>
      </c>
      <c r="AO18" s="28">
        <f>G18*0.185462069</f>
        <v>0</v>
      </c>
      <c r="AP18" s="28">
        <f>G18*(1-0.185462069)</f>
        <v>0</v>
      </c>
      <c r="AQ18" s="29" t="s">
        <v>53</v>
      </c>
      <c r="AV18" s="28">
        <f t="shared" ref="AV18:AV25" si="14">AW18+AX18</f>
        <v>0</v>
      </c>
      <c r="AW18" s="28">
        <f t="shared" ref="AW18:AW25" si="15">F18*AO18</f>
        <v>0</v>
      </c>
      <c r="AX18" s="28">
        <f t="shared" ref="AX18:AX25" si="16">F18*AP18</f>
        <v>0</v>
      </c>
      <c r="AY18" s="29" t="s">
        <v>58</v>
      </c>
      <c r="AZ18" s="29" t="s">
        <v>59</v>
      </c>
      <c r="BA18" s="10" t="s">
        <v>60</v>
      </c>
      <c r="BC18" s="28">
        <f t="shared" ref="BC18:BC25" si="17">AW18+AX18</f>
        <v>0</v>
      </c>
      <c r="BD18" s="28">
        <f t="shared" ref="BD18:BD25" si="18">G18/(100-BE18)*100</f>
        <v>0</v>
      </c>
      <c r="BE18" s="28">
        <v>0</v>
      </c>
      <c r="BF18" s="28">
        <f>18</f>
        <v>18</v>
      </c>
      <c r="BH18" s="28">
        <f t="shared" ref="BH18:BH25" si="19">F18*AO18</f>
        <v>0</v>
      </c>
      <c r="BI18" s="28">
        <f t="shared" ref="BI18:BI25" si="20">F18*AP18</f>
        <v>0</v>
      </c>
      <c r="BJ18" s="28">
        <f t="shared" ref="BJ18:BJ25" si="21">F18*G18</f>
        <v>0</v>
      </c>
      <c r="BK18" s="28"/>
      <c r="BL18" s="28">
        <v>34</v>
      </c>
      <c r="BW18" s="28">
        <v>12</v>
      </c>
      <c r="BX18" s="4" t="s">
        <v>73</v>
      </c>
    </row>
    <row r="19" spans="1:76" x14ac:dyDescent="0.25">
      <c r="A19" s="30" t="s">
        <v>74</v>
      </c>
      <c r="B19" s="31" t="s">
        <v>75</v>
      </c>
      <c r="C19" s="115" t="s">
        <v>76</v>
      </c>
      <c r="D19" s="116"/>
      <c r="E19" s="31" t="s">
        <v>77</v>
      </c>
      <c r="F19" s="32">
        <v>60</v>
      </c>
      <c r="G19" s="32">
        <v>0</v>
      </c>
      <c r="H19" s="32">
        <f t="shared" si="0"/>
        <v>0</v>
      </c>
      <c r="I19" s="32">
        <f t="shared" si="1"/>
        <v>0</v>
      </c>
      <c r="J19" s="32">
        <f t="shared" si="2"/>
        <v>0</v>
      </c>
      <c r="K19" s="33" t="s">
        <v>57</v>
      </c>
      <c r="Z19" s="28">
        <f t="shared" si="3"/>
        <v>0</v>
      </c>
      <c r="AB19" s="28">
        <f t="shared" si="4"/>
        <v>0</v>
      </c>
      <c r="AC19" s="28">
        <f t="shared" si="5"/>
        <v>0</v>
      </c>
      <c r="AD19" s="28">
        <f t="shared" si="6"/>
        <v>0</v>
      </c>
      <c r="AE19" s="28">
        <f t="shared" si="7"/>
        <v>0</v>
      </c>
      <c r="AF19" s="28">
        <f t="shared" si="8"/>
        <v>0</v>
      </c>
      <c r="AG19" s="28">
        <f t="shared" si="9"/>
        <v>0</v>
      </c>
      <c r="AH19" s="28">
        <f t="shared" si="10"/>
        <v>0</v>
      </c>
      <c r="AI19" s="10" t="s">
        <v>50</v>
      </c>
      <c r="AJ19" s="28">
        <f t="shared" si="11"/>
        <v>0</v>
      </c>
      <c r="AK19" s="28">
        <f t="shared" si="12"/>
        <v>0</v>
      </c>
      <c r="AL19" s="28">
        <f t="shared" si="13"/>
        <v>0</v>
      </c>
      <c r="AN19" s="28">
        <v>12</v>
      </c>
      <c r="AO19" s="28">
        <f>G19*0.136679684</f>
        <v>0</v>
      </c>
      <c r="AP19" s="28">
        <f>G19*(1-0.136679684)</f>
        <v>0</v>
      </c>
      <c r="AQ19" s="29" t="s">
        <v>53</v>
      </c>
      <c r="AV19" s="28">
        <f t="shared" si="14"/>
        <v>0</v>
      </c>
      <c r="AW19" s="28">
        <f t="shared" si="15"/>
        <v>0</v>
      </c>
      <c r="AX19" s="28">
        <f t="shared" si="16"/>
        <v>0</v>
      </c>
      <c r="AY19" s="29" t="s">
        <v>58</v>
      </c>
      <c r="AZ19" s="29" t="s">
        <v>59</v>
      </c>
      <c r="BA19" s="10" t="s">
        <v>60</v>
      </c>
      <c r="BC19" s="28">
        <f t="shared" si="17"/>
        <v>0</v>
      </c>
      <c r="BD19" s="28">
        <f t="shared" si="18"/>
        <v>0</v>
      </c>
      <c r="BE19" s="28">
        <v>0</v>
      </c>
      <c r="BF19" s="28">
        <f>19</f>
        <v>19</v>
      </c>
      <c r="BH19" s="28">
        <f t="shared" si="19"/>
        <v>0</v>
      </c>
      <c r="BI19" s="28">
        <f t="shared" si="20"/>
        <v>0</v>
      </c>
      <c r="BJ19" s="28">
        <f t="shared" si="21"/>
        <v>0</v>
      </c>
      <c r="BK19" s="28"/>
      <c r="BL19" s="28">
        <v>34</v>
      </c>
      <c r="BW19" s="28">
        <v>12</v>
      </c>
      <c r="BX19" s="4" t="s">
        <v>76</v>
      </c>
    </row>
    <row r="20" spans="1:76" x14ac:dyDescent="0.25">
      <c r="A20" s="30" t="s">
        <v>78</v>
      </c>
      <c r="B20" s="31" t="s">
        <v>79</v>
      </c>
      <c r="C20" s="115" t="s">
        <v>80</v>
      </c>
      <c r="D20" s="116"/>
      <c r="E20" s="31" t="s">
        <v>77</v>
      </c>
      <c r="F20" s="32">
        <v>49.2</v>
      </c>
      <c r="G20" s="32">
        <v>0</v>
      </c>
      <c r="H20" s="32">
        <f t="shared" si="0"/>
        <v>0</v>
      </c>
      <c r="I20" s="32">
        <f t="shared" si="1"/>
        <v>0</v>
      </c>
      <c r="J20" s="32">
        <f t="shared" si="2"/>
        <v>0</v>
      </c>
      <c r="K20" s="33" t="s">
        <v>57</v>
      </c>
      <c r="Z20" s="28">
        <f t="shared" si="3"/>
        <v>0</v>
      </c>
      <c r="AB20" s="28">
        <f t="shared" si="4"/>
        <v>0</v>
      </c>
      <c r="AC20" s="28">
        <f t="shared" si="5"/>
        <v>0</v>
      </c>
      <c r="AD20" s="28">
        <f t="shared" si="6"/>
        <v>0</v>
      </c>
      <c r="AE20" s="28">
        <f t="shared" si="7"/>
        <v>0</v>
      </c>
      <c r="AF20" s="28">
        <f t="shared" si="8"/>
        <v>0</v>
      </c>
      <c r="AG20" s="28">
        <f t="shared" si="9"/>
        <v>0</v>
      </c>
      <c r="AH20" s="28">
        <f t="shared" si="10"/>
        <v>0</v>
      </c>
      <c r="AI20" s="10" t="s">
        <v>50</v>
      </c>
      <c r="AJ20" s="28">
        <f t="shared" si="11"/>
        <v>0</v>
      </c>
      <c r="AK20" s="28">
        <f t="shared" si="12"/>
        <v>0</v>
      </c>
      <c r="AL20" s="28">
        <f t="shared" si="13"/>
        <v>0</v>
      </c>
      <c r="AN20" s="28">
        <v>12</v>
      </c>
      <c r="AO20" s="28">
        <f>G20*0.100006941</f>
        <v>0</v>
      </c>
      <c r="AP20" s="28">
        <f>G20*(1-0.100006941)</f>
        <v>0</v>
      </c>
      <c r="AQ20" s="29" t="s">
        <v>53</v>
      </c>
      <c r="AV20" s="28">
        <f t="shared" si="14"/>
        <v>0</v>
      </c>
      <c r="AW20" s="28">
        <f t="shared" si="15"/>
        <v>0</v>
      </c>
      <c r="AX20" s="28">
        <f t="shared" si="16"/>
        <v>0</v>
      </c>
      <c r="AY20" s="29" t="s">
        <v>58</v>
      </c>
      <c r="AZ20" s="29" t="s">
        <v>59</v>
      </c>
      <c r="BA20" s="10" t="s">
        <v>60</v>
      </c>
      <c r="BC20" s="28">
        <f t="shared" si="17"/>
        <v>0</v>
      </c>
      <c r="BD20" s="28">
        <f t="shared" si="18"/>
        <v>0</v>
      </c>
      <c r="BE20" s="28">
        <v>0</v>
      </c>
      <c r="BF20" s="28">
        <f>20</f>
        <v>20</v>
      </c>
      <c r="BH20" s="28">
        <f t="shared" si="19"/>
        <v>0</v>
      </c>
      <c r="BI20" s="28">
        <f t="shared" si="20"/>
        <v>0</v>
      </c>
      <c r="BJ20" s="28">
        <f t="shared" si="21"/>
        <v>0</v>
      </c>
      <c r="BK20" s="28"/>
      <c r="BL20" s="28">
        <v>34</v>
      </c>
      <c r="BW20" s="28">
        <v>12</v>
      </c>
      <c r="BX20" s="4" t="s">
        <v>80</v>
      </c>
    </row>
    <row r="21" spans="1:76" x14ac:dyDescent="0.25">
      <c r="A21" s="30" t="s">
        <v>81</v>
      </c>
      <c r="B21" s="31" t="s">
        <v>82</v>
      </c>
      <c r="C21" s="115" t="s">
        <v>83</v>
      </c>
      <c r="D21" s="116"/>
      <c r="E21" s="31" t="s">
        <v>77</v>
      </c>
      <c r="F21" s="32">
        <v>19.100000000000001</v>
      </c>
      <c r="G21" s="32">
        <v>0</v>
      </c>
      <c r="H21" s="32">
        <f t="shared" si="0"/>
        <v>0</v>
      </c>
      <c r="I21" s="32">
        <f t="shared" si="1"/>
        <v>0</v>
      </c>
      <c r="J21" s="32">
        <f t="shared" si="2"/>
        <v>0</v>
      </c>
      <c r="K21" s="33" t="s">
        <v>57</v>
      </c>
      <c r="Z21" s="28">
        <f t="shared" si="3"/>
        <v>0</v>
      </c>
      <c r="AB21" s="28">
        <f t="shared" si="4"/>
        <v>0</v>
      </c>
      <c r="AC21" s="28">
        <f t="shared" si="5"/>
        <v>0</v>
      </c>
      <c r="AD21" s="28">
        <f t="shared" si="6"/>
        <v>0</v>
      </c>
      <c r="AE21" s="28">
        <f t="shared" si="7"/>
        <v>0</v>
      </c>
      <c r="AF21" s="28">
        <f t="shared" si="8"/>
        <v>0</v>
      </c>
      <c r="AG21" s="28">
        <f t="shared" si="9"/>
        <v>0</v>
      </c>
      <c r="AH21" s="28">
        <f t="shared" si="10"/>
        <v>0</v>
      </c>
      <c r="AI21" s="10" t="s">
        <v>50</v>
      </c>
      <c r="AJ21" s="28">
        <f t="shared" si="11"/>
        <v>0</v>
      </c>
      <c r="AK21" s="28">
        <f t="shared" si="12"/>
        <v>0</v>
      </c>
      <c r="AL21" s="28">
        <f t="shared" si="13"/>
        <v>0</v>
      </c>
      <c r="AN21" s="28">
        <v>12</v>
      </c>
      <c r="AO21" s="28">
        <f>G21*0.100006933</f>
        <v>0</v>
      </c>
      <c r="AP21" s="28">
        <f>G21*(1-0.100006933)</f>
        <v>0</v>
      </c>
      <c r="AQ21" s="29" t="s">
        <v>53</v>
      </c>
      <c r="AV21" s="28">
        <f t="shared" si="14"/>
        <v>0</v>
      </c>
      <c r="AW21" s="28">
        <f t="shared" si="15"/>
        <v>0</v>
      </c>
      <c r="AX21" s="28">
        <f t="shared" si="16"/>
        <v>0</v>
      </c>
      <c r="AY21" s="29" t="s">
        <v>58</v>
      </c>
      <c r="AZ21" s="29" t="s">
        <v>59</v>
      </c>
      <c r="BA21" s="10" t="s">
        <v>60</v>
      </c>
      <c r="BC21" s="28">
        <f t="shared" si="17"/>
        <v>0</v>
      </c>
      <c r="BD21" s="28">
        <f t="shared" si="18"/>
        <v>0</v>
      </c>
      <c r="BE21" s="28">
        <v>0</v>
      </c>
      <c r="BF21" s="28">
        <f>21</f>
        <v>21</v>
      </c>
      <c r="BH21" s="28">
        <f t="shared" si="19"/>
        <v>0</v>
      </c>
      <c r="BI21" s="28">
        <f t="shared" si="20"/>
        <v>0</v>
      </c>
      <c r="BJ21" s="28">
        <f t="shared" si="21"/>
        <v>0</v>
      </c>
      <c r="BK21" s="28"/>
      <c r="BL21" s="28">
        <v>34</v>
      </c>
      <c r="BW21" s="28">
        <v>12</v>
      </c>
      <c r="BX21" s="4" t="s">
        <v>83</v>
      </c>
    </row>
    <row r="22" spans="1:76" x14ac:dyDescent="0.25">
      <c r="A22" s="30" t="s">
        <v>84</v>
      </c>
      <c r="B22" s="31" t="s">
        <v>85</v>
      </c>
      <c r="C22" s="115" t="s">
        <v>86</v>
      </c>
      <c r="D22" s="116"/>
      <c r="E22" s="31" t="s">
        <v>87</v>
      </c>
      <c r="F22" s="32">
        <v>1.6632100000000001</v>
      </c>
      <c r="G22" s="32">
        <v>0</v>
      </c>
      <c r="H22" s="32">
        <f t="shared" si="0"/>
        <v>0</v>
      </c>
      <c r="I22" s="32">
        <f t="shared" si="1"/>
        <v>0</v>
      </c>
      <c r="J22" s="32">
        <f t="shared" si="2"/>
        <v>0</v>
      </c>
      <c r="K22" s="33" t="s">
        <v>57</v>
      </c>
      <c r="Z22" s="28">
        <f t="shared" si="3"/>
        <v>0</v>
      </c>
      <c r="AB22" s="28">
        <f t="shared" si="4"/>
        <v>0</v>
      </c>
      <c r="AC22" s="28">
        <f t="shared" si="5"/>
        <v>0</v>
      </c>
      <c r="AD22" s="28">
        <f t="shared" si="6"/>
        <v>0</v>
      </c>
      <c r="AE22" s="28">
        <f t="shared" si="7"/>
        <v>0</v>
      </c>
      <c r="AF22" s="28">
        <f t="shared" si="8"/>
        <v>0</v>
      </c>
      <c r="AG22" s="28">
        <f t="shared" si="9"/>
        <v>0</v>
      </c>
      <c r="AH22" s="28">
        <f t="shared" si="10"/>
        <v>0</v>
      </c>
      <c r="AI22" s="10" t="s">
        <v>50</v>
      </c>
      <c r="AJ22" s="28">
        <f t="shared" si="11"/>
        <v>0</v>
      </c>
      <c r="AK22" s="28">
        <f t="shared" si="12"/>
        <v>0</v>
      </c>
      <c r="AL22" s="28">
        <f t="shared" si="13"/>
        <v>0</v>
      </c>
      <c r="AN22" s="28">
        <v>12</v>
      </c>
      <c r="AO22" s="28">
        <f>G22*0</f>
        <v>0</v>
      </c>
      <c r="AP22" s="28">
        <f>G22*(1-0)</f>
        <v>0</v>
      </c>
      <c r="AQ22" s="29" t="s">
        <v>74</v>
      </c>
      <c r="AV22" s="28">
        <f t="shared" si="14"/>
        <v>0</v>
      </c>
      <c r="AW22" s="28">
        <f t="shared" si="15"/>
        <v>0</v>
      </c>
      <c r="AX22" s="28">
        <f t="shared" si="16"/>
        <v>0</v>
      </c>
      <c r="AY22" s="29" t="s">
        <v>58</v>
      </c>
      <c r="AZ22" s="29" t="s">
        <v>59</v>
      </c>
      <c r="BA22" s="10" t="s">
        <v>60</v>
      </c>
      <c r="BC22" s="28">
        <f t="shared" si="17"/>
        <v>0</v>
      </c>
      <c r="BD22" s="28">
        <f t="shared" si="18"/>
        <v>0</v>
      </c>
      <c r="BE22" s="28">
        <v>0</v>
      </c>
      <c r="BF22" s="28">
        <f>22</f>
        <v>22</v>
      </c>
      <c r="BH22" s="28">
        <f t="shared" si="19"/>
        <v>0</v>
      </c>
      <c r="BI22" s="28">
        <f t="shared" si="20"/>
        <v>0</v>
      </c>
      <c r="BJ22" s="28">
        <f t="shared" si="21"/>
        <v>0</v>
      </c>
      <c r="BK22" s="28"/>
      <c r="BL22" s="28">
        <v>34</v>
      </c>
      <c r="BW22" s="28">
        <v>12</v>
      </c>
      <c r="BX22" s="4" t="s">
        <v>86</v>
      </c>
    </row>
    <row r="23" spans="1:76" x14ac:dyDescent="0.25">
      <c r="A23" s="30" t="s">
        <v>88</v>
      </c>
      <c r="B23" s="31" t="s">
        <v>89</v>
      </c>
      <c r="C23" s="115" t="s">
        <v>90</v>
      </c>
      <c r="D23" s="116"/>
      <c r="E23" s="31" t="s">
        <v>87</v>
      </c>
      <c r="F23" s="32">
        <v>1.6632100000000001</v>
      </c>
      <c r="G23" s="32">
        <v>0</v>
      </c>
      <c r="H23" s="32">
        <f t="shared" si="0"/>
        <v>0</v>
      </c>
      <c r="I23" s="32">
        <f t="shared" si="1"/>
        <v>0</v>
      </c>
      <c r="J23" s="32">
        <f t="shared" si="2"/>
        <v>0</v>
      </c>
      <c r="K23" s="33" t="s">
        <v>57</v>
      </c>
      <c r="Z23" s="28">
        <f t="shared" si="3"/>
        <v>0</v>
      </c>
      <c r="AB23" s="28">
        <f t="shared" si="4"/>
        <v>0</v>
      </c>
      <c r="AC23" s="28">
        <f t="shared" si="5"/>
        <v>0</v>
      </c>
      <c r="AD23" s="28">
        <f t="shared" si="6"/>
        <v>0</v>
      </c>
      <c r="AE23" s="28">
        <f t="shared" si="7"/>
        <v>0</v>
      </c>
      <c r="AF23" s="28">
        <f t="shared" si="8"/>
        <v>0</v>
      </c>
      <c r="AG23" s="28">
        <f t="shared" si="9"/>
        <v>0</v>
      </c>
      <c r="AH23" s="28">
        <f t="shared" si="10"/>
        <v>0</v>
      </c>
      <c r="AI23" s="10" t="s">
        <v>50</v>
      </c>
      <c r="AJ23" s="28">
        <f t="shared" si="11"/>
        <v>0</v>
      </c>
      <c r="AK23" s="28">
        <f t="shared" si="12"/>
        <v>0</v>
      </c>
      <c r="AL23" s="28">
        <f t="shared" si="13"/>
        <v>0</v>
      </c>
      <c r="AN23" s="28">
        <v>12</v>
      </c>
      <c r="AO23" s="28">
        <f>G23*0.010795662</f>
        <v>0</v>
      </c>
      <c r="AP23" s="28">
        <f>G23*(1-0.010795662)</f>
        <v>0</v>
      </c>
      <c r="AQ23" s="29" t="s">
        <v>74</v>
      </c>
      <c r="AV23" s="28">
        <f t="shared" si="14"/>
        <v>0</v>
      </c>
      <c r="AW23" s="28">
        <f t="shared" si="15"/>
        <v>0</v>
      </c>
      <c r="AX23" s="28">
        <f t="shared" si="16"/>
        <v>0</v>
      </c>
      <c r="AY23" s="29" t="s">
        <v>58</v>
      </c>
      <c r="AZ23" s="29" t="s">
        <v>59</v>
      </c>
      <c r="BA23" s="10" t="s">
        <v>60</v>
      </c>
      <c r="BC23" s="28">
        <f t="shared" si="17"/>
        <v>0</v>
      </c>
      <c r="BD23" s="28">
        <f t="shared" si="18"/>
        <v>0</v>
      </c>
      <c r="BE23" s="28">
        <v>0</v>
      </c>
      <c r="BF23" s="28">
        <f>23</f>
        <v>23</v>
      </c>
      <c r="BH23" s="28">
        <f t="shared" si="19"/>
        <v>0</v>
      </c>
      <c r="BI23" s="28">
        <f t="shared" si="20"/>
        <v>0</v>
      </c>
      <c r="BJ23" s="28">
        <f t="shared" si="21"/>
        <v>0</v>
      </c>
      <c r="BK23" s="28"/>
      <c r="BL23" s="28">
        <v>34</v>
      </c>
      <c r="BW23" s="28">
        <v>12</v>
      </c>
      <c r="BX23" s="4" t="s">
        <v>90</v>
      </c>
    </row>
    <row r="24" spans="1:76" x14ac:dyDescent="0.25">
      <c r="A24" s="30" t="s">
        <v>91</v>
      </c>
      <c r="B24" s="31" t="s">
        <v>92</v>
      </c>
      <c r="C24" s="115" t="s">
        <v>93</v>
      </c>
      <c r="D24" s="116"/>
      <c r="E24" s="31" t="s">
        <v>87</v>
      </c>
      <c r="F24" s="32">
        <v>1.6632100000000001</v>
      </c>
      <c r="G24" s="32">
        <v>0</v>
      </c>
      <c r="H24" s="32">
        <f t="shared" si="0"/>
        <v>0</v>
      </c>
      <c r="I24" s="32">
        <f t="shared" si="1"/>
        <v>0</v>
      </c>
      <c r="J24" s="32">
        <f t="shared" si="2"/>
        <v>0</v>
      </c>
      <c r="K24" s="33" t="s">
        <v>57</v>
      </c>
      <c r="Z24" s="28">
        <f t="shared" si="3"/>
        <v>0</v>
      </c>
      <c r="AB24" s="28">
        <f t="shared" si="4"/>
        <v>0</v>
      </c>
      <c r="AC24" s="28">
        <f t="shared" si="5"/>
        <v>0</v>
      </c>
      <c r="AD24" s="28">
        <f t="shared" si="6"/>
        <v>0</v>
      </c>
      <c r="AE24" s="28">
        <f t="shared" si="7"/>
        <v>0</v>
      </c>
      <c r="AF24" s="28">
        <f t="shared" si="8"/>
        <v>0</v>
      </c>
      <c r="AG24" s="28">
        <f t="shared" si="9"/>
        <v>0</v>
      </c>
      <c r="AH24" s="28">
        <f t="shared" si="10"/>
        <v>0</v>
      </c>
      <c r="AI24" s="10" t="s">
        <v>50</v>
      </c>
      <c r="AJ24" s="28">
        <f t="shared" si="11"/>
        <v>0</v>
      </c>
      <c r="AK24" s="28">
        <f t="shared" si="12"/>
        <v>0</v>
      </c>
      <c r="AL24" s="28">
        <f t="shared" si="13"/>
        <v>0</v>
      </c>
      <c r="AN24" s="28">
        <v>12</v>
      </c>
      <c r="AO24" s="28">
        <f>G24*0</f>
        <v>0</v>
      </c>
      <c r="AP24" s="28">
        <f>G24*(1-0)</f>
        <v>0</v>
      </c>
      <c r="AQ24" s="29" t="s">
        <v>74</v>
      </c>
      <c r="AV24" s="28">
        <f t="shared" si="14"/>
        <v>0</v>
      </c>
      <c r="AW24" s="28">
        <f t="shared" si="15"/>
        <v>0</v>
      </c>
      <c r="AX24" s="28">
        <f t="shared" si="16"/>
        <v>0</v>
      </c>
      <c r="AY24" s="29" t="s">
        <v>58</v>
      </c>
      <c r="AZ24" s="29" t="s">
        <v>59</v>
      </c>
      <c r="BA24" s="10" t="s">
        <v>60</v>
      </c>
      <c r="BC24" s="28">
        <f t="shared" si="17"/>
        <v>0</v>
      </c>
      <c r="BD24" s="28">
        <f t="shared" si="18"/>
        <v>0</v>
      </c>
      <c r="BE24" s="28">
        <v>0</v>
      </c>
      <c r="BF24" s="28">
        <f>24</f>
        <v>24</v>
      </c>
      <c r="BH24" s="28">
        <f t="shared" si="19"/>
        <v>0</v>
      </c>
      <c r="BI24" s="28">
        <f t="shared" si="20"/>
        <v>0</v>
      </c>
      <c r="BJ24" s="28">
        <f t="shared" si="21"/>
        <v>0</v>
      </c>
      <c r="BK24" s="28"/>
      <c r="BL24" s="28">
        <v>34</v>
      </c>
      <c r="BW24" s="28">
        <v>12</v>
      </c>
      <c r="BX24" s="4" t="s">
        <v>93</v>
      </c>
    </row>
    <row r="25" spans="1:76" x14ac:dyDescent="0.25">
      <c r="A25" s="30" t="s">
        <v>94</v>
      </c>
      <c r="B25" s="31" t="s">
        <v>95</v>
      </c>
      <c r="C25" s="115" t="s">
        <v>96</v>
      </c>
      <c r="D25" s="116"/>
      <c r="E25" s="31" t="s">
        <v>64</v>
      </c>
      <c r="F25" s="32">
        <v>4.2629999999999999</v>
      </c>
      <c r="G25" s="32">
        <v>0</v>
      </c>
      <c r="H25" s="32">
        <f t="shared" si="0"/>
        <v>0</v>
      </c>
      <c r="I25" s="32">
        <f t="shared" si="1"/>
        <v>0</v>
      </c>
      <c r="J25" s="32">
        <f t="shared" si="2"/>
        <v>0</v>
      </c>
      <c r="K25" s="33" t="s">
        <v>57</v>
      </c>
      <c r="Z25" s="28">
        <f t="shared" si="3"/>
        <v>0</v>
      </c>
      <c r="AB25" s="28">
        <f t="shared" si="4"/>
        <v>0</v>
      </c>
      <c r="AC25" s="28">
        <f t="shared" si="5"/>
        <v>0</v>
      </c>
      <c r="AD25" s="28">
        <f t="shared" si="6"/>
        <v>0</v>
      </c>
      <c r="AE25" s="28">
        <f t="shared" si="7"/>
        <v>0</v>
      </c>
      <c r="AF25" s="28">
        <f t="shared" si="8"/>
        <v>0</v>
      </c>
      <c r="AG25" s="28">
        <f t="shared" si="9"/>
        <v>0</v>
      </c>
      <c r="AH25" s="28">
        <f t="shared" si="10"/>
        <v>0</v>
      </c>
      <c r="AI25" s="10" t="s">
        <v>50</v>
      </c>
      <c r="AJ25" s="28">
        <f t="shared" si="11"/>
        <v>0</v>
      </c>
      <c r="AK25" s="28">
        <f t="shared" si="12"/>
        <v>0</v>
      </c>
      <c r="AL25" s="28">
        <f t="shared" si="13"/>
        <v>0</v>
      </c>
      <c r="AN25" s="28">
        <v>12</v>
      </c>
      <c r="AO25" s="28">
        <f>G25*0.615178352</f>
        <v>0</v>
      </c>
      <c r="AP25" s="28">
        <f>G25*(1-0.615178352)</f>
        <v>0</v>
      </c>
      <c r="AQ25" s="29" t="s">
        <v>53</v>
      </c>
      <c r="AV25" s="28">
        <f t="shared" si="14"/>
        <v>0</v>
      </c>
      <c r="AW25" s="28">
        <f t="shared" si="15"/>
        <v>0</v>
      </c>
      <c r="AX25" s="28">
        <f t="shared" si="16"/>
        <v>0</v>
      </c>
      <c r="AY25" s="29" t="s">
        <v>58</v>
      </c>
      <c r="AZ25" s="29" t="s">
        <v>59</v>
      </c>
      <c r="BA25" s="10" t="s">
        <v>60</v>
      </c>
      <c r="BC25" s="28">
        <f t="shared" si="17"/>
        <v>0</v>
      </c>
      <c r="BD25" s="28">
        <f t="shared" si="18"/>
        <v>0</v>
      </c>
      <c r="BE25" s="28">
        <v>0</v>
      </c>
      <c r="BF25" s="28">
        <f>25</f>
        <v>25</v>
      </c>
      <c r="BH25" s="28">
        <f t="shared" si="19"/>
        <v>0</v>
      </c>
      <c r="BI25" s="28">
        <f t="shared" si="20"/>
        <v>0</v>
      </c>
      <c r="BJ25" s="28">
        <f t="shared" si="21"/>
        <v>0</v>
      </c>
      <c r="BK25" s="28"/>
      <c r="BL25" s="28">
        <v>34</v>
      </c>
      <c r="BW25" s="28">
        <v>12</v>
      </c>
      <c r="BX25" s="4" t="s">
        <v>96</v>
      </c>
    </row>
    <row r="26" spans="1:76" ht="13.5" customHeight="1" x14ac:dyDescent="0.25">
      <c r="A26" s="34"/>
      <c r="B26" s="35" t="s">
        <v>65</v>
      </c>
      <c r="C26" s="117" t="s">
        <v>97</v>
      </c>
      <c r="D26" s="118"/>
      <c r="E26" s="118"/>
      <c r="F26" s="118"/>
      <c r="G26" s="118"/>
      <c r="H26" s="118"/>
      <c r="I26" s="118"/>
      <c r="J26" s="118"/>
      <c r="K26" s="119"/>
    </row>
    <row r="27" spans="1:76" x14ac:dyDescent="0.25">
      <c r="A27" s="24" t="s">
        <v>98</v>
      </c>
      <c r="B27" s="25" t="s">
        <v>99</v>
      </c>
      <c r="C27" s="113" t="s">
        <v>100</v>
      </c>
      <c r="D27" s="114"/>
      <c r="E27" s="25" t="s">
        <v>56</v>
      </c>
      <c r="F27" s="26">
        <v>1</v>
      </c>
      <c r="G27" s="26">
        <v>0</v>
      </c>
      <c r="H27" s="26">
        <f>F27*AO27</f>
        <v>0</v>
      </c>
      <c r="I27" s="26">
        <f>F27*AP27</f>
        <v>0</v>
      </c>
      <c r="J27" s="26">
        <f>F27*G27</f>
        <v>0</v>
      </c>
      <c r="K27" s="27" t="s">
        <v>57</v>
      </c>
      <c r="Z27" s="28">
        <f>IF(AQ27="5",BJ27,0)</f>
        <v>0</v>
      </c>
      <c r="AB27" s="28">
        <f>IF(AQ27="1",BH27,0)</f>
        <v>0</v>
      </c>
      <c r="AC27" s="28">
        <f>IF(AQ27="1",BI27,0)</f>
        <v>0</v>
      </c>
      <c r="AD27" s="28">
        <f>IF(AQ27="7",BH27,0)</f>
        <v>0</v>
      </c>
      <c r="AE27" s="28">
        <f>IF(AQ27="7",BI27,0)</f>
        <v>0</v>
      </c>
      <c r="AF27" s="28">
        <f>IF(AQ27="2",BH27,0)</f>
        <v>0</v>
      </c>
      <c r="AG27" s="28">
        <f>IF(AQ27="2",BI27,0)</f>
        <v>0</v>
      </c>
      <c r="AH27" s="28">
        <f>IF(AQ27="0",BJ27,0)</f>
        <v>0</v>
      </c>
      <c r="AI27" s="10" t="s">
        <v>50</v>
      </c>
      <c r="AJ27" s="28">
        <f>IF(AN27=0,J27,0)</f>
        <v>0</v>
      </c>
      <c r="AK27" s="28">
        <f>IF(AN27=12,J27,0)</f>
        <v>0</v>
      </c>
      <c r="AL27" s="28">
        <f>IF(AN27=21,J27,0)</f>
        <v>0</v>
      </c>
      <c r="AN27" s="28">
        <v>12</v>
      </c>
      <c r="AO27" s="28">
        <f>G27*0.518747073</f>
        <v>0</v>
      </c>
      <c r="AP27" s="28">
        <f>G27*(1-0.518747073)</f>
        <v>0</v>
      </c>
      <c r="AQ27" s="29" t="s">
        <v>53</v>
      </c>
      <c r="AV27" s="28">
        <f>AW27+AX27</f>
        <v>0</v>
      </c>
      <c r="AW27" s="28">
        <f>F27*AO27</f>
        <v>0</v>
      </c>
      <c r="AX27" s="28">
        <f>F27*AP27</f>
        <v>0</v>
      </c>
      <c r="AY27" s="29" t="s">
        <v>58</v>
      </c>
      <c r="AZ27" s="29" t="s">
        <v>59</v>
      </c>
      <c r="BA27" s="10" t="s">
        <v>60</v>
      </c>
      <c r="BC27" s="28">
        <f>AW27+AX27</f>
        <v>0</v>
      </c>
      <c r="BD27" s="28">
        <f>G27/(100-BE27)*100</f>
        <v>0</v>
      </c>
      <c r="BE27" s="28">
        <v>0</v>
      </c>
      <c r="BF27" s="28">
        <f>27</f>
        <v>27</v>
      </c>
      <c r="BH27" s="28">
        <f>F27*AO27</f>
        <v>0</v>
      </c>
      <c r="BI27" s="28">
        <f>F27*AP27</f>
        <v>0</v>
      </c>
      <c r="BJ27" s="28">
        <f>F27*G27</f>
        <v>0</v>
      </c>
      <c r="BK27" s="28"/>
      <c r="BL27" s="28">
        <v>34</v>
      </c>
      <c r="BW27" s="28">
        <v>12</v>
      </c>
      <c r="BX27" s="4" t="s">
        <v>100</v>
      </c>
    </row>
    <row r="28" spans="1:76" x14ac:dyDescent="0.25">
      <c r="A28" s="30" t="s">
        <v>101</v>
      </c>
      <c r="B28" s="31" t="s">
        <v>102</v>
      </c>
      <c r="C28" s="115" t="s">
        <v>103</v>
      </c>
      <c r="D28" s="116"/>
      <c r="E28" s="31" t="s">
        <v>87</v>
      </c>
      <c r="F28" s="32">
        <v>0.16475999999999999</v>
      </c>
      <c r="G28" s="32">
        <v>0</v>
      </c>
      <c r="H28" s="32">
        <f>F28*AO28</f>
        <v>0</v>
      </c>
      <c r="I28" s="32">
        <f>F28*AP28</f>
        <v>0</v>
      </c>
      <c r="J28" s="32">
        <f>F28*G28</f>
        <v>0</v>
      </c>
      <c r="K28" s="33" t="s">
        <v>57</v>
      </c>
      <c r="Z28" s="28">
        <f>IF(AQ28="5",BJ28,0)</f>
        <v>0</v>
      </c>
      <c r="AB28" s="28">
        <f>IF(AQ28="1",BH28,0)</f>
        <v>0</v>
      </c>
      <c r="AC28" s="28">
        <f>IF(AQ28="1",BI28,0)</f>
        <v>0</v>
      </c>
      <c r="AD28" s="28">
        <f>IF(AQ28="7",BH28,0)</f>
        <v>0</v>
      </c>
      <c r="AE28" s="28">
        <f>IF(AQ28="7",BI28,0)</f>
        <v>0</v>
      </c>
      <c r="AF28" s="28">
        <f>IF(AQ28="2",BH28,0)</f>
        <v>0</v>
      </c>
      <c r="AG28" s="28">
        <f>IF(AQ28="2",BI28,0)</f>
        <v>0</v>
      </c>
      <c r="AH28" s="28">
        <f>IF(AQ28="0",BJ28,0)</f>
        <v>0</v>
      </c>
      <c r="AI28" s="10" t="s">
        <v>50</v>
      </c>
      <c r="AJ28" s="28">
        <f>IF(AN28=0,J28,0)</f>
        <v>0</v>
      </c>
      <c r="AK28" s="28">
        <f>IF(AN28=12,J28,0)</f>
        <v>0</v>
      </c>
      <c r="AL28" s="28">
        <f>IF(AN28=21,J28,0)</f>
        <v>0</v>
      </c>
      <c r="AN28" s="28">
        <v>12</v>
      </c>
      <c r="AO28" s="28">
        <f>G28*0</f>
        <v>0</v>
      </c>
      <c r="AP28" s="28">
        <f>G28*(1-0)</f>
        <v>0</v>
      </c>
      <c r="AQ28" s="29" t="s">
        <v>74</v>
      </c>
      <c r="AV28" s="28">
        <f>AW28+AX28</f>
        <v>0</v>
      </c>
      <c r="AW28" s="28">
        <f>F28*AO28</f>
        <v>0</v>
      </c>
      <c r="AX28" s="28">
        <f>F28*AP28</f>
        <v>0</v>
      </c>
      <c r="AY28" s="29" t="s">
        <v>58</v>
      </c>
      <c r="AZ28" s="29" t="s">
        <v>59</v>
      </c>
      <c r="BA28" s="10" t="s">
        <v>60</v>
      </c>
      <c r="BC28" s="28">
        <f>AW28+AX28</f>
        <v>0</v>
      </c>
      <c r="BD28" s="28">
        <f>G28/(100-BE28)*100</f>
        <v>0</v>
      </c>
      <c r="BE28" s="28">
        <v>0</v>
      </c>
      <c r="BF28" s="28">
        <f>28</f>
        <v>28</v>
      </c>
      <c r="BH28" s="28">
        <f>F28*AO28</f>
        <v>0</v>
      </c>
      <c r="BI28" s="28">
        <f>F28*AP28</f>
        <v>0</v>
      </c>
      <c r="BJ28" s="28">
        <f>F28*G28</f>
        <v>0</v>
      </c>
      <c r="BK28" s="28"/>
      <c r="BL28" s="28">
        <v>34</v>
      </c>
      <c r="BW28" s="28">
        <v>12</v>
      </c>
      <c r="BX28" s="4" t="s">
        <v>103</v>
      </c>
    </row>
    <row r="29" spans="1:76" x14ac:dyDescent="0.25">
      <c r="A29" s="36" t="s">
        <v>50</v>
      </c>
      <c r="B29" s="37" t="s">
        <v>104</v>
      </c>
      <c r="C29" s="120" t="s">
        <v>105</v>
      </c>
      <c r="D29" s="121"/>
      <c r="E29" s="38" t="s">
        <v>4</v>
      </c>
      <c r="F29" s="38" t="s">
        <v>4</v>
      </c>
      <c r="G29" s="38" t="s">
        <v>4</v>
      </c>
      <c r="H29" s="39">
        <f>SUM(H30:H52)</f>
        <v>0</v>
      </c>
      <c r="I29" s="39">
        <f>SUM(I30:I52)</f>
        <v>0</v>
      </c>
      <c r="J29" s="39">
        <f>SUM(J30:J52)</f>
        <v>0</v>
      </c>
      <c r="K29" s="40" t="s">
        <v>50</v>
      </c>
      <c r="AI29" s="10" t="s">
        <v>50</v>
      </c>
      <c r="AS29" s="1">
        <f>SUM(AJ30:AJ52)</f>
        <v>0</v>
      </c>
      <c r="AT29" s="1">
        <f>SUM(AK30:AK52)</f>
        <v>0</v>
      </c>
      <c r="AU29" s="1">
        <f>SUM(AL30:AL52)</f>
        <v>0</v>
      </c>
    </row>
    <row r="30" spans="1:76" x14ac:dyDescent="0.25">
      <c r="A30" s="24" t="s">
        <v>106</v>
      </c>
      <c r="B30" s="25" t="s">
        <v>107</v>
      </c>
      <c r="C30" s="113" t="s">
        <v>108</v>
      </c>
      <c r="D30" s="114"/>
      <c r="E30" s="25" t="s">
        <v>64</v>
      </c>
      <c r="F30" s="26">
        <v>9.7118000000000002</v>
      </c>
      <c r="G30" s="26">
        <v>0</v>
      </c>
      <c r="H30" s="26">
        <f t="shared" ref="H30:H35" si="22">F30*AO30</f>
        <v>0</v>
      </c>
      <c r="I30" s="26">
        <f t="shared" ref="I30:I35" si="23">F30*AP30</f>
        <v>0</v>
      </c>
      <c r="J30" s="26">
        <f t="shared" ref="J30:J35" si="24">F30*G30</f>
        <v>0</v>
      </c>
      <c r="K30" s="27" t="s">
        <v>57</v>
      </c>
      <c r="Z30" s="28">
        <f t="shared" ref="Z30:Z35" si="25">IF(AQ30="5",BJ30,0)</f>
        <v>0</v>
      </c>
      <c r="AB30" s="28">
        <f t="shared" ref="AB30:AB35" si="26">IF(AQ30="1",BH30,0)</f>
        <v>0</v>
      </c>
      <c r="AC30" s="28">
        <f t="shared" ref="AC30:AC35" si="27">IF(AQ30="1",BI30,0)</f>
        <v>0</v>
      </c>
      <c r="AD30" s="28">
        <f t="shared" ref="AD30:AD35" si="28">IF(AQ30="7",BH30,0)</f>
        <v>0</v>
      </c>
      <c r="AE30" s="28">
        <f t="shared" ref="AE30:AE35" si="29">IF(AQ30="7",BI30,0)</f>
        <v>0</v>
      </c>
      <c r="AF30" s="28">
        <f t="shared" ref="AF30:AF35" si="30">IF(AQ30="2",BH30,0)</f>
        <v>0</v>
      </c>
      <c r="AG30" s="28">
        <f t="shared" ref="AG30:AG35" si="31">IF(AQ30="2",BI30,0)</f>
        <v>0</v>
      </c>
      <c r="AH30" s="28">
        <f t="shared" ref="AH30:AH35" si="32">IF(AQ30="0",BJ30,0)</f>
        <v>0</v>
      </c>
      <c r="AI30" s="10" t="s">
        <v>50</v>
      </c>
      <c r="AJ30" s="28">
        <f t="shared" ref="AJ30:AJ35" si="33">IF(AN30=0,J30,0)</f>
        <v>0</v>
      </c>
      <c r="AK30" s="28">
        <f t="shared" ref="AK30:AK35" si="34">IF(AN30=12,J30,0)</f>
        <v>0</v>
      </c>
      <c r="AL30" s="28">
        <f t="shared" ref="AL30:AL35" si="35">IF(AN30=21,J30,0)</f>
        <v>0</v>
      </c>
      <c r="AN30" s="28">
        <v>12</v>
      </c>
      <c r="AO30" s="28">
        <f>G30*0.333784853</f>
        <v>0</v>
      </c>
      <c r="AP30" s="28">
        <f>G30*(1-0.333784853)</f>
        <v>0</v>
      </c>
      <c r="AQ30" s="29" t="s">
        <v>53</v>
      </c>
      <c r="AV30" s="28">
        <f t="shared" ref="AV30:AV35" si="36">AW30+AX30</f>
        <v>0</v>
      </c>
      <c r="AW30" s="28">
        <f t="shared" ref="AW30:AW35" si="37">F30*AO30</f>
        <v>0</v>
      </c>
      <c r="AX30" s="28">
        <f t="shared" ref="AX30:AX35" si="38">F30*AP30</f>
        <v>0</v>
      </c>
      <c r="AY30" s="29" t="s">
        <v>109</v>
      </c>
      <c r="AZ30" s="29" t="s">
        <v>110</v>
      </c>
      <c r="BA30" s="10" t="s">
        <v>60</v>
      </c>
      <c r="BC30" s="28">
        <f t="shared" ref="BC30:BC35" si="39">AW30+AX30</f>
        <v>0</v>
      </c>
      <c r="BD30" s="28">
        <f t="shared" ref="BD30:BD35" si="40">G30/(100-BE30)*100</f>
        <v>0</v>
      </c>
      <c r="BE30" s="28">
        <v>0</v>
      </c>
      <c r="BF30" s="28">
        <f>30</f>
        <v>30</v>
      </c>
      <c r="BH30" s="28">
        <f t="shared" ref="BH30:BH35" si="41">F30*AO30</f>
        <v>0</v>
      </c>
      <c r="BI30" s="28">
        <f t="shared" ref="BI30:BI35" si="42">F30*AP30</f>
        <v>0</v>
      </c>
      <c r="BJ30" s="28">
        <f t="shared" ref="BJ30:BJ35" si="43">F30*G30</f>
        <v>0</v>
      </c>
      <c r="BK30" s="28"/>
      <c r="BL30" s="28">
        <v>61</v>
      </c>
      <c r="BW30" s="28">
        <v>12</v>
      </c>
      <c r="BX30" s="4" t="s">
        <v>108</v>
      </c>
    </row>
    <row r="31" spans="1:76" x14ac:dyDescent="0.25">
      <c r="A31" s="30" t="s">
        <v>111</v>
      </c>
      <c r="B31" s="31" t="s">
        <v>112</v>
      </c>
      <c r="C31" s="115" t="s">
        <v>113</v>
      </c>
      <c r="D31" s="116"/>
      <c r="E31" s="31" t="s">
        <v>64</v>
      </c>
      <c r="F31" s="32">
        <v>15.394500000000001</v>
      </c>
      <c r="G31" s="32">
        <v>0</v>
      </c>
      <c r="H31" s="32">
        <f t="shared" si="22"/>
        <v>0</v>
      </c>
      <c r="I31" s="32">
        <f t="shared" si="23"/>
        <v>0</v>
      </c>
      <c r="J31" s="32">
        <f t="shared" si="24"/>
        <v>0</v>
      </c>
      <c r="K31" s="33" t="s">
        <v>57</v>
      </c>
      <c r="Z31" s="28">
        <f t="shared" si="25"/>
        <v>0</v>
      </c>
      <c r="AB31" s="28">
        <f t="shared" si="26"/>
        <v>0</v>
      </c>
      <c r="AC31" s="28">
        <f t="shared" si="27"/>
        <v>0</v>
      </c>
      <c r="AD31" s="28">
        <f t="shared" si="28"/>
        <v>0</v>
      </c>
      <c r="AE31" s="28">
        <f t="shared" si="29"/>
        <v>0</v>
      </c>
      <c r="AF31" s="28">
        <f t="shared" si="30"/>
        <v>0</v>
      </c>
      <c r="AG31" s="28">
        <f t="shared" si="31"/>
        <v>0</v>
      </c>
      <c r="AH31" s="28">
        <f t="shared" si="32"/>
        <v>0</v>
      </c>
      <c r="AI31" s="10" t="s">
        <v>50</v>
      </c>
      <c r="AJ31" s="28">
        <f t="shared" si="33"/>
        <v>0</v>
      </c>
      <c r="AK31" s="28">
        <f t="shared" si="34"/>
        <v>0</v>
      </c>
      <c r="AL31" s="28">
        <f t="shared" si="35"/>
        <v>0</v>
      </c>
      <c r="AN31" s="28">
        <v>12</v>
      </c>
      <c r="AO31" s="28">
        <f>G31*0</f>
        <v>0</v>
      </c>
      <c r="AP31" s="28">
        <f>G31*(1-0)</f>
        <v>0</v>
      </c>
      <c r="AQ31" s="29" t="s">
        <v>53</v>
      </c>
      <c r="AV31" s="28">
        <f t="shared" si="36"/>
        <v>0</v>
      </c>
      <c r="AW31" s="28">
        <f t="shared" si="37"/>
        <v>0</v>
      </c>
      <c r="AX31" s="28">
        <f t="shared" si="38"/>
        <v>0</v>
      </c>
      <c r="AY31" s="29" t="s">
        <v>109</v>
      </c>
      <c r="AZ31" s="29" t="s">
        <v>110</v>
      </c>
      <c r="BA31" s="10" t="s">
        <v>60</v>
      </c>
      <c r="BC31" s="28">
        <f t="shared" si="39"/>
        <v>0</v>
      </c>
      <c r="BD31" s="28">
        <f t="shared" si="40"/>
        <v>0</v>
      </c>
      <c r="BE31" s="28">
        <v>0</v>
      </c>
      <c r="BF31" s="28">
        <f>31</f>
        <v>31</v>
      </c>
      <c r="BH31" s="28">
        <f t="shared" si="41"/>
        <v>0</v>
      </c>
      <c r="BI31" s="28">
        <f t="shared" si="42"/>
        <v>0</v>
      </c>
      <c r="BJ31" s="28">
        <f t="shared" si="43"/>
        <v>0</v>
      </c>
      <c r="BK31" s="28"/>
      <c r="BL31" s="28">
        <v>61</v>
      </c>
      <c r="BW31" s="28">
        <v>12</v>
      </c>
      <c r="BX31" s="4" t="s">
        <v>113</v>
      </c>
    </row>
    <row r="32" spans="1:76" x14ac:dyDescent="0.25">
      <c r="A32" s="30" t="s">
        <v>114</v>
      </c>
      <c r="B32" s="31" t="s">
        <v>85</v>
      </c>
      <c r="C32" s="115" t="s">
        <v>86</v>
      </c>
      <c r="D32" s="116"/>
      <c r="E32" s="31" t="s">
        <v>87</v>
      </c>
      <c r="F32" s="32">
        <v>1.0468299999999999</v>
      </c>
      <c r="G32" s="32">
        <v>0</v>
      </c>
      <c r="H32" s="32">
        <f t="shared" si="22"/>
        <v>0</v>
      </c>
      <c r="I32" s="32">
        <f t="shared" si="23"/>
        <v>0</v>
      </c>
      <c r="J32" s="32">
        <f t="shared" si="24"/>
        <v>0</v>
      </c>
      <c r="K32" s="33" t="s">
        <v>57</v>
      </c>
      <c r="Z32" s="28">
        <f t="shared" si="25"/>
        <v>0</v>
      </c>
      <c r="AB32" s="28">
        <f t="shared" si="26"/>
        <v>0</v>
      </c>
      <c r="AC32" s="28">
        <f t="shared" si="27"/>
        <v>0</v>
      </c>
      <c r="AD32" s="28">
        <f t="shared" si="28"/>
        <v>0</v>
      </c>
      <c r="AE32" s="28">
        <f t="shared" si="29"/>
        <v>0</v>
      </c>
      <c r="AF32" s="28">
        <f t="shared" si="30"/>
        <v>0</v>
      </c>
      <c r="AG32" s="28">
        <f t="shared" si="31"/>
        <v>0</v>
      </c>
      <c r="AH32" s="28">
        <f t="shared" si="32"/>
        <v>0</v>
      </c>
      <c r="AI32" s="10" t="s">
        <v>50</v>
      </c>
      <c r="AJ32" s="28">
        <f t="shared" si="33"/>
        <v>0</v>
      </c>
      <c r="AK32" s="28">
        <f t="shared" si="34"/>
        <v>0</v>
      </c>
      <c r="AL32" s="28">
        <f t="shared" si="35"/>
        <v>0</v>
      </c>
      <c r="AN32" s="28">
        <v>12</v>
      </c>
      <c r="AO32" s="28">
        <f>G32*0</f>
        <v>0</v>
      </c>
      <c r="AP32" s="28">
        <f>G32*(1-0)</f>
        <v>0</v>
      </c>
      <c r="AQ32" s="29" t="s">
        <v>74</v>
      </c>
      <c r="AV32" s="28">
        <f t="shared" si="36"/>
        <v>0</v>
      </c>
      <c r="AW32" s="28">
        <f t="shared" si="37"/>
        <v>0</v>
      </c>
      <c r="AX32" s="28">
        <f t="shared" si="38"/>
        <v>0</v>
      </c>
      <c r="AY32" s="29" t="s">
        <v>109</v>
      </c>
      <c r="AZ32" s="29" t="s">
        <v>110</v>
      </c>
      <c r="BA32" s="10" t="s">
        <v>60</v>
      </c>
      <c r="BC32" s="28">
        <f t="shared" si="39"/>
        <v>0</v>
      </c>
      <c r="BD32" s="28">
        <f t="shared" si="40"/>
        <v>0</v>
      </c>
      <c r="BE32" s="28">
        <v>0</v>
      </c>
      <c r="BF32" s="28">
        <f>32</f>
        <v>32</v>
      </c>
      <c r="BH32" s="28">
        <f t="shared" si="41"/>
        <v>0</v>
      </c>
      <c r="BI32" s="28">
        <f t="shared" si="42"/>
        <v>0</v>
      </c>
      <c r="BJ32" s="28">
        <f t="shared" si="43"/>
        <v>0</v>
      </c>
      <c r="BK32" s="28"/>
      <c r="BL32" s="28">
        <v>61</v>
      </c>
      <c r="BW32" s="28">
        <v>12</v>
      </c>
      <c r="BX32" s="4" t="s">
        <v>86</v>
      </c>
    </row>
    <row r="33" spans="1:76" x14ac:dyDescent="0.25">
      <c r="A33" s="30" t="s">
        <v>115</v>
      </c>
      <c r="B33" s="31" t="s">
        <v>89</v>
      </c>
      <c r="C33" s="115" t="s">
        <v>90</v>
      </c>
      <c r="D33" s="116"/>
      <c r="E33" s="31" t="s">
        <v>87</v>
      </c>
      <c r="F33" s="32">
        <v>0.33128999999999997</v>
      </c>
      <c r="G33" s="32">
        <v>0</v>
      </c>
      <c r="H33" s="32">
        <f t="shared" si="22"/>
        <v>0</v>
      </c>
      <c r="I33" s="32">
        <f t="shared" si="23"/>
        <v>0</v>
      </c>
      <c r="J33" s="32">
        <f t="shared" si="24"/>
        <v>0</v>
      </c>
      <c r="K33" s="33" t="s">
        <v>57</v>
      </c>
      <c r="Z33" s="28">
        <f t="shared" si="25"/>
        <v>0</v>
      </c>
      <c r="AB33" s="28">
        <f t="shared" si="26"/>
        <v>0</v>
      </c>
      <c r="AC33" s="28">
        <f t="shared" si="27"/>
        <v>0</v>
      </c>
      <c r="AD33" s="28">
        <f t="shared" si="28"/>
        <v>0</v>
      </c>
      <c r="AE33" s="28">
        <f t="shared" si="29"/>
        <v>0</v>
      </c>
      <c r="AF33" s="28">
        <f t="shared" si="30"/>
        <v>0</v>
      </c>
      <c r="AG33" s="28">
        <f t="shared" si="31"/>
        <v>0</v>
      </c>
      <c r="AH33" s="28">
        <f t="shared" si="32"/>
        <v>0</v>
      </c>
      <c r="AI33" s="10" t="s">
        <v>50</v>
      </c>
      <c r="AJ33" s="28">
        <f t="shared" si="33"/>
        <v>0</v>
      </c>
      <c r="AK33" s="28">
        <f t="shared" si="34"/>
        <v>0</v>
      </c>
      <c r="AL33" s="28">
        <f t="shared" si="35"/>
        <v>0</v>
      </c>
      <c r="AN33" s="28">
        <v>12</v>
      </c>
      <c r="AO33" s="28">
        <f>G33*0.010795282</f>
        <v>0</v>
      </c>
      <c r="AP33" s="28">
        <f>G33*(1-0.010795282)</f>
        <v>0</v>
      </c>
      <c r="AQ33" s="29" t="s">
        <v>74</v>
      </c>
      <c r="AV33" s="28">
        <f t="shared" si="36"/>
        <v>0</v>
      </c>
      <c r="AW33" s="28">
        <f t="shared" si="37"/>
        <v>0</v>
      </c>
      <c r="AX33" s="28">
        <f t="shared" si="38"/>
        <v>0</v>
      </c>
      <c r="AY33" s="29" t="s">
        <v>109</v>
      </c>
      <c r="AZ33" s="29" t="s">
        <v>110</v>
      </c>
      <c r="BA33" s="10" t="s">
        <v>60</v>
      </c>
      <c r="BC33" s="28">
        <f t="shared" si="39"/>
        <v>0</v>
      </c>
      <c r="BD33" s="28">
        <f t="shared" si="40"/>
        <v>0</v>
      </c>
      <c r="BE33" s="28">
        <v>0</v>
      </c>
      <c r="BF33" s="28">
        <f>33</f>
        <v>33</v>
      </c>
      <c r="BH33" s="28">
        <f t="shared" si="41"/>
        <v>0</v>
      </c>
      <c r="BI33" s="28">
        <f t="shared" si="42"/>
        <v>0</v>
      </c>
      <c r="BJ33" s="28">
        <f t="shared" si="43"/>
        <v>0</v>
      </c>
      <c r="BK33" s="28"/>
      <c r="BL33" s="28">
        <v>61</v>
      </c>
      <c r="BW33" s="28">
        <v>12</v>
      </c>
      <c r="BX33" s="4" t="s">
        <v>90</v>
      </c>
    </row>
    <row r="34" spans="1:76" x14ac:dyDescent="0.25">
      <c r="A34" s="30" t="s">
        <v>116</v>
      </c>
      <c r="B34" s="31" t="s">
        <v>117</v>
      </c>
      <c r="C34" s="115" t="s">
        <v>118</v>
      </c>
      <c r="D34" s="116"/>
      <c r="E34" s="31" t="s">
        <v>87</v>
      </c>
      <c r="F34" s="32">
        <v>0.33128999999999997</v>
      </c>
      <c r="G34" s="32">
        <v>0</v>
      </c>
      <c r="H34" s="32">
        <f t="shared" si="22"/>
        <v>0</v>
      </c>
      <c r="I34" s="32">
        <f t="shared" si="23"/>
        <v>0</v>
      </c>
      <c r="J34" s="32">
        <f t="shared" si="24"/>
        <v>0</v>
      </c>
      <c r="K34" s="33" t="s">
        <v>119</v>
      </c>
      <c r="Z34" s="28">
        <f t="shared" si="25"/>
        <v>0</v>
      </c>
      <c r="AB34" s="28">
        <f t="shared" si="26"/>
        <v>0</v>
      </c>
      <c r="AC34" s="28">
        <f t="shared" si="27"/>
        <v>0</v>
      </c>
      <c r="AD34" s="28">
        <f t="shared" si="28"/>
        <v>0</v>
      </c>
      <c r="AE34" s="28">
        <f t="shared" si="29"/>
        <v>0</v>
      </c>
      <c r="AF34" s="28">
        <f t="shared" si="30"/>
        <v>0</v>
      </c>
      <c r="AG34" s="28">
        <f t="shared" si="31"/>
        <v>0</v>
      </c>
      <c r="AH34" s="28">
        <f t="shared" si="32"/>
        <v>0</v>
      </c>
      <c r="AI34" s="10" t="s">
        <v>50</v>
      </c>
      <c r="AJ34" s="28">
        <f t="shared" si="33"/>
        <v>0</v>
      </c>
      <c r="AK34" s="28">
        <f t="shared" si="34"/>
        <v>0</v>
      </c>
      <c r="AL34" s="28">
        <f t="shared" si="35"/>
        <v>0</v>
      </c>
      <c r="AN34" s="28">
        <v>12</v>
      </c>
      <c r="AO34" s="28">
        <f>G34*0</f>
        <v>0</v>
      </c>
      <c r="AP34" s="28">
        <f>G34*(1-0)</f>
        <v>0</v>
      </c>
      <c r="AQ34" s="29" t="s">
        <v>74</v>
      </c>
      <c r="AV34" s="28">
        <f t="shared" si="36"/>
        <v>0</v>
      </c>
      <c r="AW34" s="28">
        <f t="shared" si="37"/>
        <v>0</v>
      </c>
      <c r="AX34" s="28">
        <f t="shared" si="38"/>
        <v>0</v>
      </c>
      <c r="AY34" s="29" t="s">
        <v>109</v>
      </c>
      <c r="AZ34" s="29" t="s">
        <v>110</v>
      </c>
      <c r="BA34" s="10" t="s">
        <v>60</v>
      </c>
      <c r="BC34" s="28">
        <f t="shared" si="39"/>
        <v>0</v>
      </c>
      <c r="BD34" s="28">
        <f t="shared" si="40"/>
        <v>0</v>
      </c>
      <c r="BE34" s="28">
        <v>0</v>
      </c>
      <c r="BF34" s="28">
        <f>34</f>
        <v>34</v>
      </c>
      <c r="BH34" s="28">
        <f t="shared" si="41"/>
        <v>0</v>
      </c>
      <c r="BI34" s="28">
        <f t="shared" si="42"/>
        <v>0</v>
      </c>
      <c r="BJ34" s="28">
        <f t="shared" si="43"/>
        <v>0</v>
      </c>
      <c r="BK34" s="28"/>
      <c r="BL34" s="28">
        <v>61</v>
      </c>
      <c r="BW34" s="28">
        <v>12</v>
      </c>
      <c r="BX34" s="4" t="s">
        <v>118</v>
      </c>
    </row>
    <row r="35" spans="1:76" x14ac:dyDescent="0.25">
      <c r="A35" s="30" t="s">
        <v>120</v>
      </c>
      <c r="B35" s="31" t="s">
        <v>121</v>
      </c>
      <c r="C35" s="115" t="s">
        <v>122</v>
      </c>
      <c r="D35" s="116"/>
      <c r="E35" s="31" t="s">
        <v>77</v>
      </c>
      <c r="F35" s="32">
        <v>68.3</v>
      </c>
      <c r="G35" s="32">
        <v>0</v>
      </c>
      <c r="H35" s="32">
        <f t="shared" si="22"/>
        <v>0</v>
      </c>
      <c r="I35" s="32">
        <f t="shared" si="23"/>
        <v>0</v>
      </c>
      <c r="J35" s="32">
        <f t="shared" si="24"/>
        <v>0</v>
      </c>
      <c r="K35" s="33" t="s">
        <v>57</v>
      </c>
      <c r="Z35" s="28">
        <f t="shared" si="25"/>
        <v>0</v>
      </c>
      <c r="AB35" s="28">
        <f t="shared" si="26"/>
        <v>0</v>
      </c>
      <c r="AC35" s="28">
        <f t="shared" si="27"/>
        <v>0</v>
      </c>
      <c r="AD35" s="28">
        <f t="shared" si="28"/>
        <v>0</v>
      </c>
      <c r="AE35" s="28">
        <f t="shared" si="29"/>
        <v>0</v>
      </c>
      <c r="AF35" s="28">
        <f t="shared" si="30"/>
        <v>0</v>
      </c>
      <c r="AG35" s="28">
        <f t="shared" si="31"/>
        <v>0</v>
      </c>
      <c r="AH35" s="28">
        <f t="shared" si="32"/>
        <v>0</v>
      </c>
      <c r="AI35" s="10" t="s">
        <v>50</v>
      </c>
      <c r="AJ35" s="28">
        <f t="shared" si="33"/>
        <v>0</v>
      </c>
      <c r="AK35" s="28">
        <f t="shared" si="34"/>
        <v>0</v>
      </c>
      <c r="AL35" s="28">
        <f t="shared" si="35"/>
        <v>0</v>
      </c>
      <c r="AN35" s="28">
        <v>12</v>
      </c>
      <c r="AO35" s="28">
        <f>G35*0.43697285</f>
        <v>0</v>
      </c>
      <c r="AP35" s="28">
        <f>G35*(1-0.43697285)</f>
        <v>0</v>
      </c>
      <c r="AQ35" s="29" t="s">
        <v>53</v>
      </c>
      <c r="AV35" s="28">
        <f t="shared" si="36"/>
        <v>0</v>
      </c>
      <c r="AW35" s="28">
        <f t="shared" si="37"/>
        <v>0</v>
      </c>
      <c r="AX35" s="28">
        <f t="shared" si="38"/>
        <v>0</v>
      </c>
      <c r="AY35" s="29" t="s">
        <v>109</v>
      </c>
      <c r="AZ35" s="29" t="s">
        <v>110</v>
      </c>
      <c r="BA35" s="10" t="s">
        <v>60</v>
      </c>
      <c r="BC35" s="28">
        <f t="shared" si="39"/>
        <v>0</v>
      </c>
      <c r="BD35" s="28">
        <f t="shared" si="40"/>
        <v>0</v>
      </c>
      <c r="BE35" s="28">
        <v>0</v>
      </c>
      <c r="BF35" s="28">
        <f>35</f>
        <v>35</v>
      </c>
      <c r="BH35" s="28">
        <f t="shared" si="41"/>
        <v>0</v>
      </c>
      <c r="BI35" s="28">
        <f t="shared" si="42"/>
        <v>0</v>
      </c>
      <c r="BJ35" s="28">
        <f t="shared" si="43"/>
        <v>0</v>
      </c>
      <c r="BK35" s="28"/>
      <c r="BL35" s="28">
        <v>61</v>
      </c>
      <c r="BW35" s="28">
        <v>12</v>
      </c>
      <c r="BX35" s="4" t="s">
        <v>122</v>
      </c>
    </row>
    <row r="36" spans="1:76" ht="13.5" customHeight="1" x14ac:dyDescent="0.25">
      <c r="A36" s="34"/>
      <c r="B36" s="35" t="s">
        <v>65</v>
      </c>
      <c r="C36" s="117" t="s">
        <v>123</v>
      </c>
      <c r="D36" s="118"/>
      <c r="E36" s="118"/>
      <c r="F36" s="118"/>
      <c r="G36" s="118"/>
      <c r="H36" s="118"/>
      <c r="I36" s="118"/>
      <c r="J36" s="118"/>
      <c r="K36" s="119"/>
    </row>
    <row r="37" spans="1:76" x14ac:dyDescent="0.25">
      <c r="A37" s="24" t="s">
        <v>124</v>
      </c>
      <c r="B37" s="25" t="s">
        <v>125</v>
      </c>
      <c r="C37" s="113" t="s">
        <v>126</v>
      </c>
      <c r="D37" s="114"/>
      <c r="E37" s="25" t="s">
        <v>64</v>
      </c>
      <c r="F37" s="26">
        <v>15.394500000000001</v>
      </c>
      <c r="G37" s="26">
        <v>0</v>
      </c>
      <c r="H37" s="26">
        <f t="shared" ref="H37:H43" si="44">F37*AO37</f>
        <v>0</v>
      </c>
      <c r="I37" s="26">
        <f t="shared" ref="I37:I43" si="45">F37*AP37</f>
        <v>0</v>
      </c>
      <c r="J37" s="26">
        <f t="shared" ref="J37:J43" si="46">F37*G37</f>
        <v>0</v>
      </c>
      <c r="K37" s="27" t="s">
        <v>57</v>
      </c>
      <c r="Z37" s="28">
        <f t="shared" ref="Z37:Z43" si="47">IF(AQ37="5",BJ37,0)</f>
        <v>0</v>
      </c>
      <c r="AB37" s="28">
        <f t="shared" ref="AB37:AB43" si="48">IF(AQ37="1",BH37,0)</f>
        <v>0</v>
      </c>
      <c r="AC37" s="28">
        <f t="shared" ref="AC37:AC43" si="49">IF(AQ37="1",BI37,0)</f>
        <v>0</v>
      </c>
      <c r="AD37" s="28">
        <f t="shared" ref="AD37:AD43" si="50">IF(AQ37="7",BH37,0)</f>
        <v>0</v>
      </c>
      <c r="AE37" s="28">
        <f t="shared" ref="AE37:AE43" si="51">IF(AQ37="7",BI37,0)</f>
        <v>0</v>
      </c>
      <c r="AF37" s="28">
        <f t="shared" ref="AF37:AF43" si="52">IF(AQ37="2",BH37,0)</f>
        <v>0</v>
      </c>
      <c r="AG37" s="28">
        <f t="shared" ref="AG37:AG43" si="53">IF(AQ37="2",BI37,0)</f>
        <v>0</v>
      </c>
      <c r="AH37" s="28">
        <f t="shared" ref="AH37:AH43" si="54">IF(AQ37="0",BJ37,0)</f>
        <v>0</v>
      </c>
      <c r="AI37" s="10" t="s">
        <v>50</v>
      </c>
      <c r="AJ37" s="28">
        <f t="shared" ref="AJ37:AJ43" si="55">IF(AN37=0,J37,0)</f>
        <v>0</v>
      </c>
      <c r="AK37" s="28">
        <f t="shared" ref="AK37:AK43" si="56">IF(AN37=12,J37,0)</f>
        <v>0</v>
      </c>
      <c r="AL37" s="28">
        <f t="shared" ref="AL37:AL43" si="57">IF(AN37=21,J37,0)</f>
        <v>0</v>
      </c>
      <c r="AN37" s="28">
        <v>12</v>
      </c>
      <c r="AO37" s="28">
        <f>G37*0.256491866</f>
        <v>0</v>
      </c>
      <c r="AP37" s="28">
        <f>G37*(1-0.256491866)</f>
        <v>0</v>
      </c>
      <c r="AQ37" s="29" t="s">
        <v>53</v>
      </c>
      <c r="AV37" s="28">
        <f t="shared" ref="AV37:AV43" si="58">AW37+AX37</f>
        <v>0</v>
      </c>
      <c r="AW37" s="28">
        <f t="shared" ref="AW37:AW43" si="59">F37*AO37</f>
        <v>0</v>
      </c>
      <c r="AX37" s="28">
        <f t="shared" ref="AX37:AX43" si="60">F37*AP37</f>
        <v>0</v>
      </c>
      <c r="AY37" s="29" t="s">
        <v>109</v>
      </c>
      <c r="AZ37" s="29" t="s">
        <v>110</v>
      </c>
      <c r="BA37" s="10" t="s">
        <v>60</v>
      </c>
      <c r="BC37" s="28">
        <f t="shared" ref="BC37:BC43" si="61">AW37+AX37</f>
        <v>0</v>
      </c>
      <c r="BD37" s="28">
        <f t="shared" ref="BD37:BD43" si="62">G37/(100-BE37)*100</f>
        <v>0</v>
      </c>
      <c r="BE37" s="28">
        <v>0</v>
      </c>
      <c r="BF37" s="28">
        <f>37</f>
        <v>37</v>
      </c>
      <c r="BH37" s="28">
        <f t="shared" ref="BH37:BH43" si="63">F37*AO37</f>
        <v>0</v>
      </c>
      <c r="BI37" s="28">
        <f t="shared" ref="BI37:BI43" si="64">F37*AP37</f>
        <v>0</v>
      </c>
      <c r="BJ37" s="28">
        <f t="shared" ref="BJ37:BJ43" si="65">F37*G37</f>
        <v>0</v>
      </c>
      <c r="BK37" s="28"/>
      <c r="BL37" s="28">
        <v>61</v>
      </c>
      <c r="BW37" s="28">
        <v>12</v>
      </c>
      <c r="BX37" s="4" t="s">
        <v>126</v>
      </c>
    </row>
    <row r="38" spans="1:76" x14ac:dyDescent="0.25">
      <c r="A38" s="30" t="s">
        <v>127</v>
      </c>
      <c r="B38" s="31" t="s">
        <v>128</v>
      </c>
      <c r="C38" s="115" t="s">
        <v>129</v>
      </c>
      <c r="D38" s="116"/>
      <c r="E38" s="31" t="s">
        <v>64</v>
      </c>
      <c r="F38" s="32">
        <v>179.64510000000001</v>
      </c>
      <c r="G38" s="32">
        <v>0</v>
      </c>
      <c r="H38" s="32">
        <f t="shared" si="44"/>
        <v>0</v>
      </c>
      <c r="I38" s="32">
        <f t="shared" si="45"/>
        <v>0</v>
      </c>
      <c r="J38" s="32">
        <f t="shared" si="46"/>
        <v>0</v>
      </c>
      <c r="K38" s="33" t="s">
        <v>57</v>
      </c>
      <c r="Z38" s="28">
        <f t="shared" si="47"/>
        <v>0</v>
      </c>
      <c r="AB38" s="28">
        <f t="shared" si="48"/>
        <v>0</v>
      </c>
      <c r="AC38" s="28">
        <f t="shared" si="49"/>
        <v>0</v>
      </c>
      <c r="AD38" s="28">
        <f t="shared" si="50"/>
        <v>0</v>
      </c>
      <c r="AE38" s="28">
        <f t="shared" si="51"/>
        <v>0</v>
      </c>
      <c r="AF38" s="28">
        <f t="shared" si="52"/>
        <v>0</v>
      </c>
      <c r="AG38" s="28">
        <f t="shared" si="53"/>
        <v>0</v>
      </c>
      <c r="AH38" s="28">
        <f t="shared" si="54"/>
        <v>0</v>
      </c>
      <c r="AI38" s="10" t="s">
        <v>50</v>
      </c>
      <c r="AJ38" s="28">
        <f t="shared" si="55"/>
        <v>0</v>
      </c>
      <c r="AK38" s="28">
        <f t="shared" si="56"/>
        <v>0</v>
      </c>
      <c r="AL38" s="28">
        <f t="shared" si="57"/>
        <v>0</v>
      </c>
      <c r="AN38" s="28">
        <v>12</v>
      </c>
      <c r="AO38" s="28">
        <f>G38*0.090183283</f>
        <v>0</v>
      </c>
      <c r="AP38" s="28">
        <f>G38*(1-0.090183283)</f>
        <v>0</v>
      </c>
      <c r="AQ38" s="29" t="s">
        <v>53</v>
      </c>
      <c r="AV38" s="28">
        <f t="shared" si="58"/>
        <v>0</v>
      </c>
      <c r="AW38" s="28">
        <f t="shared" si="59"/>
        <v>0</v>
      </c>
      <c r="AX38" s="28">
        <f t="shared" si="60"/>
        <v>0</v>
      </c>
      <c r="AY38" s="29" t="s">
        <v>109</v>
      </c>
      <c r="AZ38" s="29" t="s">
        <v>110</v>
      </c>
      <c r="BA38" s="10" t="s">
        <v>60</v>
      </c>
      <c r="BC38" s="28">
        <f t="shared" si="61"/>
        <v>0</v>
      </c>
      <c r="BD38" s="28">
        <f t="shared" si="62"/>
        <v>0</v>
      </c>
      <c r="BE38" s="28">
        <v>0</v>
      </c>
      <c r="BF38" s="28">
        <f>38</f>
        <v>38</v>
      </c>
      <c r="BH38" s="28">
        <f t="shared" si="63"/>
        <v>0</v>
      </c>
      <c r="BI38" s="28">
        <f t="shared" si="64"/>
        <v>0</v>
      </c>
      <c r="BJ38" s="28">
        <f t="shared" si="65"/>
        <v>0</v>
      </c>
      <c r="BK38" s="28"/>
      <c r="BL38" s="28">
        <v>61</v>
      </c>
      <c r="BW38" s="28">
        <v>12</v>
      </c>
      <c r="BX38" s="4" t="s">
        <v>129</v>
      </c>
    </row>
    <row r="39" spans="1:76" x14ac:dyDescent="0.25">
      <c r="A39" s="30" t="s">
        <v>130</v>
      </c>
      <c r="B39" s="31" t="s">
        <v>131</v>
      </c>
      <c r="C39" s="115" t="s">
        <v>132</v>
      </c>
      <c r="D39" s="116"/>
      <c r="E39" s="31" t="s">
        <v>64</v>
      </c>
      <c r="F39" s="32">
        <v>22.956499999999998</v>
      </c>
      <c r="G39" s="32">
        <v>0</v>
      </c>
      <c r="H39" s="32">
        <f t="shared" si="44"/>
        <v>0</v>
      </c>
      <c r="I39" s="32">
        <f t="shared" si="45"/>
        <v>0</v>
      </c>
      <c r="J39" s="32">
        <f t="shared" si="46"/>
        <v>0</v>
      </c>
      <c r="K39" s="33" t="s">
        <v>57</v>
      </c>
      <c r="Z39" s="28">
        <f t="shared" si="47"/>
        <v>0</v>
      </c>
      <c r="AB39" s="28">
        <f t="shared" si="48"/>
        <v>0</v>
      </c>
      <c r="AC39" s="28">
        <f t="shared" si="49"/>
        <v>0</v>
      </c>
      <c r="AD39" s="28">
        <f t="shared" si="50"/>
        <v>0</v>
      </c>
      <c r="AE39" s="28">
        <f t="shared" si="51"/>
        <v>0</v>
      </c>
      <c r="AF39" s="28">
        <f t="shared" si="52"/>
        <v>0</v>
      </c>
      <c r="AG39" s="28">
        <f t="shared" si="53"/>
        <v>0</v>
      </c>
      <c r="AH39" s="28">
        <f t="shared" si="54"/>
        <v>0</v>
      </c>
      <c r="AI39" s="10" t="s">
        <v>50</v>
      </c>
      <c r="AJ39" s="28">
        <f t="shared" si="55"/>
        <v>0</v>
      </c>
      <c r="AK39" s="28">
        <f t="shared" si="56"/>
        <v>0</v>
      </c>
      <c r="AL39" s="28">
        <f t="shared" si="57"/>
        <v>0</v>
      </c>
      <c r="AN39" s="28">
        <v>12</v>
      </c>
      <c r="AO39" s="28">
        <f>G39*0</f>
        <v>0</v>
      </c>
      <c r="AP39" s="28">
        <f>G39*(1-0)</f>
        <v>0</v>
      </c>
      <c r="AQ39" s="29" t="s">
        <v>53</v>
      </c>
      <c r="AV39" s="28">
        <f t="shared" si="58"/>
        <v>0</v>
      </c>
      <c r="AW39" s="28">
        <f t="shared" si="59"/>
        <v>0</v>
      </c>
      <c r="AX39" s="28">
        <f t="shared" si="60"/>
        <v>0</v>
      </c>
      <c r="AY39" s="29" t="s">
        <v>109</v>
      </c>
      <c r="AZ39" s="29" t="s">
        <v>110</v>
      </c>
      <c r="BA39" s="10" t="s">
        <v>60</v>
      </c>
      <c r="BC39" s="28">
        <f t="shared" si="61"/>
        <v>0</v>
      </c>
      <c r="BD39" s="28">
        <f t="shared" si="62"/>
        <v>0</v>
      </c>
      <c r="BE39" s="28">
        <v>0</v>
      </c>
      <c r="BF39" s="28">
        <f>39</f>
        <v>39</v>
      </c>
      <c r="BH39" s="28">
        <f t="shared" si="63"/>
        <v>0</v>
      </c>
      <c r="BI39" s="28">
        <f t="shared" si="64"/>
        <v>0</v>
      </c>
      <c r="BJ39" s="28">
        <f t="shared" si="65"/>
        <v>0</v>
      </c>
      <c r="BK39" s="28"/>
      <c r="BL39" s="28">
        <v>61</v>
      </c>
      <c r="BW39" s="28">
        <v>12</v>
      </c>
      <c r="BX39" s="4" t="s">
        <v>132</v>
      </c>
    </row>
    <row r="40" spans="1:76" x14ac:dyDescent="0.25">
      <c r="A40" s="30" t="s">
        <v>133</v>
      </c>
      <c r="B40" s="31" t="s">
        <v>134</v>
      </c>
      <c r="C40" s="115" t="s">
        <v>135</v>
      </c>
      <c r="D40" s="116"/>
      <c r="E40" s="31" t="s">
        <v>136</v>
      </c>
      <c r="F40" s="32">
        <v>72.312970000000007</v>
      </c>
      <c r="G40" s="32">
        <v>0</v>
      </c>
      <c r="H40" s="32">
        <f t="shared" si="44"/>
        <v>0</v>
      </c>
      <c r="I40" s="32">
        <f t="shared" si="45"/>
        <v>0</v>
      </c>
      <c r="J40" s="32">
        <f t="shared" si="46"/>
        <v>0</v>
      </c>
      <c r="K40" s="33" t="s">
        <v>57</v>
      </c>
      <c r="Z40" s="28">
        <f t="shared" si="47"/>
        <v>0</v>
      </c>
      <c r="AB40" s="28">
        <f t="shared" si="48"/>
        <v>0</v>
      </c>
      <c r="AC40" s="28">
        <f t="shared" si="49"/>
        <v>0</v>
      </c>
      <c r="AD40" s="28">
        <f t="shared" si="50"/>
        <v>0</v>
      </c>
      <c r="AE40" s="28">
        <f t="shared" si="51"/>
        <v>0</v>
      </c>
      <c r="AF40" s="28">
        <f t="shared" si="52"/>
        <v>0</v>
      </c>
      <c r="AG40" s="28">
        <f t="shared" si="53"/>
        <v>0</v>
      </c>
      <c r="AH40" s="28">
        <f t="shared" si="54"/>
        <v>0</v>
      </c>
      <c r="AI40" s="10" t="s">
        <v>50</v>
      </c>
      <c r="AJ40" s="28">
        <f t="shared" si="55"/>
        <v>0</v>
      </c>
      <c r="AK40" s="28">
        <f t="shared" si="56"/>
        <v>0</v>
      </c>
      <c r="AL40" s="28">
        <f t="shared" si="57"/>
        <v>0</v>
      </c>
      <c r="AN40" s="28">
        <v>12</v>
      </c>
      <c r="AO40" s="28">
        <f>G40*1</f>
        <v>0</v>
      </c>
      <c r="AP40" s="28">
        <f>G40*(1-1)</f>
        <v>0</v>
      </c>
      <c r="AQ40" s="29" t="s">
        <v>53</v>
      </c>
      <c r="AV40" s="28">
        <f t="shared" si="58"/>
        <v>0</v>
      </c>
      <c r="AW40" s="28">
        <f t="shared" si="59"/>
        <v>0</v>
      </c>
      <c r="AX40" s="28">
        <f t="shared" si="60"/>
        <v>0</v>
      </c>
      <c r="AY40" s="29" t="s">
        <v>109</v>
      </c>
      <c r="AZ40" s="29" t="s">
        <v>110</v>
      </c>
      <c r="BA40" s="10" t="s">
        <v>60</v>
      </c>
      <c r="BC40" s="28">
        <f t="shared" si="61"/>
        <v>0</v>
      </c>
      <c r="BD40" s="28">
        <f t="shared" si="62"/>
        <v>0</v>
      </c>
      <c r="BE40" s="28">
        <v>0</v>
      </c>
      <c r="BF40" s="28">
        <f>40</f>
        <v>40</v>
      </c>
      <c r="BH40" s="28">
        <f t="shared" si="63"/>
        <v>0</v>
      </c>
      <c r="BI40" s="28">
        <f t="shared" si="64"/>
        <v>0</v>
      </c>
      <c r="BJ40" s="28">
        <f t="shared" si="65"/>
        <v>0</v>
      </c>
      <c r="BK40" s="28"/>
      <c r="BL40" s="28">
        <v>61</v>
      </c>
      <c r="BW40" s="28">
        <v>12</v>
      </c>
      <c r="BX40" s="4" t="s">
        <v>135</v>
      </c>
    </row>
    <row r="41" spans="1:76" x14ac:dyDescent="0.25">
      <c r="A41" s="30" t="s">
        <v>137</v>
      </c>
      <c r="B41" s="31" t="s">
        <v>138</v>
      </c>
      <c r="C41" s="115" t="s">
        <v>139</v>
      </c>
      <c r="D41" s="116"/>
      <c r="E41" s="31" t="s">
        <v>64</v>
      </c>
      <c r="F41" s="32">
        <v>22.956499999999998</v>
      </c>
      <c r="G41" s="32">
        <v>0</v>
      </c>
      <c r="H41" s="32">
        <f t="shared" si="44"/>
        <v>0</v>
      </c>
      <c r="I41" s="32">
        <f t="shared" si="45"/>
        <v>0</v>
      </c>
      <c r="J41" s="32">
        <f t="shared" si="46"/>
        <v>0</v>
      </c>
      <c r="K41" s="33" t="s">
        <v>57</v>
      </c>
      <c r="Z41" s="28">
        <f t="shared" si="47"/>
        <v>0</v>
      </c>
      <c r="AB41" s="28">
        <f t="shared" si="48"/>
        <v>0</v>
      </c>
      <c r="AC41" s="28">
        <f t="shared" si="49"/>
        <v>0</v>
      </c>
      <c r="AD41" s="28">
        <f t="shared" si="50"/>
        <v>0</v>
      </c>
      <c r="AE41" s="28">
        <f t="shared" si="51"/>
        <v>0</v>
      </c>
      <c r="AF41" s="28">
        <f t="shared" si="52"/>
        <v>0</v>
      </c>
      <c r="AG41" s="28">
        <f t="shared" si="53"/>
        <v>0</v>
      </c>
      <c r="AH41" s="28">
        <f t="shared" si="54"/>
        <v>0</v>
      </c>
      <c r="AI41" s="10" t="s">
        <v>50</v>
      </c>
      <c r="AJ41" s="28">
        <f t="shared" si="55"/>
        <v>0</v>
      </c>
      <c r="AK41" s="28">
        <f t="shared" si="56"/>
        <v>0</v>
      </c>
      <c r="AL41" s="28">
        <f t="shared" si="57"/>
        <v>0</v>
      </c>
      <c r="AN41" s="28">
        <v>12</v>
      </c>
      <c r="AO41" s="28">
        <f>G41*0.254414528</f>
        <v>0</v>
      </c>
      <c r="AP41" s="28">
        <f>G41*(1-0.254414528)</f>
        <v>0</v>
      </c>
      <c r="AQ41" s="29" t="s">
        <v>53</v>
      </c>
      <c r="AV41" s="28">
        <f t="shared" si="58"/>
        <v>0</v>
      </c>
      <c r="AW41" s="28">
        <f t="shared" si="59"/>
        <v>0</v>
      </c>
      <c r="AX41" s="28">
        <f t="shared" si="60"/>
        <v>0</v>
      </c>
      <c r="AY41" s="29" t="s">
        <v>109</v>
      </c>
      <c r="AZ41" s="29" t="s">
        <v>110</v>
      </c>
      <c r="BA41" s="10" t="s">
        <v>60</v>
      </c>
      <c r="BC41" s="28">
        <f t="shared" si="61"/>
        <v>0</v>
      </c>
      <c r="BD41" s="28">
        <f t="shared" si="62"/>
        <v>0</v>
      </c>
      <c r="BE41" s="28">
        <v>0</v>
      </c>
      <c r="BF41" s="28">
        <f>41</f>
        <v>41</v>
      </c>
      <c r="BH41" s="28">
        <f t="shared" si="63"/>
        <v>0</v>
      </c>
      <c r="BI41" s="28">
        <f t="shared" si="64"/>
        <v>0</v>
      </c>
      <c r="BJ41" s="28">
        <f t="shared" si="65"/>
        <v>0</v>
      </c>
      <c r="BK41" s="28"/>
      <c r="BL41" s="28">
        <v>61</v>
      </c>
      <c r="BW41" s="28">
        <v>12</v>
      </c>
      <c r="BX41" s="4" t="s">
        <v>139</v>
      </c>
    </row>
    <row r="42" spans="1:76" x14ac:dyDescent="0.25">
      <c r="A42" s="30" t="s">
        <v>140</v>
      </c>
      <c r="B42" s="31" t="s">
        <v>141</v>
      </c>
      <c r="C42" s="115" t="s">
        <v>142</v>
      </c>
      <c r="D42" s="116"/>
      <c r="E42" s="31" t="s">
        <v>77</v>
      </c>
      <c r="F42" s="32">
        <v>27.72</v>
      </c>
      <c r="G42" s="32">
        <v>0</v>
      </c>
      <c r="H42" s="32">
        <f t="shared" si="44"/>
        <v>0</v>
      </c>
      <c r="I42" s="32">
        <f t="shared" si="45"/>
        <v>0</v>
      </c>
      <c r="J42" s="32">
        <f t="shared" si="46"/>
        <v>0</v>
      </c>
      <c r="K42" s="33" t="s">
        <v>57</v>
      </c>
      <c r="Z42" s="28">
        <f t="shared" si="47"/>
        <v>0</v>
      </c>
      <c r="AB42" s="28">
        <f t="shared" si="48"/>
        <v>0</v>
      </c>
      <c r="AC42" s="28">
        <f t="shared" si="49"/>
        <v>0</v>
      </c>
      <c r="AD42" s="28">
        <f t="shared" si="50"/>
        <v>0</v>
      </c>
      <c r="AE42" s="28">
        <f t="shared" si="51"/>
        <v>0</v>
      </c>
      <c r="AF42" s="28">
        <f t="shared" si="52"/>
        <v>0</v>
      </c>
      <c r="AG42" s="28">
        <f t="shared" si="53"/>
        <v>0</v>
      </c>
      <c r="AH42" s="28">
        <f t="shared" si="54"/>
        <v>0</v>
      </c>
      <c r="AI42" s="10" t="s">
        <v>50</v>
      </c>
      <c r="AJ42" s="28">
        <f t="shared" si="55"/>
        <v>0</v>
      </c>
      <c r="AK42" s="28">
        <f t="shared" si="56"/>
        <v>0</v>
      </c>
      <c r="AL42" s="28">
        <f t="shared" si="57"/>
        <v>0</v>
      </c>
      <c r="AN42" s="28">
        <v>12</v>
      </c>
      <c r="AO42" s="28">
        <f>G42*0.86306163</f>
        <v>0</v>
      </c>
      <c r="AP42" s="28">
        <f>G42*(1-0.86306163)</f>
        <v>0</v>
      </c>
      <c r="AQ42" s="29" t="s">
        <v>53</v>
      </c>
      <c r="AV42" s="28">
        <f t="shared" si="58"/>
        <v>0</v>
      </c>
      <c r="AW42" s="28">
        <f t="shared" si="59"/>
        <v>0</v>
      </c>
      <c r="AX42" s="28">
        <f t="shared" si="60"/>
        <v>0</v>
      </c>
      <c r="AY42" s="29" t="s">
        <v>109</v>
      </c>
      <c r="AZ42" s="29" t="s">
        <v>110</v>
      </c>
      <c r="BA42" s="10" t="s">
        <v>60</v>
      </c>
      <c r="BC42" s="28">
        <f t="shared" si="61"/>
        <v>0</v>
      </c>
      <c r="BD42" s="28">
        <f t="shared" si="62"/>
        <v>0</v>
      </c>
      <c r="BE42" s="28">
        <v>0</v>
      </c>
      <c r="BF42" s="28">
        <f>42</f>
        <v>42</v>
      </c>
      <c r="BH42" s="28">
        <f t="shared" si="63"/>
        <v>0</v>
      </c>
      <c r="BI42" s="28">
        <f t="shared" si="64"/>
        <v>0</v>
      </c>
      <c r="BJ42" s="28">
        <f t="shared" si="65"/>
        <v>0</v>
      </c>
      <c r="BK42" s="28"/>
      <c r="BL42" s="28">
        <v>61</v>
      </c>
      <c r="BW42" s="28">
        <v>12</v>
      </c>
      <c r="BX42" s="4" t="s">
        <v>142</v>
      </c>
    </row>
    <row r="43" spans="1:76" x14ac:dyDescent="0.25">
      <c r="A43" s="30" t="s">
        <v>143</v>
      </c>
      <c r="B43" s="31" t="s">
        <v>144</v>
      </c>
      <c r="C43" s="115" t="s">
        <v>145</v>
      </c>
      <c r="D43" s="116"/>
      <c r="E43" s="31" t="s">
        <v>64</v>
      </c>
      <c r="F43" s="32">
        <v>127.2011</v>
      </c>
      <c r="G43" s="32">
        <v>0</v>
      </c>
      <c r="H43" s="32">
        <f t="shared" si="44"/>
        <v>0</v>
      </c>
      <c r="I43" s="32">
        <f t="shared" si="45"/>
        <v>0</v>
      </c>
      <c r="J43" s="32">
        <f t="shared" si="46"/>
        <v>0</v>
      </c>
      <c r="K43" s="33" t="s">
        <v>57</v>
      </c>
      <c r="Z43" s="28">
        <f t="shared" si="47"/>
        <v>0</v>
      </c>
      <c r="AB43" s="28">
        <f t="shared" si="48"/>
        <v>0</v>
      </c>
      <c r="AC43" s="28">
        <f t="shared" si="49"/>
        <v>0</v>
      </c>
      <c r="AD43" s="28">
        <f t="shared" si="50"/>
        <v>0</v>
      </c>
      <c r="AE43" s="28">
        <f t="shared" si="51"/>
        <v>0</v>
      </c>
      <c r="AF43" s="28">
        <f t="shared" si="52"/>
        <v>0</v>
      </c>
      <c r="AG43" s="28">
        <f t="shared" si="53"/>
        <v>0</v>
      </c>
      <c r="AH43" s="28">
        <f t="shared" si="54"/>
        <v>0</v>
      </c>
      <c r="AI43" s="10" t="s">
        <v>50</v>
      </c>
      <c r="AJ43" s="28">
        <f t="shared" si="55"/>
        <v>0</v>
      </c>
      <c r="AK43" s="28">
        <f t="shared" si="56"/>
        <v>0</v>
      </c>
      <c r="AL43" s="28">
        <f t="shared" si="57"/>
        <v>0</v>
      </c>
      <c r="AN43" s="28">
        <v>12</v>
      </c>
      <c r="AO43" s="28">
        <f>G43*0.347656961</f>
        <v>0</v>
      </c>
      <c r="AP43" s="28">
        <f>G43*(1-0.347656961)</f>
        <v>0</v>
      </c>
      <c r="AQ43" s="29" t="s">
        <v>53</v>
      </c>
      <c r="AV43" s="28">
        <f t="shared" si="58"/>
        <v>0</v>
      </c>
      <c r="AW43" s="28">
        <f t="shared" si="59"/>
        <v>0</v>
      </c>
      <c r="AX43" s="28">
        <f t="shared" si="60"/>
        <v>0</v>
      </c>
      <c r="AY43" s="29" t="s">
        <v>109</v>
      </c>
      <c r="AZ43" s="29" t="s">
        <v>110</v>
      </c>
      <c r="BA43" s="10" t="s">
        <v>60</v>
      </c>
      <c r="BC43" s="28">
        <f t="shared" si="61"/>
        <v>0</v>
      </c>
      <c r="BD43" s="28">
        <f t="shared" si="62"/>
        <v>0</v>
      </c>
      <c r="BE43" s="28">
        <v>0</v>
      </c>
      <c r="BF43" s="28">
        <f>43</f>
        <v>43</v>
      </c>
      <c r="BH43" s="28">
        <f t="shared" si="63"/>
        <v>0</v>
      </c>
      <c r="BI43" s="28">
        <f t="shared" si="64"/>
        <v>0</v>
      </c>
      <c r="BJ43" s="28">
        <f t="shared" si="65"/>
        <v>0</v>
      </c>
      <c r="BK43" s="28"/>
      <c r="BL43" s="28">
        <v>61</v>
      </c>
      <c r="BW43" s="28">
        <v>12</v>
      </c>
      <c r="BX43" s="4" t="s">
        <v>145</v>
      </c>
    </row>
    <row r="44" spans="1:76" ht="13.5" customHeight="1" x14ac:dyDescent="0.25">
      <c r="A44" s="34"/>
      <c r="B44" s="35" t="s">
        <v>65</v>
      </c>
      <c r="C44" s="117" t="s">
        <v>146</v>
      </c>
      <c r="D44" s="118"/>
      <c r="E44" s="118"/>
      <c r="F44" s="118"/>
      <c r="G44" s="118"/>
      <c r="H44" s="118"/>
      <c r="I44" s="118"/>
      <c r="J44" s="118"/>
      <c r="K44" s="119"/>
    </row>
    <row r="45" spans="1:76" x14ac:dyDescent="0.25">
      <c r="A45" s="24" t="s">
        <v>147</v>
      </c>
      <c r="B45" s="25" t="s">
        <v>148</v>
      </c>
      <c r="C45" s="113" t="s">
        <v>149</v>
      </c>
      <c r="D45" s="114"/>
      <c r="E45" s="25" t="s">
        <v>77</v>
      </c>
      <c r="F45" s="26">
        <v>28</v>
      </c>
      <c r="G45" s="26">
        <v>0</v>
      </c>
      <c r="H45" s="26">
        <f>F45*AO45</f>
        <v>0</v>
      </c>
      <c r="I45" s="26">
        <f>F45*AP45</f>
        <v>0</v>
      </c>
      <c r="J45" s="26">
        <f>F45*G45</f>
        <v>0</v>
      </c>
      <c r="K45" s="27" t="s">
        <v>57</v>
      </c>
      <c r="Z45" s="28">
        <f>IF(AQ45="5",BJ45,0)</f>
        <v>0</v>
      </c>
      <c r="AB45" s="28">
        <f>IF(AQ45="1",BH45,0)</f>
        <v>0</v>
      </c>
      <c r="AC45" s="28">
        <f>IF(AQ45="1",BI45,0)</f>
        <v>0</v>
      </c>
      <c r="AD45" s="28">
        <f>IF(AQ45="7",BH45,0)</f>
        <v>0</v>
      </c>
      <c r="AE45" s="28">
        <f>IF(AQ45="7",BI45,0)</f>
        <v>0</v>
      </c>
      <c r="AF45" s="28">
        <f>IF(AQ45="2",BH45,0)</f>
        <v>0</v>
      </c>
      <c r="AG45" s="28">
        <f>IF(AQ45="2",BI45,0)</f>
        <v>0</v>
      </c>
      <c r="AH45" s="28">
        <f>IF(AQ45="0",BJ45,0)</f>
        <v>0</v>
      </c>
      <c r="AI45" s="10" t="s">
        <v>50</v>
      </c>
      <c r="AJ45" s="28">
        <f>IF(AN45=0,J45,0)</f>
        <v>0</v>
      </c>
      <c r="AK45" s="28">
        <f>IF(AN45=12,J45,0)</f>
        <v>0</v>
      </c>
      <c r="AL45" s="28">
        <f>IF(AN45=21,J45,0)</f>
        <v>0</v>
      </c>
      <c r="AN45" s="28">
        <v>12</v>
      </c>
      <c r="AO45" s="28">
        <f>G45*0.636304063</f>
        <v>0</v>
      </c>
      <c r="AP45" s="28">
        <f>G45*(1-0.636304063)</f>
        <v>0</v>
      </c>
      <c r="AQ45" s="29" t="s">
        <v>53</v>
      </c>
      <c r="AV45" s="28">
        <f>AW45+AX45</f>
        <v>0</v>
      </c>
      <c r="AW45" s="28">
        <f>F45*AO45</f>
        <v>0</v>
      </c>
      <c r="AX45" s="28">
        <f>F45*AP45</f>
        <v>0</v>
      </c>
      <c r="AY45" s="29" t="s">
        <v>109</v>
      </c>
      <c r="AZ45" s="29" t="s">
        <v>110</v>
      </c>
      <c r="BA45" s="10" t="s">
        <v>60</v>
      </c>
      <c r="BC45" s="28">
        <f>AW45+AX45</f>
        <v>0</v>
      </c>
      <c r="BD45" s="28">
        <f>G45/(100-BE45)*100</f>
        <v>0</v>
      </c>
      <c r="BE45" s="28">
        <v>0</v>
      </c>
      <c r="BF45" s="28">
        <f>45</f>
        <v>45</v>
      </c>
      <c r="BH45" s="28">
        <f>F45*AO45</f>
        <v>0</v>
      </c>
      <c r="BI45" s="28">
        <f>F45*AP45</f>
        <v>0</v>
      </c>
      <c r="BJ45" s="28">
        <f>F45*G45</f>
        <v>0</v>
      </c>
      <c r="BK45" s="28"/>
      <c r="BL45" s="28">
        <v>61</v>
      </c>
      <c r="BW45" s="28">
        <v>12</v>
      </c>
      <c r="BX45" s="4" t="s">
        <v>149</v>
      </c>
    </row>
    <row r="46" spans="1:76" x14ac:dyDescent="0.25">
      <c r="A46" s="30" t="s">
        <v>150</v>
      </c>
      <c r="B46" s="31" t="s">
        <v>151</v>
      </c>
      <c r="C46" s="115" t="s">
        <v>152</v>
      </c>
      <c r="D46" s="116"/>
      <c r="E46" s="31" t="s">
        <v>64</v>
      </c>
      <c r="F46" s="32">
        <v>127.2011</v>
      </c>
      <c r="G46" s="32">
        <v>0</v>
      </c>
      <c r="H46" s="32">
        <f>F46*AO46</f>
        <v>0</v>
      </c>
      <c r="I46" s="32">
        <f>F46*AP46</f>
        <v>0</v>
      </c>
      <c r="J46" s="32">
        <f>F46*G46</f>
        <v>0</v>
      </c>
      <c r="K46" s="33" t="s">
        <v>153</v>
      </c>
      <c r="Z46" s="28">
        <f>IF(AQ46="5",BJ46,0)</f>
        <v>0</v>
      </c>
      <c r="AB46" s="28">
        <f>IF(AQ46="1",BH46,0)</f>
        <v>0</v>
      </c>
      <c r="AC46" s="28">
        <f>IF(AQ46="1",BI46,0)</f>
        <v>0</v>
      </c>
      <c r="AD46" s="28">
        <f>IF(AQ46="7",BH46,0)</f>
        <v>0</v>
      </c>
      <c r="AE46" s="28">
        <f>IF(AQ46="7",BI46,0)</f>
        <v>0</v>
      </c>
      <c r="AF46" s="28">
        <f>IF(AQ46="2",BH46,0)</f>
        <v>0</v>
      </c>
      <c r="AG46" s="28">
        <f>IF(AQ46="2",BI46,0)</f>
        <v>0</v>
      </c>
      <c r="AH46" s="28">
        <f>IF(AQ46="0",BJ46,0)</f>
        <v>0</v>
      </c>
      <c r="AI46" s="10" t="s">
        <v>50</v>
      </c>
      <c r="AJ46" s="28">
        <f>IF(AN46=0,J46,0)</f>
        <v>0</v>
      </c>
      <c r="AK46" s="28">
        <f>IF(AN46=12,J46,0)</f>
        <v>0</v>
      </c>
      <c r="AL46" s="28">
        <f>IF(AN46=21,J46,0)</f>
        <v>0</v>
      </c>
      <c r="AN46" s="28">
        <v>12</v>
      </c>
      <c r="AO46" s="28">
        <f>G46*0.118661696</f>
        <v>0</v>
      </c>
      <c r="AP46" s="28">
        <f>G46*(1-0.118661696)</f>
        <v>0</v>
      </c>
      <c r="AQ46" s="29" t="s">
        <v>53</v>
      </c>
      <c r="AV46" s="28">
        <f>AW46+AX46</f>
        <v>0</v>
      </c>
      <c r="AW46" s="28">
        <f>F46*AO46</f>
        <v>0</v>
      </c>
      <c r="AX46" s="28">
        <f>F46*AP46</f>
        <v>0</v>
      </c>
      <c r="AY46" s="29" t="s">
        <v>109</v>
      </c>
      <c r="AZ46" s="29" t="s">
        <v>110</v>
      </c>
      <c r="BA46" s="10" t="s">
        <v>60</v>
      </c>
      <c r="BC46" s="28">
        <f>AW46+AX46</f>
        <v>0</v>
      </c>
      <c r="BD46" s="28">
        <f>G46/(100-BE46)*100</f>
        <v>0</v>
      </c>
      <c r="BE46" s="28">
        <v>0</v>
      </c>
      <c r="BF46" s="28">
        <f>46</f>
        <v>46</v>
      </c>
      <c r="BH46" s="28">
        <f>F46*AO46</f>
        <v>0</v>
      </c>
      <c r="BI46" s="28">
        <f>F46*AP46</f>
        <v>0</v>
      </c>
      <c r="BJ46" s="28">
        <f>F46*G46</f>
        <v>0</v>
      </c>
      <c r="BK46" s="28"/>
      <c r="BL46" s="28">
        <v>61</v>
      </c>
      <c r="BW46" s="28">
        <v>12</v>
      </c>
      <c r="BX46" s="4" t="s">
        <v>152</v>
      </c>
    </row>
    <row r="47" spans="1:76" x14ac:dyDescent="0.25">
      <c r="A47" s="30" t="s">
        <v>154</v>
      </c>
      <c r="B47" s="31" t="s">
        <v>155</v>
      </c>
      <c r="C47" s="115" t="s">
        <v>156</v>
      </c>
      <c r="D47" s="116"/>
      <c r="E47" s="31" t="s">
        <v>64</v>
      </c>
      <c r="F47" s="32">
        <v>47.15</v>
      </c>
      <c r="G47" s="32">
        <v>0</v>
      </c>
      <c r="H47" s="32">
        <f>F47*AO47</f>
        <v>0</v>
      </c>
      <c r="I47" s="32">
        <f>F47*AP47</f>
        <v>0</v>
      </c>
      <c r="J47" s="32">
        <f>F47*G47</f>
        <v>0</v>
      </c>
      <c r="K47" s="33" t="s">
        <v>57</v>
      </c>
      <c r="Z47" s="28">
        <f>IF(AQ47="5",BJ47,0)</f>
        <v>0</v>
      </c>
      <c r="AB47" s="28">
        <f>IF(AQ47="1",BH47,0)</f>
        <v>0</v>
      </c>
      <c r="AC47" s="28">
        <f>IF(AQ47="1",BI47,0)</f>
        <v>0</v>
      </c>
      <c r="AD47" s="28">
        <f>IF(AQ47="7",BH47,0)</f>
        <v>0</v>
      </c>
      <c r="AE47" s="28">
        <f>IF(AQ47="7",BI47,0)</f>
        <v>0</v>
      </c>
      <c r="AF47" s="28">
        <f>IF(AQ47="2",BH47,0)</f>
        <v>0</v>
      </c>
      <c r="AG47" s="28">
        <f>IF(AQ47="2",BI47,0)</f>
        <v>0</v>
      </c>
      <c r="AH47" s="28">
        <f>IF(AQ47="0",BJ47,0)</f>
        <v>0</v>
      </c>
      <c r="AI47" s="10" t="s">
        <v>50</v>
      </c>
      <c r="AJ47" s="28">
        <f>IF(AN47=0,J47,0)</f>
        <v>0</v>
      </c>
      <c r="AK47" s="28">
        <f>IF(AN47=12,J47,0)</f>
        <v>0</v>
      </c>
      <c r="AL47" s="28">
        <f>IF(AN47=21,J47,0)</f>
        <v>0</v>
      </c>
      <c r="AN47" s="28">
        <v>12</v>
      </c>
      <c r="AO47" s="28">
        <f>G47*0.308728606</f>
        <v>0</v>
      </c>
      <c r="AP47" s="28">
        <f>G47*(1-0.308728606)</f>
        <v>0</v>
      </c>
      <c r="AQ47" s="29" t="s">
        <v>53</v>
      </c>
      <c r="AV47" s="28">
        <f>AW47+AX47</f>
        <v>0</v>
      </c>
      <c r="AW47" s="28">
        <f>F47*AO47</f>
        <v>0</v>
      </c>
      <c r="AX47" s="28">
        <f>F47*AP47</f>
        <v>0</v>
      </c>
      <c r="AY47" s="29" t="s">
        <v>109</v>
      </c>
      <c r="AZ47" s="29" t="s">
        <v>110</v>
      </c>
      <c r="BA47" s="10" t="s">
        <v>60</v>
      </c>
      <c r="BC47" s="28">
        <f>AW47+AX47</f>
        <v>0</v>
      </c>
      <c r="BD47" s="28">
        <f>G47/(100-BE47)*100</f>
        <v>0</v>
      </c>
      <c r="BE47" s="28">
        <v>0</v>
      </c>
      <c r="BF47" s="28">
        <f>47</f>
        <v>47</v>
      </c>
      <c r="BH47" s="28">
        <f>F47*AO47</f>
        <v>0</v>
      </c>
      <c r="BI47" s="28">
        <f>F47*AP47</f>
        <v>0</v>
      </c>
      <c r="BJ47" s="28">
        <f>F47*G47</f>
        <v>0</v>
      </c>
      <c r="BK47" s="28"/>
      <c r="BL47" s="28">
        <v>61</v>
      </c>
      <c r="BW47" s="28">
        <v>12</v>
      </c>
      <c r="BX47" s="4" t="s">
        <v>156</v>
      </c>
    </row>
    <row r="48" spans="1:76" ht="13.5" customHeight="1" x14ac:dyDescent="0.25">
      <c r="A48" s="34"/>
      <c r="B48" s="35" t="s">
        <v>65</v>
      </c>
      <c r="C48" s="117" t="s">
        <v>157</v>
      </c>
      <c r="D48" s="118"/>
      <c r="E48" s="118"/>
      <c r="F48" s="118"/>
      <c r="G48" s="118"/>
      <c r="H48" s="118"/>
      <c r="I48" s="118"/>
      <c r="J48" s="118"/>
      <c r="K48" s="119"/>
    </row>
    <row r="49" spans="1:76" x14ac:dyDescent="0.25">
      <c r="A49" s="24" t="s">
        <v>158</v>
      </c>
      <c r="B49" s="25" t="s">
        <v>159</v>
      </c>
      <c r="C49" s="113" t="s">
        <v>160</v>
      </c>
      <c r="D49" s="114"/>
      <c r="E49" s="25" t="s">
        <v>64</v>
      </c>
      <c r="F49" s="26">
        <v>47.15</v>
      </c>
      <c r="G49" s="26">
        <v>0</v>
      </c>
      <c r="H49" s="26">
        <f>F49*AO49</f>
        <v>0</v>
      </c>
      <c r="I49" s="26">
        <f>F49*AP49</f>
        <v>0</v>
      </c>
      <c r="J49" s="26">
        <f>F49*G49</f>
        <v>0</v>
      </c>
      <c r="K49" s="27" t="s">
        <v>57</v>
      </c>
      <c r="Z49" s="28">
        <f>IF(AQ49="5",BJ49,0)</f>
        <v>0</v>
      </c>
      <c r="AB49" s="28">
        <f>IF(AQ49="1",BH49,0)</f>
        <v>0</v>
      </c>
      <c r="AC49" s="28">
        <f>IF(AQ49="1",BI49,0)</f>
        <v>0</v>
      </c>
      <c r="AD49" s="28">
        <f>IF(AQ49="7",BH49,0)</f>
        <v>0</v>
      </c>
      <c r="AE49" s="28">
        <f>IF(AQ49="7",BI49,0)</f>
        <v>0</v>
      </c>
      <c r="AF49" s="28">
        <f>IF(AQ49="2",BH49,0)</f>
        <v>0</v>
      </c>
      <c r="AG49" s="28">
        <f>IF(AQ49="2",BI49,0)</f>
        <v>0</v>
      </c>
      <c r="AH49" s="28">
        <f>IF(AQ49="0",BJ49,0)</f>
        <v>0</v>
      </c>
      <c r="AI49" s="10" t="s">
        <v>50</v>
      </c>
      <c r="AJ49" s="28">
        <f>IF(AN49=0,J49,0)</f>
        <v>0</v>
      </c>
      <c r="AK49" s="28">
        <f>IF(AN49=12,J49,0)</f>
        <v>0</v>
      </c>
      <c r="AL49" s="28">
        <f>IF(AN49=21,J49,0)</f>
        <v>0</v>
      </c>
      <c r="AN49" s="28">
        <v>12</v>
      </c>
      <c r="AO49" s="28">
        <f>G49*0.20599045</f>
        <v>0</v>
      </c>
      <c r="AP49" s="28">
        <f>G49*(1-0.20599045)</f>
        <v>0</v>
      </c>
      <c r="AQ49" s="29" t="s">
        <v>53</v>
      </c>
      <c r="AV49" s="28">
        <f>AW49+AX49</f>
        <v>0</v>
      </c>
      <c r="AW49" s="28">
        <f>F49*AO49</f>
        <v>0</v>
      </c>
      <c r="AX49" s="28">
        <f>F49*AP49</f>
        <v>0</v>
      </c>
      <c r="AY49" s="29" t="s">
        <v>109</v>
      </c>
      <c r="AZ49" s="29" t="s">
        <v>110</v>
      </c>
      <c r="BA49" s="10" t="s">
        <v>60</v>
      </c>
      <c r="BC49" s="28">
        <f>AW49+AX49</f>
        <v>0</v>
      </c>
      <c r="BD49" s="28">
        <f>G49/(100-BE49)*100</f>
        <v>0</v>
      </c>
      <c r="BE49" s="28">
        <v>0</v>
      </c>
      <c r="BF49" s="28">
        <f>49</f>
        <v>49</v>
      </c>
      <c r="BH49" s="28">
        <f>F49*AO49</f>
        <v>0</v>
      </c>
      <c r="BI49" s="28">
        <f>F49*AP49</f>
        <v>0</v>
      </c>
      <c r="BJ49" s="28">
        <f>F49*G49</f>
        <v>0</v>
      </c>
      <c r="BK49" s="28"/>
      <c r="BL49" s="28">
        <v>61</v>
      </c>
      <c r="BW49" s="28">
        <v>12</v>
      </c>
      <c r="BX49" s="4" t="s">
        <v>160</v>
      </c>
    </row>
    <row r="50" spans="1:76" x14ac:dyDescent="0.25">
      <c r="A50" s="30" t="s">
        <v>161</v>
      </c>
      <c r="B50" s="31" t="s">
        <v>162</v>
      </c>
      <c r="C50" s="115" t="s">
        <v>163</v>
      </c>
      <c r="D50" s="116"/>
      <c r="E50" s="31" t="s">
        <v>64</v>
      </c>
      <c r="F50" s="32">
        <v>4</v>
      </c>
      <c r="G50" s="32">
        <v>0</v>
      </c>
      <c r="H50" s="32">
        <f>F50*AO50</f>
        <v>0</v>
      </c>
      <c r="I50" s="32">
        <f>F50*AP50</f>
        <v>0</v>
      </c>
      <c r="J50" s="32">
        <f>F50*G50</f>
        <v>0</v>
      </c>
      <c r="K50" s="33" t="s">
        <v>57</v>
      </c>
      <c r="Z50" s="28">
        <f>IF(AQ50="5",BJ50,0)</f>
        <v>0</v>
      </c>
      <c r="AB50" s="28">
        <f>IF(AQ50="1",BH50,0)</f>
        <v>0</v>
      </c>
      <c r="AC50" s="28">
        <f>IF(AQ50="1",BI50,0)</f>
        <v>0</v>
      </c>
      <c r="AD50" s="28">
        <f>IF(AQ50="7",BH50,0)</f>
        <v>0</v>
      </c>
      <c r="AE50" s="28">
        <f>IF(AQ50="7",BI50,0)</f>
        <v>0</v>
      </c>
      <c r="AF50" s="28">
        <f>IF(AQ50="2",BH50,0)</f>
        <v>0</v>
      </c>
      <c r="AG50" s="28">
        <f>IF(AQ50="2",BI50,0)</f>
        <v>0</v>
      </c>
      <c r="AH50" s="28">
        <f>IF(AQ50="0",BJ50,0)</f>
        <v>0</v>
      </c>
      <c r="AI50" s="10" t="s">
        <v>50</v>
      </c>
      <c r="AJ50" s="28">
        <f>IF(AN50=0,J50,0)</f>
        <v>0</v>
      </c>
      <c r="AK50" s="28">
        <f>IF(AN50=12,J50,0)</f>
        <v>0</v>
      </c>
      <c r="AL50" s="28">
        <f>IF(AN50=21,J50,0)</f>
        <v>0</v>
      </c>
      <c r="AN50" s="28">
        <v>12</v>
      </c>
      <c r="AO50" s="28">
        <f>G50*0.328787276</f>
        <v>0</v>
      </c>
      <c r="AP50" s="28">
        <f>G50*(1-0.328787276)</f>
        <v>0</v>
      </c>
      <c r="AQ50" s="29" t="s">
        <v>53</v>
      </c>
      <c r="AV50" s="28">
        <f>AW50+AX50</f>
        <v>0</v>
      </c>
      <c r="AW50" s="28">
        <f>F50*AO50</f>
        <v>0</v>
      </c>
      <c r="AX50" s="28">
        <f>F50*AP50</f>
        <v>0</v>
      </c>
      <c r="AY50" s="29" t="s">
        <v>109</v>
      </c>
      <c r="AZ50" s="29" t="s">
        <v>110</v>
      </c>
      <c r="BA50" s="10" t="s">
        <v>60</v>
      </c>
      <c r="BC50" s="28">
        <f>AW50+AX50</f>
        <v>0</v>
      </c>
      <c r="BD50" s="28">
        <f>G50/(100-BE50)*100</f>
        <v>0</v>
      </c>
      <c r="BE50" s="28">
        <v>0</v>
      </c>
      <c r="BF50" s="28">
        <f>50</f>
        <v>50</v>
      </c>
      <c r="BH50" s="28">
        <f>F50*AO50</f>
        <v>0</v>
      </c>
      <c r="BI50" s="28">
        <f>F50*AP50</f>
        <v>0</v>
      </c>
      <c r="BJ50" s="28">
        <f>F50*G50</f>
        <v>0</v>
      </c>
      <c r="BK50" s="28"/>
      <c r="BL50" s="28">
        <v>61</v>
      </c>
      <c r="BW50" s="28">
        <v>12</v>
      </c>
      <c r="BX50" s="4" t="s">
        <v>163</v>
      </c>
    </row>
    <row r="51" spans="1:76" ht="13.5" customHeight="1" x14ac:dyDescent="0.25">
      <c r="A51" s="34"/>
      <c r="B51" s="35" t="s">
        <v>65</v>
      </c>
      <c r="C51" s="117" t="s">
        <v>164</v>
      </c>
      <c r="D51" s="118"/>
      <c r="E51" s="118"/>
      <c r="F51" s="118"/>
      <c r="G51" s="118"/>
      <c r="H51" s="118"/>
      <c r="I51" s="118"/>
      <c r="J51" s="118"/>
      <c r="K51" s="119"/>
    </row>
    <row r="52" spans="1:76" x14ac:dyDescent="0.25">
      <c r="A52" s="24" t="s">
        <v>165</v>
      </c>
      <c r="B52" s="25" t="s">
        <v>102</v>
      </c>
      <c r="C52" s="113" t="s">
        <v>103</v>
      </c>
      <c r="D52" s="114"/>
      <c r="E52" s="25" t="s">
        <v>87</v>
      </c>
      <c r="F52" s="26">
        <v>3.0996000000000001</v>
      </c>
      <c r="G52" s="26">
        <v>0</v>
      </c>
      <c r="H52" s="26">
        <f>F52*AO52</f>
        <v>0</v>
      </c>
      <c r="I52" s="26">
        <f>F52*AP52</f>
        <v>0</v>
      </c>
      <c r="J52" s="26">
        <f>F52*G52</f>
        <v>0</v>
      </c>
      <c r="K52" s="27" t="s">
        <v>57</v>
      </c>
      <c r="Z52" s="28">
        <f>IF(AQ52="5",BJ52,0)</f>
        <v>0</v>
      </c>
      <c r="AB52" s="28">
        <f>IF(AQ52="1",BH52,0)</f>
        <v>0</v>
      </c>
      <c r="AC52" s="28">
        <f>IF(AQ52="1",BI52,0)</f>
        <v>0</v>
      </c>
      <c r="AD52" s="28">
        <f>IF(AQ52="7",BH52,0)</f>
        <v>0</v>
      </c>
      <c r="AE52" s="28">
        <f>IF(AQ52="7",BI52,0)</f>
        <v>0</v>
      </c>
      <c r="AF52" s="28">
        <f>IF(AQ52="2",BH52,0)</f>
        <v>0</v>
      </c>
      <c r="AG52" s="28">
        <f>IF(AQ52="2",BI52,0)</f>
        <v>0</v>
      </c>
      <c r="AH52" s="28">
        <f>IF(AQ52="0",BJ52,0)</f>
        <v>0</v>
      </c>
      <c r="AI52" s="10" t="s">
        <v>50</v>
      </c>
      <c r="AJ52" s="28">
        <f>IF(AN52=0,J52,0)</f>
        <v>0</v>
      </c>
      <c r="AK52" s="28">
        <f>IF(AN52=12,J52,0)</f>
        <v>0</v>
      </c>
      <c r="AL52" s="28">
        <f>IF(AN52=21,J52,0)</f>
        <v>0</v>
      </c>
      <c r="AN52" s="28">
        <v>12</v>
      </c>
      <c r="AO52" s="28">
        <f>G52*0</f>
        <v>0</v>
      </c>
      <c r="AP52" s="28">
        <f>G52*(1-0)</f>
        <v>0</v>
      </c>
      <c r="AQ52" s="29" t="s">
        <v>74</v>
      </c>
      <c r="AV52" s="28">
        <f>AW52+AX52</f>
        <v>0</v>
      </c>
      <c r="AW52" s="28">
        <f>F52*AO52</f>
        <v>0</v>
      </c>
      <c r="AX52" s="28">
        <f>F52*AP52</f>
        <v>0</v>
      </c>
      <c r="AY52" s="29" t="s">
        <v>109</v>
      </c>
      <c r="AZ52" s="29" t="s">
        <v>110</v>
      </c>
      <c r="BA52" s="10" t="s">
        <v>60</v>
      </c>
      <c r="BC52" s="28">
        <f>AW52+AX52</f>
        <v>0</v>
      </c>
      <c r="BD52" s="28">
        <f>G52/(100-BE52)*100</f>
        <v>0</v>
      </c>
      <c r="BE52" s="28">
        <v>0</v>
      </c>
      <c r="BF52" s="28">
        <f>52</f>
        <v>52</v>
      </c>
      <c r="BH52" s="28">
        <f>F52*AO52</f>
        <v>0</v>
      </c>
      <c r="BI52" s="28">
        <f>F52*AP52</f>
        <v>0</v>
      </c>
      <c r="BJ52" s="28">
        <f>F52*G52</f>
        <v>0</v>
      </c>
      <c r="BK52" s="28"/>
      <c r="BL52" s="28">
        <v>61</v>
      </c>
      <c r="BW52" s="28">
        <v>12</v>
      </c>
      <c r="BX52" s="4" t="s">
        <v>103</v>
      </c>
    </row>
    <row r="53" spans="1:76" x14ac:dyDescent="0.25">
      <c r="A53" s="36" t="s">
        <v>50</v>
      </c>
      <c r="B53" s="37" t="s">
        <v>166</v>
      </c>
      <c r="C53" s="120" t="s">
        <v>167</v>
      </c>
      <c r="D53" s="121"/>
      <c r="E53" s="38" t="s">
        <v>4</v>
      </c>
      <c r="F53" s="38" t="s">
        <v>4</v>
      </c>
      <c r="G53" s="38" t="s">
        <v>4</v>
      </c>
      <c r="H53" s="39">
        <f>SUM(H54:H57)</f>
        <v>0</v>
      </c>
      <c r="I53" s="39">
        <f>SUM(I54:I57)</f>
        <v>0</v>
      </c>
      <c r="J53" s="39">
        <f>SUM(J54:J57)</f>
        <v>0</v>
      </c>
      <c r="K53" s="40" t="s">
        <v>50</v>
      </c>
      <c r="AI53" s="10" t="s">
        <v>50</v>
      </c>
      <c r="AS53" s="1">
        <f>SUM(AJ54:AJ57)</f>
        <v>0</v>
      </c>
      <c r="AT53" s="1">
        <f>SUM(AK54:AK57)</f>
        <v>0</v>
      </c>
      <c r="AU53" s="1">
        <f>SUM(AL54:AL57)</f>
        <v>0</v>
      </c>
    </row>
    <row r="54" spans="1:76" x14ac:dyDescent="0.25">
      <c r="A54" s="24" t="s">
        <v>168</v>
      </c>
      <c r="B54" s="25" t="s">
        <v>169</v>
      </c>
      <c r="C54" s="113" t="s">
        <v>170</v>
      </c>
      <c r="D54" s="114"/>
      <c r="E54" s="25" t="s">
        <v>56</v>
      </c>
      <c r="F54" s="26">
        <v>1</v>
      </c>
      <c r="G54" s="26">
        <v>0</v>
      </c>
      <c r="H54" s="26">
        <f>F54*AO54</f>
        <v>0</v>
      </c>
      <c r="I54" s="26">
        <f>F54*AP54</f>
        <v>0</v>
      </c>
      <c r="J54" s="26">
        <f>F54*G54</f>
        <v>0</v>
      </c>
      <c r="K54" s="27" t="s">
        <v>57</v>
      </c>
      <c r="Z54" s="28">
        <f>IF(AQ54="5",BJ54,0)</f>
        <v>0</v>
      </c>
      <c r="AB54" s="28">
        <f>IF(AQ54="1",BH54,0)</f>
        <v>0</v>
      </c>
      <c r="AC54" s="28">
        <f>IF(AQ54="1",BI54,0)</f>
        <v>0</v>
      </c>
      <c r="AD54" s="28">
        <f>IF(AQ54="7",BH54,0)</f>
        <v>0</v>
      </c>
      <c r="AE54" s="28">
        <f>IF(AQ54="7",BI54,0)</f>
        <v>0</v>
      </c>
      <c r="AF54" s="28">
        <f>IF(AQ54="2",BH54,0)</f>
        <v>0</v>
      </c>
      <c r="AG54" s="28">
        <f>IF(AQ54="2",BI54,0)</f>
        <v>0</v>
      </c>
      <c r="AH54" s="28">
        <f>IF(AQ54="0",BJ54,0)</f>
        <v>0</v>
      </c>
      <c r="AI54" s="10" t="s">
        <v>50</v>
      </c>
      <c r="AJ54" s="28">
        <f>IF(AN54=0,J54,0)</f>
        <v>0</v>
      </c>
      <c r="AK54" s="28">
        <f>IF(AN54=12,J54,0)</f>
        <v>0</v>
      </c>
      <c r="AL54" s="28">
        <f>IF(AN54=21,J54,0)</f>
        <v>0</v>
      </c>
      <c r="AN54" s="28">
        <v>12</v>
      </c>
      <c r="AO54" s="28">
        <f>G54*0.672393423</f>
        <v>0</v>
      </c>
      <c r="AP54" s="28">
        <f>G54*(1-0.672393423)</f>
        <v>0</v>
      </c>
      <c r="AQ54" s="29" t="s">
        <v>53</v>
      </c>
      <c r="AV54" s="28">
        <f>AW54+AX54</f>
        <v>0</v>
      </c>
      <c r="AW54" s="28">
        <f>F54*AO54</f>
        <v>0</v>
      </c>
      <c r="AX54" s="28">
        <f>F54*AP54</f>
        <v>0</v>
      </c>
      <c r="AY54" s="29" t="s">
        <v>171</v>
      </c>
      <c r="AZ54" s="29" t="s">
        <v>110</v>
      </c>
      <c r="BA54" s="10" t="s">
        <v>60</v>
      </c>
      <c r="BC54" s="28">
        <f>AW54+AX54</f>
        <v>0</v>
      </c>
      <c r="BD54" s="28">
        <f>G54/(100-BE54)*100</f>
        <v>0</v>
      </c>
      <c r="BE54" s="28">
        <v>0</v>
      </c>
      <c r="BF54" s="28">
        <f>54</f>
        <v>54</v>
      </c>
      <c r="BH54" s="28">
        <f>F54*AO54</f>
        <v>0</v>
      </c>
      <c r="BI54" s="28">
        <f>F54*AP54</f>
        <v>0</v>
      </c>
      <c r="BJ54" s="28">
        <f>F54*G54</f>
        <v>0</v>
      </c>
      <c r="BK54" s="28"/>
      <c r="BL54" s="28">
        <v>64</v>
      </c>
      <c r="BW54" s="28">
        <v>12</v>
      </c>
      <c r="BX54" s="4" t="s">
        <v>170</v>
      </c>
    </row>
    <row r="55" spans="1:76" ht="13.5" customHeight="1" x14ac:dyDescent="0.25">
      <c r="A55" s="34"/>
      <c r="B55" s="35" t="s">
        <v>65</v>
      </c>
      <c r="C55" s="117" t="s">
        <v>172</v>
      </c>
      <c r="D55" s="118"/>
      <c r="E55" s="118"/>
      <c r="F55" s="118"/>
      <c r="G55" s="118"/>
      <c r="H55" s="118"/>
      <c r="I55" s="118"/>
      <c r="J55" s="118"/>
      <c r="K55" s="119"/>
    </row>
    <row r="56" spans="1:76" x14ac:dyDescent="0.25">
      <c r="A56" s="24" t="s">
        <v>51</v>
      </c>
      <c r="B56" s="25" t="s">
        <v>173</v>
      </c>
      <c r="C56" s="113" t="s">
        <v>174</v>
      </c>
      <c r="D56" s="114"/>
      <c r="E56" s="25" t="s">
        <v>56</v>
      </c>
      <c r="F56" s="26">
        <v>4</v>
      </c>
      <c r="G56" s="26">
        <v>0</v>
      </c>
      <c r="H56" s="26">
        <f>F56*AO56</f>
        <v>0</v>
      </c>
      <c r="I56" s="26">
        <f>F56*AP56</f>
        <v>0</v>
      </c>
      <c r="J56" s="26">
        <f>F56*G56</f>
        <v>0</v>
      </c>
      <c r="K56" s="27" t="s">
        <v>153</v>
      </c>
      <c r="Z56" s="28">
        <f>IF(AQ56="5",BJ56,0)</f>
        <v>0</v>
      </c>
      <c r="AB56" s="28">
        <f>IF(AQ56="1",BH56,0)</f>
        <v>0</v>
      </c>
      <c r="AC56" s="28">
        <f>IF(AQ56="1",BI56,0)</f>
        <v>0</v>
      </c>
      <c r="AD56" s="28">
        <f>IF(AQ56="7",BH56,0)</f>
        <v>0</v>
      </c>
      <c r="AE56" s="28">
        <f>IF(AQ56="7",BI56,0)</f>
        <v>0</v>
      </c>
      <c r="AF56" s="28">
        <f>IF(AQ56="2",BH56,0)</f>
        <v>0</v>
      </c>
      <c r="AG56" s="28">
        <f>IF(AQ56="2",BI56,0)</f>
        <v>0</v>
      </c>
      <c r="AH56" s="28">
        <f>IF(AQ56="0",BJ56,0)</f>
        <v>0</v>
      </c>
      <c r="AI56" s="10" t="s">
        <v>50</v>
      </c>
      <c r="AJ56" s="28">
        <f>IF(AN56=0,J56,0)</f>
        <v>0</v>
      </c>
      <c r="AK56" s="28">
        <f>IF(AN56=12,J56,0)</f>
        <v>0</v>
      </c>
      <c r="AL56" s="28">
        <f>IF(AN56=21,J56,0)</f>
        <v>0</v>
      </c>
      <c r="AN56" s="28">
        <v>12</v>
      </c>
      <c r="AO56" s="28">
        <f>G56*0</f>
        <v>0</v>
      </c>
      <c r="AP56" s="28">
        <f>G56*(1-0)</f>
        <v>0</v>
      </c>
      <c r="AQ56" s="29" t="s">
        <v>53</v>
      </c>
      <c r="AV56" s="28">
        <f>AW56+AX56</f>
        <v>0</v>
      </c>
      <c r="AW56" s="28">
        <f>F56*AO56</f>
        <v>0</v>
      </c>
      <c r="AX56" s="28">
        <f>F56*AP56</f>
        <v>0</v>
      </c>
      <c r="AY56" s="29" t="s">
        <v>171</v>
      </c>
      <c r="AZ56" s="29" t="s">
        <v>110</v>
      </c>
      <c r="BA56" s="10" t="s">
        <v>60</v>
      </c>
      <c r="BC56" s="28">
        <f>AW56+AX56</f>
        <v>0</v>
      </c>
      <c r="BD56" s="28">
        <f>G56/(100-BE56)*100</f>
        <v>0</v>
      </c>
      <c r="BE56" s="28">
        <v>0</v>
      </c>
      <c r="BF56" s="28">
        <f>56</f>
        <v>56</v>
      </c>
      <c r="BH56" s="28">
        <f>F56*AO56</f>
        <v>0</v>
      </c>
      <c r="BI56" s="28">
        <f>F56*AP56</f>
        <v>0</v>
      </c>
      <c r="BJ56" s="28">
        <f>F56*G56</f>
        <v>0</v>
      </c>
      <c r="BK56" s="28"/>
      <c r="BL56" s="28">
        <v>64</v>
      </c>
      <c r="BW56" s="28">
        <v>12</v>
      </c>
      <c r="BX56" s="4" t="s">
        <v>174</v>
      </c>
    </row>
    <row r="57" spans="1:76" x14ac:dyDescent="0.25">
      <c r="A57" s="30" t="s">
        <v>175</v>
      </c>
      <c r="B57" s="31" t="s">
        <v>102</v>
      </c>
      <c r="C57" s="115" t="s">
        <v>103</v>
      </c>
      <c r="D57" s="116"/>
      <c r="E57" s="31" t="s">
        <v>87</v>
      </c>
      <c r="F57" s="32">
        <v>3.2000000000000001E-2</v>
      </c>
      <c r="G57" s="32">
        <v>0</v>
      </c>
      <c r="H57" s="32">
        <f>F57*AO57</f>
        <v>0</v>
      </c>
      <c r="I57" s="32">
        <f>F57*AP57</f>
        <v>0</v>
      </c>
      <c r="J57" s="32">
        <f>F57*G57</f>
        <v>0</v>
      </c>
      <c r="K57" s="33" t="s">
        <v>57</v>
      </c>
      <c r="Z57" s="28">
        <f>IF(AQ57="5",BJ57,0)</f>
        <v>0</v>
      </c>
      <c r="AB57" s="28">
        <f>IF(AQ57="1",BH57,0)</f>
        <v>0</v>
      </c>
      <c r="AC57" s="28">
        <f>IF(AQ57="1",BI57,0)</f>
        <v>0</v>
      </c>
      <c r="AD57" s="28">
        <f>IF(AQ57="7",BH57,0)</f>
        <v>0</v>
      </c>
      <c r="AE57" s="28">
        <f>IF(AQ57="7",BI57,0)</f>
        <v>0</v>
      </c>
      <c r="AF57" s="28">
        <f>IF(AQ57="2",BH57,0)</f>
        <v>0</v>
      </c>
      <c r="AG57" s="28">
        <f>IF(AQ57="2",BI57,0)</f>
        <v>0</v>
      </c>
      <c r="AH57" s="28">
        <f>IF(AQ57="0",BJ57,0)</f>
        <v>0</v>
      </c>
      <c r="AI57" s="10" t="s">
        <v>50</v>
      </c>
      <c r="AJ57" s="28">
        <f>IF(AN57=0,J57,0)</f>
        <v>0</v>
      </c>
      <c r="AK57" s="28">
        <f>IF(AN57=12,J57,0)</f>
        <v>0</v>
      </c>
      <c r="AL57" s="28">
        <f>IF(AN57=21,J57,0)</f>
        <v>0</v>
      </c>
      <c r="AN57" s="28">
        <v>12</v>
      </c>
      <c r="AO57" s="28">
        <f>G57*0</f>
        <v>0</v>
      </c>
      <c r="AP57" s="28">
        <f>G57*(1-0)</f>
        <v>0</v>
      </c>
      <c r="AQ57" s="29" t="s">
        <v>74</v>
      </c>
      <c r="AV57" s="28">
        <f>AW57+AX57</f>
        <v>0</v>
      </c>
      <c r="AW57" s="28">
        <f>F57*AO57</f>
        <v>0</v>
      </c>
      <c r="AX57" s="28">
        <f>F57*AP57</f>
        <v>0</v>
      </c>
      <c r="AY57" s="29" t="s">
        <v>171</v>
      </c>
      <c r="AZ57" s="29" t="s">
        <v>110</v>
      </c>
      <c r="BA57" s="10" t="s">
        <v>60</v>
      </c>
      <c r="BC57" s="28">
        <f>AW57+AX57</f>
        <v>0</v>
      </c>
      <c r="BD57" s="28">
        <f>G57/(100-BE57)*100</f>
        <v>0</v>
      </c>
      <c r="BE57" s="28">
        <v>0</v>
      </c>
      <c r="BF57" s="28">
        <f>57</f>
        <v>57</v>
      </c>
      <c r="BH57" s="28">
        <f>F57*AO57</f>
        <v>0</v>
      </c>
      <c r="BI57" s="28">
        <f>F57*AP57</f>
        <v>0</v>
      </c>
      <c r="BJ57" s="28">
        <f>F57*G57</f>
        <v>0</v>
      </c>
      <c r="BK57" s="28"/>
      <c r="BL57" s="28">
        <v>64</v>
      </c>
      <c r="BW57" s="28">
        <v>12</v>
      </c>
      <c r="BX57" s="4" t="s">
        <v>103</v>
      </c>
    </row>
    <row r="58" spans="1:76" x14ac:dyDescent="0.25">
      <c r="A58" s="36" t="s">
        <v>50</v>
      </c>
      <c r="B58" s="37" t="s">
        <v>176</v>
      </c>
      <c r="C58" s="120" t="s">
        <v>177</v>
      </c>
      <c r="D58" s="121"/>
      <c r="E58" s="38" t="s">
        <v>4</v>
      </c>
      <c r="F58" s="38" t="s">
        <v>4</v>
      </c>
      <c r="G58" s="38" t="s">
        <v>4</v>
      </c>
      <c r="H58" s="39">
        <f>SUM(H59:H65)</f>
        <v>0</v>
      </c>
      <c r="I58" s="39">
        <f>SUM(I59:I65)</f>
        <v>0</v>
      </c>
      <c r="J58" s="39">
        <f>SUM(J59:J65)</f>
        <v>0</v>
      </c>
      <c r="K58" s="40" t="s">
        <v>50</v>
      </c>
      <c r="AI58" s="10" t="s">
        <v>50</v>
      </c>
      <c r="AS58" s="1">
        <f>SUM(AJ59:AJ65)</f>
        <v>0</v>
      </c>
      <c r="AT58" s="1">
        <f>SUM(AK59:AK65)</f>
        <v>0</v>
      </c>
      <c r="AU58" s="1">
        <f>SUM(AL59:AL65)</f>
        <v>0</v>
      </c>
    </row>
    <row r="59" spans="1:76" x14ac:dyDescent="0.25">
      <c r="A59" s="24" t="s">
        <v>178</v>
      </c>
      <c r="B59" s="25" t="s">
        <v>179</v>
      </c>
      <c r="C59" s="113" t="s">
        <v>180</v>
      </c>
      <c r="D59" s="114"/>
      <c r="E59" s="25" t="s">
        <v>77</v>
      </c>
      <c r="F59" s="26">
        <v>18.100000000000001</v>
      </c>
      <c r="G59" s="26">
        <v>0</v>
      </c>
      <c r="H59" s="26">
        <f t="shared" ref="H59:H65" si="66">F59*AO59</f>
        <v>0</v>
      </c>
      <c r="I59" s="26">
        <f t="shared" ref="I59:I65" si="67">F59*AP59</f>
        <v>0</v>
      </c>
      <c r="J59" s="26">
        <f t="shared" ref="J59:J65" si="68">F59*G59</f>
        <v>0</v>
      </c>
      <c r="K59" s="27" t="s">
        <v>57</v>
      </c>
      <c r="Z59" s="28">
        <f t="shared" ref="Z59:Z65" si="69">IF(AQ59="5",BJ59,0)</f>
        <v>0</v>
      </c>
      <c r="AB59" s="28">
        <f t="shared" ref="AB59:AB65" si="70">IF(AQ59="1",BH59,0)</f>
        <v>0</v>
      </c>
      <c r="AC59" s="28">
        <f t="shared" ref="AC59:AC65" si="71">IF(AQ59="1",BI59,0)</f>
        <v>0</v>
      </c>
      <c r="AD59" s="28">
        <f t="shared" ref="AD59:AD65" si="72">IF(AQ59="7",BH59,0)</f>
        <v>0</v>
      </c>
      <c r="AE59" s="28">
        <f t="shared" ref="AE59:AE65" si="73">IF(AQ59="7",BI59,0)</f>
        <v>0</v>
      </c>
      <c r="AF59" s="28">
        <f t="shared" ref="AF59:AF65" si="74">IF(AQ59="2",BH59,0)</f>
        <v>0</v>
      </c>
      <c r="AG59" s="28">
        <f t="shared" ref="AG59:AG65" si="75">IF(AQ59="2",BI59,0)</f>
        <v>0</v>
      </c>
      <c r="AH59" s="28">
        <f t="shared" ref="AH59:AH65" si="76">IF(AQ59="0",BJ59,0)</f>
        <v>0</v>
      </c>
      <c r="AI59" s="10" t="s">
        <v>50</v>
      </c>
      <c r="AJ59" s="28">
        <f t="shared" ref="AJ59:AJ65" si="77">IF(AN59=0,J59,0)</f>
        <v>0</v>
      </c>
      <c r="AK59" s="28">
        <f t="shared" ref="AK59:AK65" si="78">IF(AN59=12,J59,0)</f>
        <v>0</v>
      </c>
      <c r="AL59" s="28">
        <f t="shared" ref="AL59:AL65" si="79">IF(AN59=21,J59,0)</f>
        <v>0</v>
      </c>
      <c r="AN59" s="28">
        <v>12</v>
      </c>
      <c r="AO59" s="28">
        <f>G59*0.340586839</f>
        <v>0</v>
      </c>
      <c r="AP59" s="28">
        <f>G59*(1-0.340586839)</f>
        <v>0</v>
      </c>
      <c r="AQ59" s="29" t="s">
        <v>81</v>
      </c>
      <c r="AV59" s="28">
        <f t="shared" ref="AV59:AV65" si="80">AW59+AX59</f>
        <v>0</v>
      </c>
      <c r="AW59" s="28">
        <f t="shared" ref="AW59:AW65" si="81">F59*AO59</f>
        <v>0</v>
      </c>
      <c r="AX59" s="28">
        <f t="shared" ref="AX59:AX65" si="82">F59*AP59</f>
        <v>0</v>
      </c>
      <c r="AY59" s="29" t="s">
        <v>181</v>
      </c>
      <c r="AZ59" s="29" t="s">
        <v>182</v>
      </c>
      <c r="BA59" s="10" t="s">
        <v>60</v>
      </c>
      <c r="BC59" s="28">
        <f t="shared" ref="BC59:BC65" si="83">AW59+AX59</f>
        <v>0</v>
      </c>
      <c r="BD59" s="28">
        <f t="shared" ref="BD59:BD65" si="84">G59/(100-BE59)*100</f>
        <v>0</v>
      </c>
      <c r="BE59" s="28">
        <v>0</v>
      </c>
      <c r="BF59" s="28">
        <f>59</f>
        <v>59</v>
      </c>
      <c r="BH59" s="28">
        <f t="shared" ref="BH59:BH65" si="85">F59*AO59</f>
        <v>0</v>
      </c>
      <c r="BI59" s="28">
        <f t="shared" ref="BI59:BI65" si="86">F59*AP59</f>
        <v>0</v>
      </c>
      <c r="BJ59" s="28">
        <f t="shared" ref="BJ59:BJ65" si="87">F59*G59</f>
        <v>0</v>
      </c>
      <c r="BK59" s="28"/>
      <c r="BL59" s="28">
        <v>721</v>
      </c>
      <c r="BW59" s="28">
        <v>12</v>
      </c>
      <c r="BX59" s="4" t="s">
        <v>180</v>
      </c>
    </row>
    <row r="60" spans="1:76" x14ac:dyDescent="0.25">
      <c r="A60" s="30" t="s">
        <v>183</v>
      </c>
      <c r="B60" s="31" t="s">
        <v>184</v>
      </c>
      <c r="C60" s="115" t="s">
        <v>185</v>
      </c>
      <c r="D60" s="116"/>
      <c r="E60" s="31" t="s">
        <v>77</v>
      </c>
      <c r="F60" s="32">
        <v>1</v>
      </c>
      <c r="G60" s="32">
        <v>0</v>
      </c>
      <c r="H60" s="32">
        <f t="shared" si="66"/>
        <v>0</v>
      </c>
      <c r="I60" s="32">
        <f t="shared" si="67"/>
        <v>0</v>
      </c>
      <c r="J60" s="32">
        <f t="shared" si="68"/>
        <v>0</v>
      </c>
      <c r="K60" s="33" t="s">
        <v>57</v>
      </c>
      <c r="Z60" s="28">
        <f t="shared" si="69"/>
        <v>0</v>
      </c>
      <c r="AB60" s="28">
        <f t="shared" si="70"/>
        <v>0</v>
      </c>
      <c r="AC60" s="28">
        <f t="shared" si="71"/>
        <v>0</v>
      </c>
      <c r="AD60" s="28">
        <f t="shared" si="72"/>
        <v>0</v>
      </c>
      <c r="AE60" s="28">
        <f t="shared" si="73"/>
        <v>0</v>
      </c>
      <c r="AF60" s="28">
        <f t="shared" si="74"/>
        <v>0</v>
      </c>
      <c r="AG60" s="28">
        <f t="shared" si="75"/>
        <v>0</v>
      </c>
      <c r="AH60" s="28">
        <f t="shared" si="76"/>
        <v>0</v>
      </c>
      <c r="AI60" s="10" t="s">
        <v>50</v>
      </c>
      <c r="AJ60" s="28">
        <f t="shared" si="77"/>
        <v>0</v>
      </c>
      <c r="AK60" s="28">
        <f t="shared" si="78"/>
        <v>0</v>
      </c>
      <c r="AL60" s="28">
        <f t="shared" si="79"/>
        <v>0</v>
      </c>
      <c r="AN60" s="28">
        <v>12</v>
      </c>
      <c r="AO60" s="28">
        <f>G60*0.317436677</f>
        <v>0</v>
      </c>
      <c r="AP60" s="28">
        <f>G60*(1-0.317436677)</f>
        <v>0</v>
      </c>
      <c r="AQ60" s="29" t="s">
        <v>81</v>
      </c>
      <c r="AV60" s="28">
        <f t="shared" si="80"/>
        <v>0</v>
      </c>
      <c r="AW60" s="28">
        <f t="shared" si="81"/>
        <v>0</v>
      </c>
      <c r="AX60" s="28">
        <f t="shared" si="82"/>
        <v>0</v>
      </c>
      <c r="AY60" s="29" t="s">
        <v>181</v>
      </c>
      <c r="AZ60" s="29" t="s">
        <v>182</v>
      </c>
      <c r="BA60" s="10" t="s">
        <v>60</v>
      </c>
      <c r="BC60" s="28">
        <f t="shared" si="83"/>
        <v>0</v>
      </c>
      <c r="BD60" s="28">
        <f t="shared" si="84"/>
        <v>0</v>
      </c>
      <c r="BE60" s="28">
        <v>0</v>
      </c>
      <c r="BF60" s="28">
        <f>60</f>
        <v>60</v>
      </c>
      <c r="BH60" s="28">
        <f t="shared" si="85"/>
        <v>0</v>
      </c>
      <c r="BI60" s="28">
        <f t="shared" si="86"/>
        <v>0</v>
      </c>
      <c r="BJ60" s="28">
        <f t="shared" si="87"/>
        <v>0</v>
      </c>
      <c r="BK60" s="28"/>
      <c r="BL60" s="28">
        <v>721</v>
      </c>
      <c r="BW60" s="28">
        <v>12</v>
      </c>
      <c r="BX60" s="4" t="s">
        <v>185</v>
      </c>
    </row>
    <row r="61" spans="1:76" x14ac:dyDescent="0.25">
      <c r="A61" s="30" t="s">
        <v>186</v>
      </c>
      <c r="B61" s="31" t="s">
        <v>187</v>
      </c>
      <c r="C61" s="115" t="s">
        <v>188</v>
      </c>
      <c r="D61" s="116"/>
      <c r="E61" s="31" t="s">
        <v>56</v>
      </c>
      <c r="F61" s="32">
        <v>5</v>
      </c>
      <c r="G61" s="32">
        <v>0</v>
      </c>
      <c r="H61" s="32">
        <f t="shared" si="66"/>
        <v>0</v>
      </c>
      <c r="I61" s="32">
        <f t="shared" si="67"/>
        <v>0</v>
      </c>
      <c r="J61" s="32">
        <f t="shared" si="68"/>
        <v>0</v>
      </c>
      <c r="K61" s="33" t="s">
        <v>57</v>
      </c>
      <c r="Z61" s="28">
        <f t="shared" si="69"/>
        <v>0</v>
      </c>
      <c r="AB61" s="28">
        <f t="shared" si="70"/>
        <v>0</v>
      </c>
      <c r="AC61" s="28">
        <f t="shared" si="71"/>
        <v>0</v>
      </c>
      <c r="AD61" s="28">
        <f t="shared" si="72"/>
        <v>0</v>
      </c>
      <c r="AE61" s="28">
        <f t="shared" si="73"/>
        <v>0</v>
      </c>
      <c r="AF61" s="28">
        <f t="shared" si="74"/>
        <v>0</v>
      </c>
      <c r="AG61" s="28">
        <f t="shared" si="75"/>
        <v>0</v>
      </c>
      <c r="AH61" s="28">
        <f t="shared" si="76"/>
        <v>0</v>
      </c>
      <c r="AI61" s="10" t="s">
        <v>50</v>
      </c>
      <c r="AJ61" s="28">
        <f t="shared" si="77"/>
        <v>0</v>
      </c>
      <c r="AK61" s="28">
        <f t="shared" si="78"/>
        <v>0</v>
      </c>
      <c r="AL61" s="28">
        <f t="shared" si="79"/>
        <v>0</v>
      </c>
      <c r="AN61" s="28">
        <v>12</v>
      </c>
      <c r="AO61" s="28">
        <f>G61*0</f>
        <v>0</v>
      </c>
      <c r="AP61" s="28">
        <f>G61*(1-0)</f>
        <v>0</v>
      </c>
      <c r="AQ61" s="29" t="s">
        <v>81</v>
      </c>
      <c r="AV61" s="28">
        <f t="shared" si="80"/>
        <v>0</v>
      </c>
      <c r="AW61" s="28">
        <f t="shared" si="81"/>
        <v>0</v>
      </c>
      <c r="AX61" s="28">
        <f t="shared" si="82"/>
        <v>0</v>
      </c>
      <c r="AY61" s="29" t="s">
        <v>181</v>
      </c>
      <c r="AZ61" s="29" t="s">
        <v>182</v>
      </c>
      <c r="BA61" s="10" t="s">
        <v>60</v>
      </c>
      <c r="BC61" s="28">
        <f t="shared" si="83"/>
        <v>0</v>
      </c>
      <c r="BD61" s="28">
        <f t="shared" si="84"/>
        <v>0</v>
      </c>
      <c r="BE61" s="28">
        <v>0</v>
      </c>
      <c r="BF61" s="28">
        <f>61</f>
        <v>61</v>
      </c>
      <c r="BH61" s="28">
        <f t="shared" si="85"/>
        <v>0</v>
      </c>
      <c r="BI61" s="28">
        <f t="shared" si="86"/>
        <v>0</v>
      </c>
      <c r="BJ61" s="28">
        <f t="shared" si="87"/>
        <v>0</v>
      </c>
      <c r="BK61" s="28"/>
      <c r="BL61" s="28">
        <v>721</v>
      </c>
      <c r="BW61" s="28">
        <v>12</v>
      </c>
      <c r="BX61" s="4" t="s">
        <v>188</v>
      </c>
    </row>
    <row r="62" spans="1:76" x14ac:dyDescent="0.25">
      <c r="A62" s="30" t="s">
        <v>189</v>
      </c>
      <c r="B62" s="31" t="s">
        <v>190</v>
      </c>
      <c r="C62" s="115" t="s">
        <v>191</v>
      </c>
      <c r="D62" s="116"/>
      <c r="E62" s="31" t="s">
        <v>56</v>
      </c>
      <c r="F62" s="32">
        <v>1</v>
      </c>
      <c r="G62" s="32">
        <v>0</v>
      </c>
      <c r="H62" s="32">
        <f t="shared" si="66"/>
        <v>0</v>
      </c>
      <c r="I62" s="32">
        <f t="shared" si="67"/>
        <v>0</v>
      </c>
      <c r="J62" s="32">
        <f t="shared" si="68"/>
        <v>0</v>
      </c>
      <c r="K62" s="33" t="s">
        <v>57</v>
      </c>
      <c r="Z62" s="28">
        <f t="shared" si="69"/>
        <v>0</v>
      </c>
      <c r="AB62" s="28">
        <f t="shared" si="70"/>
        <v>0</v>
      </c>
      <c r="AC62" s="28">
        <f t="shared" si="71"/>
        <v>0</v>
      </c>
      <c r="AD62" s="28">
        <f t="shared" si="72"/>
        <v>0</v>
      </c>
      <c r="AE62" s="28">
        <f t="shared" si="73"/>
        <v>0</v>
      </c>
      <c r="AF62" s="28">
        <f t="shared" si="74"/>
        <v>0</v>
      </c>
      <c r="AG62" s="28">
        <f t="shared" si="75"/>
        <v>0</v>
      </c>
      <c r="AH62" s="28">
        <f t="shared" si="76"/>
        <v>0</v>
      </c>
      <c r="AI62" s="10" t="s">
        <v>50</v>
      </c>
      <c r="AJ62" s="28">
        <f t="shared" si="77"/>
        <v>0</v>
      </c>
      <c r="AK62" s="28">
        <f t="shared" si="78"/>
        <v>0</v>
      </c>
      <c r="AL62" s="28">
        <f t="shared" si="79"/>
        <v>0</v>
      </c>
      <c r="AN62" s="28">
        <v>12</v>
      </c>
      <c r="AO62" s="28">
        <f>G62*0</f>
        <v>0</v>
      </c>
      <c r="AP62" s="28">
        <f>G62*(1-0)</f>
        <v>0</v>
      </c>
      <c r="AQ62" s="29" t="s">
        <v>81</v>
      </c>
      <c r="AV62" s="28">
        <f t="shared" si="80"/>
        <v>0</v>
      </c>
      <c r="AW62" s="28">
        <f t="shared" si="81"/>
        <v>0</v>
      </c>
      <c r="AX62" s="28">
        <f t="shared" si="82"/>
        <v>0</v>
      </c>
      <c r="AY62" s="29" t="s">
        <v>181</v>
      </c>
      <c r="AZ62" s="29" t="s">
        <v>182</v>
      </c>
      <c r="BA62" s="10" t="s">
        <v>60</v>
      </c>
      <c r="BC62" s="28">
        <f t="shared" si="83"/>
        <v>0</v>
      </c>
      <c r="BD62" s="28">
        <f t="shared" si="84"/>
        <v>0</v>
      </c>
      <c r="BE62" s="28">
        <v>0</v>
      </c>
      <c r="BF62" s="28">
        <f>62</f>
        <v>62</v>
      </c>
      <c r="BH62" s="28">
        <f t="shared" si="85"/>
        <v>0</v>
      </c>
      <c r="BI62" s="28">
        <f t="shared" si="86"/>
        <v>0</v>
      </c>
      <c r="BJ62" s="28">
        <f t="shared" si="87"/>
        <v>0</v>
      </c>
      <c r="BK62" s="28"/>
      <c r="BL62" s="28">
        <v>721</v>
      </c>
      <c r="BW62" s="28">
        <v>12</v>
      </c>
      <c r="BX62" s="4" t="s">
        <v>191</v>
      </c>
    </row>
    <row r="63" spans="1:76" ht="25.5" x14ac:dyDescent="0.25">
      <c r="A63" s="30" t="s">
        <v>192</v>
      </c>
      <c r="B63" s="31" t="s">
        <v>193</v>
      </c>
      <c r="C63" s="115" t="s">
        <v>194</v>
      </c>
      <c r="D63" s="116"/>
      <c r="E63" s="31" t="s">
        <v>56</v>
      </c>
      <c r="F63" s="32">
        <v>1</v>
      </c>
      <c r="G63" s="32">
        <v>0</v>
      </c>
      <c r="H63" s="32">
        <f t="shared" si="66"/>
        <v>0</v>
      </c>
      <c r="I63" s="32">
        <f t="shared" si="67"/>
        <v>0</v>
      </c>
      <c r="J63" s="32">
        <f t="shared" si="68"/>
        <v>0</v>
      </c>
      <c r="K63" s="33" t="s">
        <v>57</v>
      </c>
      <c r="Z63" s="28">
        <f t="shared" si="69"/>
        <v>0</v>
      </c>
      <c r="AB63" s="28">
        <f t="shared" si="70"/>
        <v>0</v>
      </c>
      <c r="AC63" s="28">
        <f t="shared" si="71"/>
        <v>0</v>
      </c>
      <c r="AD63" s="28">
        <f t="shared" si="72"/>
        <v>0</v>
      </c>
      <c r="AE63" s="28">
        <f t="shared" si="73"/>
        <v>0</v>
      </c>
      <c r="AF63" s="28">
        <f t="shared" si="74"/>
        <v>0</v>
      </c>
      <c r="AG63" s="28">
        <f t="shared" si="75"/>
        <v>0</v>
      </c>
      <c r="AH63" s="28">
        <f t="shared" si="76"/>
        <v>0</v>
      </c>
      <c r="AI63" s="10" t="s">
        <v>50</v>
      </c>
      <c r="AJ63" s="28">
        <f t="shared" si="77"/>
        <v>0</v>
      </c>
      <c r="AK63" s="28">
        <f t="shared" si="78"/>
        <v>0</v>
      </c>
      <c r="AL63" s="28">
        <f t="shared" si="79"/>
        <v>0</v>
      </c>
      <c r="AN63" s="28">
        <v>12</v>
      </c>
      <c r="AO63" s="28">
        <f>G63*0.234419254</f>
        <v>0</v>
      </c>
      <c r="AP63" s="28">
        <f>G63*(1-0.234419254)</f>
        <v>0</v>
      </c>
      <c r="AQ63" s="29" t="s">
        <v>81</v>
      </c>
      <c r="AV63" s="28">
        <f t="shared" si="80"/>
        <v>0</v>
      </c>
      <c r="AW63" s="28">
        <f t="shared" si="81"/>
        <v>0</v>
      </c>
      <c r="AX63" s="28">
        <f t="shared" si="82"/>
        <v>0</v>
      </c>
      <c r="AY63" s="29" t="s">
        <v>181</v>
      </c>
      <c r="AZ63" s="29" t="s">
        <v>182</v>
      </c>
      <c r="BA63" s="10" t="s">
        <v>60</v>
      </c>
      <c r="BC63" s="28">
        <f t="shared" si="83"/>
        <v>0</v>
      </c>
      <c r="BD63" s="28">
        <f t="shared" si="84"/>
        <v>0</v>
      </c>
      <c r="BE63" s="28">
        <v>0</v>
      </c>
      <c r="BF63" s="28">
        <f>63</f>
        <v>63</v>
      </c>
      <c r="BH63" s="28">
        <f t="shared" si="85"/>
        <v>0</v>
      </c>
      <c r="BI63" s="28">
        <f t="shared" si="86"/>
        <v>0</v>
      </c>
      <c r="BJ63" s="28">
        <f t="shared" si="87"/>
        <v>0</v>
      </c>
      <c r="BK63" s="28"/>
      <c r="BL63" s="28">
        <v>721</v>
      </c>
      <c r="BW63" s="28">
        <v>12</v>
      </c>
      <c r="BX63" s="4" t="s">
        <v>194</v>
      </c>
    </row>
    <row r="64" spans="1:76" x14ac:dyDescent="0.25">
      <c r="A64" s="30" t="s">
        <v>195</v>
      </c>
      <c r="B64" s="31" t="s">
        <v>196</v>
      </c>
      <c r="C64" s="115" t="s">
        <v>197</v>
      </c>
      <c r="D64" s="116"/>
      <c r="E64" s="31" t="s">
        <v>77</v>
      </c>
      <c r="F64" s="32">
        <v>19.100000000000001</v>
      </c>
      <c r="G64" s="32">
        <v>0</v>
      </c>
      <c r="H64" s="32">
        <f t="shared" si="66"/>
        <v>0</v>
      </c>
      <c r="I64" s="32">
        <f t="shared" si="67"/>
        <v>0</v>
      </c>
      <c r="J64" s="32">
        <f t="shared" si="68"/>
        <v>0</v>
      </c>
      <c r="K64" s="33" t="s">
        <v>57</v>
      </c>
      <c r="Z64" s="28">
        <f t="shared" si="69"/>
        <v>0</v>
      </c>
      <c r="AB64" s="28">
        <f t="shared" si="70"/>
        <v>0</v>
      </c>
      <c r="AC64" s="28">
        <f t="shared" si="71"/>
        <v>0</v>
      </c>
      <c r="AD64" s="28">
        <f t="shared" si="72"/>
        <v>0</v>
      </c>
      <c r="AE64" s="28">
        <f t="shared" si="73"/>
        <v>0</v>
      </c>
      <c r="AF64" s="28">
        <f t="shared" si="74"/>
        <v>0</v>
      </c>
      <c r="AG64" s="28">
        <f t="shared" si="75"/>
        <v>0</v>
      </c>
      <c r="AH64" s="28">
        <f t="shared" si="76"/>
        <v>0</v>
      </c>
      <c r="AI64" s="10" t="s">
        <v>50</v>
      </c>
      <c r="AJ64" s="28">
        <f t="shared" si="77"/>
        <v>0</v>
      </c>
      <c r="AK64" s="28">
        <f t="shared" si="78"/>
        <v>0</v>
      </c>
      <c r="AL64" s="28">
        <f t="shared" si="79"/>
        <v>0</v>
      </c>
      <c r="AN64" s="28">
        <v>12</v>
      </c>
      <c r="AO64" s="28">
        <f>G64*0.029824561</f>
        <v>0</v>
      </c>
      <c r="AP64" s="28">
        <f>G64*(1-0.029824561)</f>
        <v>0</v>
      </c>
      <c r="AQ64" s="29" t="s">
        <v>81</v>
      </c>
      <c r="AV64" s="28">
        <f t="shared" si="80"/>
        <v>0</v>
      </c>
      <c r="AW64" s="28">
        <f t="shared" si="81"/>
        <v>0</v>
      </c>
      <c r="AX64" s="28">
        <f t="shared" si="82"/>
        <v>0</v>
      </c>
      <c r="AY64" s="29" t="s">
        <v>181</v>
      </c>
      <c r="AZ64" s="29" t="s">
        <v>182</v>
      </c>
      <c r="BA64" s="10" t="s">
        <v>60</v>
      </c>
      <c r="BC64" s="28">
        <f t="shared" si="83"/>
        <v>0</v>
      </c>
      <c r="BD64" s="28">
        <f t="shared" si="84"/>
        <v>0</v>
      </c>
      <c r="BE64" s="28">
        <v>0</v>
      </c>
      <c r="BF64" s="28">
        <f>64</f>
        <v>64</v>
      </c>
      <c r="BH64" s="28">
        <f t="shared" si="85"/>
        <v>0</v>
      </c>
      <c r="BI64" s="28">
        <f t="shared" si="86"/>
        <v>0</v>
      </c>
      <c r="BJ64" s="28">
        <f t="shared" si="87"/>
        <v>0</v>
      </c>
      <c r="BK64" s="28"/>
      <c r="BL64" s="28">
        <v>721</v>
      </c>
      <c r="BW64" s="28">
        <v>12</v>
      </c>
      <c r="BX64" s="4" t="s">
        <v>197</v>
      </c>
    </row>
    <row r="65" spans="1:76" x14ac:dyDescent="0.25">
      <c r="A65" s="30" t="s">
        <v>198</v>
      </c>
      <c r="B65" s="31" t="s">
        <v>199</v>
      </c>
      <c r="C65" s="115" t="s">
        <v>200</v>
      </c>
      <c r="D65" s="116"/>
      <c r="E65" s="31" t="s">
        <v>87</v>
      </c>
      <c r="F65" s="32">
        <v>1.0030000000000001E-2</v>
      </c>
      <c r="G65" s="32">
        <v>0</v>
      </c>
      <c r="H65" s="32">
        <f t="shared" si="66"/>
        <v>0</v>
      </c>
      <c r="I65" s="32">
        <f t="shared" si="67"/>
        <v>0</v>
      </c>
      <c r="J65" s="32">
        <f t="shared" si="68"/>
        <v>0</v>
      </c>
      <c r="K65" s="33" t="s">
        <v>57</v>
      </c>
      <c r="Z65" s="28">
        <f t="shared" si="69"/>
        <v>0</v>
      </c>
      <c r="AB65" s="28">
        <f t="shared" si="70"/>
        <v>0</v>
      </c>
      <c r="AC65" s="28">
        <f t="shared" si="71"/>
        <v>0</v>
      </c>
      <c r="AD65" s="28">
        <f t="shared" si="72"/>
        <v>0</v>
      </c>
      <c r="AE65" s="28">
        <f t="shared" si="73"/>
        <v>0</v>
      </c>
      <c r="AF65" s="28">
        <f t="shared" si="74"/>
        <v>0</v>
      </c>
      <c r="AG65" s="28">
        <f t="shared" si="75"/>
        <v>0</v>
      </c>
      <c r="AH65" s="28">
        <f t="shared" si="76"/>
        <v>0</v>
      </c>
      <c r="AI65" s="10" t="s">
        <v>50</v>
      </c>
      <c r="AJ65" s="28">
        <f t="shared" si="77"/>
        <v>0</v>
      </c>
      <c r="AK65" s="28">
        <f t="shared" si="78"/>
        <v>0</v>
      </c>
      <c r="AL65" s="28">
        <f t="shared" si="79"/>
        <v>0</v>
      </c>
      <c r="AN65" s="28">
        <v>12</v>
      </c>
      <c r="AO65" s="28">
        <f>G65*0</f>
        <v>0</v>
      </c>
      <c r="AP65" s="28">
        <f>G65*(1-0)</f>
        <v>0</v>
      </c>
      <c r="AQ65" s="29" t="s">
        <v>74</v>
      </c>
      <c r="AV65" s="28">
        <f t="shared" si="80"/>
        <v>0</v>
      </c>
      <c r="AW65" s="28">
        <f t="shared" si="81"/>
        <v>0</v>
      </c>
      <c r="AX65" s="28">
        <f t="shared" si="82"/>
        <v>0</v>
      </c>
      <c r="AY65" s="29" t="s">
        <v>181</v>
      </c>
      <c r="AZ65" s="29" t="s">
        <v>182</v>
      </c>
      <c r="BA65" s="10" t="s">
        <v>60</v>
      </c>
      <c r="BC65" s="28">
        <f t="shared" si="83"/>
        <v>0</v>
      </c>
      <c r="BD65" s="28">
        <f t="shared" si="84"/>
        <v>0</v>
      </c>
      <c r="BE65" s="28">
        <v>0</v>
      </c>
      <c r="BF65" s="28">
        <f>65</f>
        <v>65</v>
      </c>
      <c r="BH65" s="28">
        <f t="shared" si="85"/>
        <v>0</v>
      </c>
      <c r="BI65" s="28">
        <f t="shared" si="86"/>
        <v>0</v>
      </c>
      <c r="BJ65" s="28">
        <f t="shared" si="87"/>
        <v>0</v>
      </c>
      <c r="BK65" s="28"/>
      <c r="BL65" s="28">
        <v>721</v>
      </c>
      <c r="BW65" s="28">
        <v>12</v>
      </c>
      <c r="BX65" s="4" t="s">
        <v>200</v>
      </c>
    </row>
    <row r="66" spans="1:76" x14ac:dyDescent="0.25">
      <c r="A66" s="36" t="s">
        <v>50</v>
      </c>
      <c r="B66" s="37" t="s">
        <v>201</v>
      </c>
      <c r="C66" s="120" t="s">
        <v>202</v>
      </c>
      <c r="D66" s="121"/>
      <c r="E66" s="38" t="s">
        <v>4</v>
      </c>
      <c r="F66" s="38" t="s">
        <v>4</v>
      </c>
      <c r="G66" s="38" t="s">
        <v>4</v>
      </c>
      <c r="H66" s="39">
        <f>SUM(H67:H88)</f>
        <v>0</v>
      </c>
      <c r="I66" s="39">
        <f>SUM(I67:I88)</f>
        <v>0</v>
      </c>
      <c r="J66" s="39">
        <f>SUM(J67:J88)</f>
        <v>0</v>
      </c>
      <c r="K66" s="40" t="s">
        <v>50</v>
      </c>
      <c r="AI66" s="10" t="s">
        <v>50</v>
      </c>
      <c r="AS66" s="1">
        <f>SUM(AJ67:AJ88)</f>
        <v>0</v>
      </c>
      <c r="AT66" s="1">
        <f>SUM(AK67:AK88)</f>
        <v>0</v>
      </c>
      <c r="AU66" s="1">
        <f>SUM(AL67:AL88)</f>
        <v>0</v>
      </c>
    </row>
    <row r="67" spans="1:76" x14ac:dyDescent="0.25">
      <c r="A67" s="24" t="s">
        <v>203</v>
      </c>
      <c r="B67" s="25" t="s">
        <v>204</v>
      </c>
      <c r="C67" s="113" t="s">
        <v>205</v>
      </c>
      <c r="D67" s="114"/>
      <c r="E67" s="25" t="s">
        <v>77</v>
      </c>
      <c r="F67" s="26">
        <v>14.4</v>
      </c>
      <c r="G67" s="26">
        <v>0</v>
      </c>
      <c r="H67" s="26">
        <f t="shared" ref="H67:H73" si="88">F67*AO67</f>
        <v>0</v>
      </c>
      <c r="I67" s="26">
        <f t="shared" ref="I67:I73" si="89">F67*AP67</f>
        <v>0</v>
      </c>
      <c r="J67" s="26">
        <f t="shared" ref="J67:J73" si="90">F67*G67</f>
        <v>0</v>
      </c>
      <c r="K67" s="27" t="s">
        <v>57</v>
      </c>
      <c r="Z67" s="28">
        <f t="shared" ref="Z67:Z73" si="91">IF(AQ67="5",BJ67,0)</f>
        <v>0</v>
      </c>
      <c r="AB67" s="28">
        <f t="shared" ref="AB67:AB73" si="92">IF(AQ67="1",BH67,0)</f>
        <v>0</v>
      </c>
      <c r="AC67" s="28">
        <f t="shared" ref="AC67:AC73" si="93">IF(AQ67="1",BI67,0)</f>
        <v>0</v>
      </c>
      <c r="AD67" s="28">
        <f t="shared" ref="AD67:AD73" si="94">IF(AQ67="7",BH67,0)</f>
        <v>0</v>
      </c>
      <c r="AE67" s="28">
        <f t="shared" ref="AE67:AE73" si="95">IF(AQ67="7",BI67,0)</f>
        <v>0</v>
      </c>
      <c r="AF67" s="28">
        <f t="shared" ref="AF67:AF73" si="96">IF(AQ67="2",BH67,0)</f>
        <v>0</v>
      </c>
      <c r="AG67" s="28">
        <f t="shared" ref="AG67:AG73" si="97">IF(AQ67="2",BI67,0)</f>
        <v>0</v>
      </c>
      <c r="AH67" s="28">
        <f t="shared" ref="AH67:AH73" si="98">IF(AQ67="0",BJ67,0)</f>
        <v>0</v>
      </c>
      <c r="AI67" s="10" t="s">
        <v>50</v>
      </c>
      <c r="AJ67" s="28">
        <f t="shared" ref="AJ67:AJ73" si="99">IF(AN67=0,J67,0)</f>
        <v>0</v>
      </c>
      <c r="AK67" s="28">
        <f t="shared" ref="AK67:AK73" si="100">IF(AN67=12,J67,0)</f>
        <v>0</v>
      </c>
      <c r="AL67" s="28">
        <f t="shared" ref="AL67:AL73" si="101">IF(AN67=21,J67,0)</f>
        <v>0</v>
      </c>
      <c r="AN67" s="28">
        <v>12</v>
      </c>
      <c r="AO67" s="28">
        <f>G67*0.226815203</f>
        <v>0</v>
      </c>
      <c r="AP67" s="28">
        <f>G67*(1-0.226815203)</f>
        <v>0</v>
      </c>
      <c r="AQ67" s="29" t="s">
        <v>81</v>
      </c>
      <c r="AV67" s="28">
        <f t="shared" ref="AV67:AV73" si="102">AW67+AX67</f>
        <v>0</v>
      </c>
      <c r="AW67" s="28">
        <f t="shared" ref="AW67:AW73" si="103">F67*AO67</f>
        <v>0</v>
      </c>
      <c r="AX67" s="28">
        <f t="shared" ref="AX67:AX73" si="104">F67*AP67</f>
        <v>0</v>
      </c>
      <c r="AY67" s="29" t="s">
        <v>206</v>
      </c>
      <c r="AZ67" s="29" t="s">
        <v>182</v>
      </c>
      <c r="BA67" s="10" t="s">
        <v>60</v>
      </c>
      <c r="BC67" s="28">
        <f t="shared" ref="BC67:BC73" si="105">AW67+AX67</f>
        <v>0</v>
      </c>
      <c r="BD67" s="28">
        <f t="shared" ref="BD67:BD73" si="106">G67/(100-BE67)*100</f>
        <v>0</v>
      </c>
      <c r="BE67" s="28">
        <v>0</v>
      </c>
      <c r="BF67" s="28">
        <f>67</f>
        <v>67</v>
      </c>
      <c r="BH67" s="28">
        <f t="shared" ref="BH67:BH73" si="107">F67*AO67</f>
        <v>0</v>
      </c>
      <c r="BI67" s="28">
        <f t="shared" ref="BI67:BI73" si="108">F67*AP67</f>
        <v>0</v>
      </c>
      <c r="BJ67" s="28">
        <f t="shared" ref="BJ67:BJ73" si="109">F67*G67</f>
        <v>0</v>
      </c>
      <c r="BK67" s="28"/>
      <c r="BL67" s="28">
        <v>722</v>
      </c>
      <c r="BW67" s="28">
        <v>12</v>
      </c>
      <c r="BX67" s="4" t="s">
        <v>205</v>
      </c>
    </row>
    <row r="68" spans="1:76" x14ac:dyDescent="0.25">
      <c r="A68" s="30" t="s">
        <v>207</v>
      </c>
      <c r="B68" s="31" t="s">
        <v>208</v>
      </c>
      <c r="C68" s="115" t="s">
        <v>209</v>
      </c>
      <c r="D68" s="116"/>
      <c r="E68" s="31" t="s">
        <v>77</v>
      </c>
      <c r="F68" s="32">
        <v>9.8000000000000007</v>
      </c>
      <c r="G68" s="32">
        <v>0</v>
      </c>
      <c r="H68" s="32">
        <f t="shared" si="88"/>
        <v>0</v>
      </c>
      <c r="I68" s="32">
        <f t="shared" si="89"/>
        <v>0</v>
      </c>
      <c r="J68" s="32">
        <f t="shared" si="90"/>
        <v>0</v>
      </c>
      <c r="K68" s="33" t="s">
        <v>57</v>
      </c>
      <c r="Z68" s="28">
        <f t="shared" si="91"/>
        <v>0</v>
      </c>
      <c r="AB68" s="28">
        <f t="shared" si="92"/>
        <v>0</v>
      </c>
      <c r="AC68" s="28">
        <f t="shared" si="93"/>
        <v>0</v>
      </c>
      <c r="AD68" s="28">
        <f t="shared" si="94"/>
        <v>0</v>
      </c>
      <c r="AE68" s="28">
        <f t="shared" si="95"/>
        <v>0</v>
      </c>
      <c r="AF68" s="28">
        <f t="shared" si="96"/>
        <v>0</v>
      </c>
      <c r="AG68" s="28">
        <f t="shared" si="97"/>
        <v>0</v>
      </c>
      <c r="AH68" s="28">
        <f t="shared" si="98"/>
        <v>0</v>
      </c>
      <c r="AI68" s="10" t="s">
        <v>50</v>
      </c>
      <c r="AJ68" s="28">
        <f t="shared" si="99"/>
        <v>0</v>
      </c>
      <c r="AK68" s="28">
        <f t="shared" si="100"/>
        <v>0</v>
      </c>
      <c r="AL68" s="28">
        <f t="shared" si="101"/>
        <v>0</v>
      </c>
      <c r="AN68" s="28">
        <v>12</v>
      </c>
      <c r="AO68" s="28">
        <f>G68*0.254655172</f>
        <v>0</v>
      </c>
      <c r="AP68" s="28">
        <f>G68*(1-0.254655172)</f>
        <v>0</v>
      </c>
      <c r="AQ68" s="29" t="s">
        <v>81</v>
      </c>
      <c r="AV68" s="28">
        <f t="shared" si="102"/>
        <v>0</v>
      </c>
      <c r="AW68" s="28">
        <f t="shared" si="103"/>
        <v>0</v>
      </c>
      <c r="AX68" s="28">
        <f t="shared" si="104"/>
        <v>0</v>
      </c>
      <c r="AY68" s="29" t="s">
        <v>206</v>
      </c>
      <c r="AZ68" s="29" t="s">
        <v>182</v>
      </c>
      <c r="BA68" s="10" t="s">
        <v>60</v>
      </c>
      <c r="BC68" s="28">
        <f t="shared" si="105"/>
        <v>0</v>
      </c>
      <c r="BD68" s="28">
        <f t="shared" si="106"/>
        <v>0</v>
      </c>
      <c r="BE68" s="28">
        <v>0</v>
      </c>
      <c r="BF68" s="28">
        <f>68</f>
        <v>68</v>
      </c>
      <c r="BH68" s="28">
        <f t="shared" si="107"/>
        <v>0</v>
      </c>
      <c r="BI68" s="28">
        <f t="shared" si="108"/>
        <v>0</v>
      </c>
      <c r="BJ68" s="28">
        <f t="shared" si="109"/>
        <v>0</v>
      </c>
      <c r="BK68" s="28"/>
      <c r="BL68" s="28">
        <v>722</v>
      </c>
      <c r="BW68" s="28">
        <v>12</v>
      </c>
      <c r="BX68" s="4" t="s">
        <v>209</v>
      </c>
    </row>
    <row r="69" spans="1:76" x14ac:dyDescent="0.25">
      <c r="A69" s="30" t="s">
        <v>210</v>
      </c>
      <c r="B69" s="31" t="s">
        <v>211</v>
      </c>
      <c r="C69" s="115" t="s">
        <v>212</v>
      </c>
      <c r="D69" s="116"/>
      <c r="E69" s="31" t="s">
        <v>77</v>
      </c>
      <c r="F69" s="32">
        <v>2</v>
      </c>
      <c r="G69" s="32">
        <v>0</v>
      </c>
      <c r="H69" s="32">
        <f t="shared" si="88"/>
        <v>0</v>
      </c>
      <c r="I69" s="32">
        <f t="shared" si="89"/>
        <v>0</v>
      </c>
      <c r="J69" s="32">
        <f t="shared" si="90"/>
        <v>0</v>
      </c>
      <c r="K69" s="33" t="s">
        <v>57</v>
      </c>
      <c r="Z69" s="28">
        <f t="shared" si="91"/>
        <v>0</v>
      </c>
      <c r="AB69" s="28">
        <f t="shared" si="92"/>
        <v>0</v>
      </c>
      <c r="AC69" s="28">
        <f t="shared" si="93"/>
        <v>0</v>
      </c>
      <c r="AD69" s="28">
        <f t="shared" si="94"/>
        <v>0</v>
      </c>
      <c r="AE69" s="28">
        <f t="shared" si="95"/>
        <v>0</v>
      </c>
      <c r="AF69" s="28">
        <f t="shared" si="96"/>
        <v>0</v>
      </c>
      <c r="AG69" s="28">
        <f t="shared" si="97"/>
        <v>0</v>
      </c>
      <c r="AH69" s="28">
        <f t="shared" si="98"/>
        <v>0</v>
      </c>
      <c r="AI69" s="10" t="s">
        <v>50</v>
      </c>
      <c r="AJ69" s="28">
        <f t="shared" si="99"/>
        <v>0</v>
      </c>
      <c r="AK69" s="28">
        <f t="shared" si="100"/>
        <v>0</v>
      </c>
      <c r="AL69" s="28">
        <f t="shared" si="101"/>
        <v>0</v>
      </c>
      <c r="AN69" s="28">
        <v>12</v>
      </c>
      <c r="AO69" s="28">
        <f>G69*0.331127013</f>
        <v>0</v>
      </c>
      <c r="AP69" s="28">
        <f>G69*(1-0.331127013)</f>
        <v>0</v>
      </c>
      <c r="AQ69" s="29" t="s">
        <v>81</v>
      </c>
      <c r="AV69" s="28">
        <f t="shared" si="102"/>
        <v>0</v>
      </c>
      <c r="AW69" s="28">
        <f t="shared" si="103"/>
        <v>0</v>
      </c>
      <c r="AX69" s="28">
        <f t="shared" si="104"/>
        <v>0</v>
      </c>
      <c r="AY69" s="29" t="s">
        <v>206</v>
      </c>
      <c r="AZ69" s="29" t="s">
        <v>182</v>
      </c>
      <c r="BA69" s="10" t="s">
        <v>60</v>
      </c>
      <c r="BC69" s="28">
        <f t="shared" si="105"/>
        <v>0</v>
      </c>
      <c r="BD69" s="28">
        <f t="shared" si="106"/>
        <v>0</v>
      </c>
      <c r="BE69" s="28">
        <v>0</v>
      </c>
      <c r="BF69" s="28">
        <f>69</f>
        <v>69</v>
      </c>
      <c r="BH69" s="28">
        <f t="shared" si="107"/>
        <v>0</v>
      </c>
      <c r="BI69" s="28">
        <f t="shared" si="108"/>
        <v>0</v>
      </c>
      <c r="BJ69" s="28">
        <f t="shared" si="109"/>
        <v>0</v>
      </c>
      <c r="BK69" s="28"/>
      <c r="BL69" s="28">
        <v>722</v>
      </c>
      <c r="BW69" s="28">
        <v>12</v>
      </c>
      <c r="BX69" s="4" t="s">
        <v>212</v>
      </c>
    </row>
    <row r="70" spans="1:76" x14ac:dyDescent="0.25">
      <c r="A70" s="30" t="s">
        <v>213</v>
      </c>
      <c r="B70" s="31" t="s">
        <v>214</v>
      </c>
      <c r="C70" s="115" t="s">
        <v>215</v>
      </c>
      <c r="D70" s="116"/>
      <c r="E70" s="31" t="s">
        <v>77</v>
      </c>
      <c r="F70" s="32">
        <v>14.4</v>
      </c>
      <c r="G70" s="32">
        <v>0</v>
      </c>
      <c r="H70" s="32">
        <f t="shared" si="88"/>
        <v>0</v>
      </c>
      <c r="I70" s="32">
        <f t="shared" si="89"/>
        <v>0</v>
      </c>
      <c r="J70" s="32">
        <f t="shared" si="90"/>
        <v>0</v>
      </c>
      <c r="K70" s="33" t="s">
        <v>57</v>
      </c>
      <c r="Z70" s="28">
        <f t="shared" si="91"/>
        <v>0</v>
      </c>
      <c r="AB70" s="28">
        <f t="shared" si="92"/>
        <v>0</v>
      </c>
      <c r="AC70" s="28">
        <f t="shared" si="93"/>
        <v>0</v>
      </c>
      <c r="AD70" s="28">
        <f t="shared" si="94"/>
        <v>0</v>
      </c>
      <c r="AE70" s="28">
        <f t="shared" si="95"/>
        <v>0</v>
      </c>
      <c r="AF70" s="28">
        <f t="shared" si="96"/>
        <v>0</v>
      </c>
      <c r="AG70" s="28">
        <f t="shared" si="97"/>
        <v>0</v>
      </c>
      <c r="AH70" s="28">
        <f t="shared" si="98"/>
        <v>0</v>
      </c>
      <c r="AI70" s="10" t="s">
        <v>50</v>
      </c>
      <c r="AJ70" s="28">
        <f t="shared" si="99"/>
        <v>0</v>
      </c>
      <c r="AK70" s="28">
        <f t="shared" si="100"/>
        <v>0</v>
      </c>
      <c r="AL70" s="28">
        <f t="shared" si="101"/>
        <v>0</v>
      </c>
      <c r="AN70" s="28">
        <v>12</v>
      </c>
      <c r="AO70" s="28">
        <f>G70*0.099876391</f>
        <v>0</v>
      </c>
      <c r="AP70" s="28">
        <f>G70*(1-0.099876391)</f>
        <v>0</v>
      </c>
      <c r="AQ70" s="29" t="s">
        <v>81</v>
      </c>
      <c r="AV70" s="28">
        <f t="shared" si="102"/>
        <v>0</v>
      </c>
      <c r="AW70" s="28">
        <f t="shared" si="103"/>
        <v>0</v>
      </c>
      <c r="AX70" s="28">
        <f t="shared" si="104"/>
        <v>0</v>
      </c>
      <c r="AY70" s="29" t="s">
        <v>206</v>
      </c>
      <c r="AZ70" s="29" t="s">
        <v>182</v>
      </c>
      <c r="BA70" s="10" t="s">
        <v>60</v>
      </c>
      <c r="BC70" s="28">
        <f t="shared" si="105"/>
        <v>0</v>
      </c>
      <c r="BD70" s="28">
        <f t="shared" si="106"/>
        <v>0</v>
      </c>
      <c r="BE70" s="28">
        <v>0</v>
      </c>
      <c r="BF70" s="28">
        <f>70</f>
        <v>70</v>
      </c>
      <c r="BH70" s="28">
        <f t="shared" si="107"/>
        <v>0</v>
      </c>
      <c r="BI70" s="28">
        <f t="shared" si="108"/>
        <v>0</v>
      </c>
      <c r="BJ70" s="28">
        <f t="shared" si="109"/>
        <v>0</v>
      </c>
      <c r="BK70" s="28"/>
      <c r="BL70" s="28">
        <v>722</v>
      </c>
      <c r="BW70" s="28">
        <v>12</v>
      </c>
      <c r="BX70" s="4" t="s">
        <v>215</v>
      </c>
    </row>
    <row r="71" spans="1:76" x14ac:dyDescent="0.25">
      <c r="A71" s="30" t="s">
        <v>216</v>
      </c>
      <c r="B71" s="31" t="s">
        <v>217</v>
      </c>
      <c r="C71" s="115" t="s">
        <v>218</v>
      </c>
      <c r="D71" s="116"/>
      <c r="E71" s="31" t="s">
        <v>77</v>
      </c>
      <c r="F71" s="32">
        <v>9.8000000000000007</v>
      </c>
      <c r="G71" s="32">
        <v>0</v>
      </c>
      <c r="H71" s="32">
        <f t="shared" si="88"/>
        <v>0</v>
      </c>
      <c r="I71" s="32">
        <f t="shared" si="89"/>
        <v>0</v>
      </c>
      <c r="J71" s="32">
        <f t="shared" si="90"/>
        <v>0</v>
      </c>
      <c r="K71" s="33" t="s">
        <v>57</v>
      </c>
      <c r="Z71" s="28">
        <f t="shared" si="91"/>
        <v>0</v>
      </c>
      <c r="AB71" s="28">
        <f t="shared" si="92"/>
        <v>0</v>
      </c>
      <c r="AC71" s="28">
        <f t="shared" si="93"/>
        <v>0</v>
      </c>
      <c r="AD71" s="28">
        <f t="shared" si="94"/>
        <v>0</v>
      </c>
      <c r="AE71" s="28">
        <f t="shared" si="95"/>
        <v>0</v>
      </c>
      <c r="AF71" s="28">
        <f t="shared" si="96"/>
        <v>0</v>
      </c>
      <c r="AG71" s="28">
        <f t="shared" si="97"/>
        <v>0</v>
      </c>
      <c r="AH71" s="28">
        <f t="shared" si="98"/>
        <v>0</v>
      </c>
      <c r="AI71" s="10" t="s">
        <v>50</v>
      </c>
      <c r="AJ71" s="28">
        <f t="shared" si="99"/>
        <v>0</v>
      </c>
      <c r="AK71" s="28">
        <f t="shared" si="100"/>
        <v>0</v>
      </c>
      <c r="AL71" s="28">
        <f t="shared" si="101"/>
        <v>0</v>
      </c>
      <c r="AN71" s="28">
        <v>12</v>
      </c>
      <c r="AO71" s="28">
        <f>G71*0.097244191</f>
        <v>0</v>
      </c>
      <c r="AP71" s="28">
        <f>G71*(1-0.097244191)</f>
        <v>0</v>
      </c>
      <c r="AQ71" s="29" t="s">
        <v>81</v>
      </c>
      <c r="AV71" s="28">
        <f t="shared" si="102"/>
        <v>0</v>
      </c>
      <c r="AW71" s="28">
        <f t="shared" si="103"/>
        <v>0</v>
      </c>
      <c r="AX71" s="28">
        <f t="shared" si="104"/>
        <v>0</v>
      </c>
      <c r="AY71" s="29" t="s">
        <v>206</v>
      </c>
      <c r="AZ71" s="29" t="s">
        <v>182</v>
      </c>
      <c r="BA71" s="10" t="s">
        <v>60</v>
      </c>
      <c r="BC71" s="28">
        <f t="shared" si="105"/>
        <v>0</v>
      </c>
      <c r="BD71" s="28">
        <f t="shared" si="106"/>
        <v>0</v>
      </c>
      <c r="BE71" s="28">
        <v>0</v>
      </c>
      <c r="BF71" s="28">
        <f>71</f>
        <v>71</v>
      </c>
      <c r="BH71" s="28">
        <f t="shared" si="107"/>
        <v>0</v>
      </c>
      <c r="BI71" s="28">
        <f t="shared" si="108"/>
        <v>0</v>
      </c>
      <c r="BJ71" s="28">
        <f t="shared" si="109"/>
        <v>0</v>
      </c>
      <c r="BK71" s="28"/>
      <c r="BL71" s="28">
        <v>722</v>
      </c>
      <c r="BW71" s="28">
        <v>12</v>
      </c>
      <c r="BX71" s="4" t="s">
        <v>218</v>
      </c>
    </row>
    <row r="72" spans="1:76" x14ac:dyDescent="0.25">
      <c r="A72" s="30" t="s">
        <v>219</v>
      </c>
      <c r="B72" s="31" t="s">
        <v>220</v>
      </c>
      <c r="C72" s="115" t="s">
        <v>221</v>
      </c>
      <c r="D72" s="116"/>
      <c r="E72" s="31" t="s">
        <v>77</v>
      </c>
      <c r="F72" s="32">
        <v>2</v>
      </c>
      <c r="G72" s="32">
        <v>0</v>
      </c>
      <c r="H72" s="32">
        <f t="shared" si="88"/>
        <v>0</v>
      </c>
      <c r="I72" s="32">
        <f t="shared" si="89"/>
        <v>0</v>
      </c>
      <c r="J72" s="32">
        <f t="shared" si="90"/>
        <v>0</v>
      </c>
      <c r="K72" s="33" t="s">
        <v>57</v>
      </c>
      <c r="Z72" s="28">
        <f t="shared" si="91"/>
        <v>0</v>
      </c>
      <c r="AB72" s="28">
        <f t="shared" si="92"/>
        <v>0</v>
      </c>
      <c r="AC72" s="28">
        <f t="shared" si="93"/>
        <v>0</v>
      </c>
      <c r="AD72" s="28">
        <f t="shared" si="94"/>
        <v>0</v>
      </c>
      <c r="AE72" s="28">
        <f t="shared" si="95"/>
        <v>0</v>
      </c>
      <c r="AF72" s="28">
        <f t="shared" si="96"/>
        <v>0</v>
      </c>
      <c r="AG72" s="28">
        <f t="shared" si="97"/>
        <v>0</v>
      </c>
      <c r="AH72" s="28">
        <f t="shared" si="98"/>
        <v>0</v>
      </c>
      <c r="AI72" s="10" t="s">
        <v>50</v>
      </c>
      <c r="AJ72" s="28">
        <f t="shared" si="99"/>
        <v>0</v>
      </c>
      <c r="AK72" s="28">
        <f t="shared" si="100"/>
        <v>0</v>
      </c>
      <c r="AL72" s="28">
        <f t="shared" si="101"/>
        <v>0</v>
      </c>
      <c r="AN72" s="28">
        <v>12</v>
      </c>
      <c r="AO72" s="28">
        <f>G72*0.0858661</f>
        <v>0</v>
      </c>
      <c r="AP72" s="28">
        <f>G72*(1-0.0858661)</f>
        <v>0</v>
      </c>
      <c r="AQ72" s="29" t="s">
        <v>81</v>
      </c>
      <c r="AV72" s="28">
        <f t="shared" si="102"/>
        <v>0</v>
      </c>
      <c r="AW72" s="28">
        <f t="shared" si="103"/>
        <v>0</v>
      </c>
      <c r="AX72" s="28">
        <f t="shared" si="104"/>
        <v>0</v>
      </c>
      <c r="AY72" s="29" t="s">
        <v>206</v>
      </c>
      <c r="AZ72" s="29" t="s">
        <v>182</v>
      </c>
      <c r="BA72" s="10" t="s">
        <v>60</v>
      </c>
      <c r="BC72" s="28">
        <f t="shared" si="105"/>
        <v>0</v>
      </c>
      <c r="BD72" s="28">
        <f t="shared" si="106"/>
        <v>0</v>
      </c>
      <c r="BE72" s="28">
        <v>0</v>
      </c>
      <c r="BF72" s="28">
        <f>72</f>
        <v>72</v>
      </c>
      <c r="BH72" s="28">
        <f t="shared" si="107"/>
        <v>0</v>
      </c>
      <c r="BI72" s="28">
        <f t="shared" si="108"/>
        <v>0</v>
      </c>
      <c r="BJ72" s="28">
        <f t="shared" si="109"/>
        <v>0</v>
      </c>
      <c r="BK72" s="28"/>
      <c r="BL72" s="28">
        <v>722</v>
      </c>
      <c r="BW72" s="28">
        <v>12</v>
      </c>
      <c r="BX72" s="4" t="s">
        <v>221</v>
      </c>
    </row>
    <row r="73" spans="1:76" x14ac:dyDescent="0.25">
      <c r="A73" s="30" t="s">
        <v>222</v>
      </c>
      <c r="B73" s="31" t="s">
        <v>223</v>
      </c>
      <c r="C73" s="115" t="s">
        <v>224</v>
      </c>
      <c r="D73" s="116"/>
      <c r="E73" s="31" t="s">
        <v>77</v>
      </c>
      <c r="F73" s="32">
        <v>14.4</v>
      </c>
      <c r="G73" s="32">
        <v>0</v>
      </c>
      <c r="H73" s="32">
        <f t="shared" si="88"/>
        <v>0</v>
      </c>
      <c r="I73" s="32">
        <f t="shared" si="89"/>
        <v>0</v>
      </c>
      <c r="J73" s="32">
        <f t="shared" si="90"/>
        <v>0</v>
      </c>
      <c r="K73" s="33" t="s">
        <v>57</v>
      </c>
      <c r="Z73" s="28">
        <f t="shared" si="91"/>
        <v>0</v>
      </c>
      <c r="AB73" s="28">
        <f t="shared" si="92"/>
        <v>0</v>
      </c>
      <c r="AC73" s="28">
        <f t="shared" si="93"/>
        <v>0</v>
      </c>
      <c r="AD73" s="28">
        <f t="shared" si="94"/>
        <v>0</v>
      </c>
      <c r="AE73" s="28">
        <f t="shared" si="95"/>
        <v>0</v>
      </c>
      <c r="AF73" s="28">
        <f t="shared" si="96"/>
        <v>0</v>
      </c>
      <c r="AG73" s="28">
        <f t="shared" si="97"/>
        <v>0</v>
      </c>
      <c r="AH73" s="28">
        <f t="shared" si="98"/>
        <v>0</v>
      </c>
      <c r="AI73" s="10" t="s">
        <v>50</v>
      </c>
      <c r="AJ73" s="28">
        <f t="shared" si="99"/>
        <v>0</v>
      </c>
      <c r="AK73" s="28">
        <f t="shared" si="100"/>
        <v>0</v>
      </c>
      <c r="AL73" s="28">
        <f t="shared" si="101"/>
        <v>0</v>
      </c>
      <c r="AN73" s="28">
        <v>12</v>
      </c>
      <c r="AO73" s="28">
        <f>G73*0.287627653</f>
        <v>0</v>
      </c>
      <c r="AP73" s="28">
        <f>G73*(1-0.287627653)</f>
        <v>0</v>
      </c>
      <c r="AQ73" s="29" t="s">
        <v>81</v>
      </c>
      <c r="AV73" s="28">
        <f t="shared" si="102"/>
        <v>0</v>
      </c>
      <c r="AW73" s="28">
        <f t="shared" si="103"/>
        <v>0</v>
      </c>
      <c r="AX73" s="28">
        <f t="shared" si="104"/>
        <v>0</v>
      </c>
      <c r="AY73" s="29" t="s">
        <v>206</v>
      </c>
      <c r="AZ73" s="29" t="s">
        <v>182</v>
      </c>
      <c r="BA73" s="10" t="s">
        <v>60</v>
      </c>
      <c r="BC73" s="28">
        <f t="shared" si="105"/>
        <v>0</v>
      </c>
      <c r="BD73" s="28">
        <f t="shared" si="106"/>
        <v>0</v>
      </c>
      <c r="BE73" s="28">
        <v>0</v>
      </c>
      <c r="BF73" s="28">
        <f>73</f>
        <v>73</v>
      </c>
      <c r="BH73" s="28">
        <f t="shared" si="107"/>
        <v>0</v>
      </c>
      <c r="BI73" s="28">
        <f t="shared" si="108"/>
        <v>0</v>
      </c>
      <c r="BJ73" s="28">
        <f t="shared" si="109"/>
        <v>0</v>
      </c>
      <c r="BK73" s="28"/>
      <c r="BL73" s="28">
        <v>722</v>
      </c>
      <c r="BW73" s="28">
        <v>12</v>
      </c>
      <c r="BX73" s="4" t="s">
        <v>224</v>
      </c>
    </row>
    <row r="74" spans="1:76" ht="13.5" customHeight="1" x14ac:dyDescent="0.25">
      <c r="A74" s="34"/>
      <c r="B74" s="35" t="s">
        <v>65</v>
      </c>
      <c r="C74" s="117" t="s">
        <v>225</v>
      </c>
      <c r="D74" s="118"/>
      <c r="E74" s="118"/>
      <c r="F74" s="118"/>
      <c r="G74" s="118"/>
      <c r="H74" s="118"/>
      <c r="I74" s="118"/>
      <c r="J74" s="118"/>
      <c r="K74" s="119"/>
    </row>
    <row r="75" spans="1:76" x14ac:dyDescent="0.25">
      <c r="A75" s="24" t="s">
        <v>226</v>
      </c>
      <c r="B75" s="25" t="s">
        <v>227</v>
      </c>
      <c r="C75" s="113" t="s">
        <v>224</v>
      </c>
      <c r="D75" s="114"/>
      <c r="E75" s="25" t="s">
        <v>77</v>
      </c>
      <c r="F75" s="26">
        <v>9.8000000000000007</v>
      </c>
      <c r="G75" s="26">
        <v>0</v>
      </c>
      <c r="H75" s="26">
        <f>F75*AO75</f>
        <v>0</v>
      </c>
      <c r="I75" s="26">
        <f>F75*AP75</f>
        <v>0</v>
      </c>
      <c r="J75" s="26">
        <f>F75*G75</f>
        <v>0</v>
      </c>
      <c r="K75" s="27" t="s">
        <v>57</v>
      </c>
      <c r="Z75" s="28">
        <f>IF(AQ75="5",BJ75,0)</f>
        <v>0</v>
      </c>
      <c r="AB75" s="28">
        <f>IF(AQ75="1",BH75,0)</f>
        <v>0</v>
      </c>
      <c r="AC75" s="28">
        <f>IF(AQ75="1",BI75,0)</f>
        <v>0</v>
      </c>
      <c r="AD75" s="28">
        <f>IF(AQ75="7",BH75,0)</f>
        <v>0</v>
      </c>
      <c r="AE75" s="28">
        <f>IF(AQ75="7",BI75,0)</f>
        <v>0</v>
      </c>
      <c r="AF75" s="28">
        <f>IF(AQ75="2",BH75,0)</f>
        <v>0</v>
      </c>
      <c r="AG75" s="28">
        <f>IF(AQ75="2",BI75,0)</f>
        <v>0</v>
      </c>
      <c r="AH75" s="28">
        <f>IF(AQ75="0",BJ75,0)</f>
        <v>0</v>
      </c>
      <c r="AI75" s="10" t="s">
        <v>50</v>
      </c>
      <c r="AJ75" s="28">
        <f>IF(AN75=0,J75,0)</f>
        <v>0</v>
      </c>
      <c r="AK75" s="28">
        <f>IF(AN75=12,J75,0)</f>
        <v>0</v>
      </c>
      <c r="AL75" s="28">
        <f>IF(AN75=21,J75,0)</f>
        <v>0</v>
      </c>
      <c r="AN75" s="28">
        <v>12</v>
      </c>
      <c r="AO75" s="28">
        <f>G75*0.309694426</f>
        <v>0</v>
      </c>
      <c r="AP75" s="28">
        <f>G75*(1-0.309694426)</f>
        <v>0</v>
      </c>
      <c r="AQ75" s="29" t="s">
        <v>81</v>
      </c>
      <c r="AV75" s="28">
        <f>AW75+AX75</f>
        <v>0</v>
      </c>
      <c r="AW75" s="28">
        <f>F75*AO75</f>
        <v>0</v>
      </c>
      <c r="AX75" s="28">
        <f>F75*AP75</f>
        <v>0</v>
      </c>
      <c r="AY75" s="29" t="s">
        <v>206</v>
      </c>
      <c r="AZ75" s="29" t="s">
        <v>182</v>
      </c>
      <c r="BA75" s="10" t="s">
        <v>60</v>
      </c>
      <c r="BC75" s="28">
        <f>AW75+AX75</f>
        <v>0</v>
      </c>
      <c r="BD75" s="28">
        <f>G75/(100-BE75)*100</f>
        <v>0</v>
      </c>
      <c r="BE75" s="28">
        <v>0</v>
      </c>
      <c r="BF75" s="28">
        <f>75</f>
        <v>75</v>
      </c>
      <c r="BH75" s="28">
        <f>F75*AO75</f>
        <v>0</v>
      </c>
      <c r="BI75" s="28">
        <f>F75*AP75</f>
        <v>0</v>
      </c>
      <c r="BJ75" s="28">
        <f>F75*G75</f>
        <v>0</v>
      </c>
      <c r="BK75" s="28"/>
      <c r="BL75" s="28">
        <v>722</v>
      </c>
      <c r="BW75" s="28">
        <v>12</v>
      </c>
      <c r="BX75" s="4" t="s">
        <v>224</v>
      </c>
    </row>
    <row r="76" spans="1:76" ht="13.5" customHeight="1" x14ac:dyDescent="0.25">
      <c r="A76" s="34"/>
      <c r="B76" s="35" t="s">
        <v>65</v>
      </c>
      <c r="C76" s="117" t="s">
        <v>228</v>
      </c>
      <c r="D76" s="118"/>
      <c r="E76" s="118"/>
      <c r="F76" s="118"/>
      <c r="G76" s="118"/>
      <c r="H76" s="118"/>
      <c r="I76" s="118"/>
      <c r="J76" s="118"/>
      <c r="K76" s="119"/>
    </row>
    <row r="77" spans="1:76" x14ac:dyDescent="0.25">
      <c r="A77" s="24" t="s">
        <v>229</v>
      </c>
      <c r="B77" s="25" t="s">
        <v>230</v>
      </c>
      <c r="C77" s="113" t="s">
        <v>224</v>
      </c>
      <c r="D77" s="114"/>
      <c r="E77" s="25" t="s">
        <v>77</v>
      </c>
      <c r="F77" s="26">
        <v>2</v>
      </c>
      <c r="G77" s="26">
        <v>0</v>
      </c>
      <c r="H77" s="26">
        <f>F77*AO77</f>
        <v>0</v>
      </c>
      <c r="I77" s="26">
        <f>F77*AP77</f>
        <v>0</v>
      </c>
      <c r="J77" s="26">
        <f>F77*G77</f>
        <v>0</v>
      </c>
      <c r="K77" s="27" t="s">
        <v>57</v>
      </c>
      <c r="Z77" s="28">
        <f>IF(AQ77="5",BJ77,0)</f>
        <v>0</v>
      </c>
      <c r="AB77" s="28">
        <f>IF(AQ77="1",BH77,0)</f>
        <v>0</v>
      </c>
      <c r="AC77" s="28">
        <f>IF(AQ77="1",BI77,0)</f>
        <v>0</v>
      </c>
      <c r="AD77" s="28">
        <f>IF(AQ77="7",BH77,0)</f>
        <v>0</v>
      </c>
      <c r="AE77" s="28">
        <f>IF(AQ77="7",BI77,0)</f>
        <v>0</v>
      </c>
      <c r="AF77" s="28">
        <f>IF(AQ77="2",BH77,0)</f>
        <v>0</v>
      </c>
      <c r="AG77" s="28">
        <f>IF(AQ77="2",BI77,0)</f>
        <v>0</v>
      </c>
      <c r="AH77" s="28">
        <f>IF(AQ77="0",BJ77,0)</f>
        <v>0</v>
      </c>
      <c r="AI77" s="10" t="s">
        <v>50</v>
      </c>
      <c r="AJ77" s="28">
        <f>IF(AN77=0,J77,0)</f>
        <v>0</v>
      </c>
      <c r="AK77" s="28">
        <f>IF(AN77=12,J77,0)</f>
        <v>0</v>
      </c>
      <c r="AL77" s="28">
        <f>IF(AN77=21,J77,0)</f>
        <v>0</v>
      </c>
      <c r="AN77" s="28">
        <v>12</v>
      </c>
      <c r="AO77" s="28">
        <f>G77*0.331339286</f>
        <v>0</v>
      </c>
      <c r="AP77" s="28">
        <f>G77*(1-0.331339286)</f>
        <v>0</v>
      </c>
      <c r="AQ77" s="29" t="s">
        <v>81</v>
      </c>
      <c r="AV77" s="28">
        <f>AW77+AX77</f>
        <v>0</v>
      </c>
      <c r="AW77" s="28">
        <f>F77*AO77</f>
        <v>0</v>
      </c>
      <c r="AX77" s="28">
        <f>F77*AP77</f>
        <v>0</v>
      </c>
      <c r="AY77" s="29" t="s">
        <v>206</v>
      </c>
      <c r="AZ77" s="29" t="s">
        <v>182</v>
      </c>
      <c r="BA77" s="10" t="s">
        <v>60</v>
      </c>
      <c r="BC77" s="28">
        <f>AW77+AX77</f>
        <v>0</v>
      </c>
      <c r="BD77" s="28">
        <f>G77/(100-BE77)*100</f>
        <v>0</v>
      </c>
      <c r="BE77" s="28">
        <v>0</v>
      </c>
      <c r="BF77" s="28">
        <f>77</f>
        <v>77</v>
      </c>
      <c r="BH77" s="28">
        <f>F77*AO77</f>
        <v>0</v>
      </c>
      <c r="BI77" s="28">
        <f>F77*AP77</f>
        <v>0</v>
      </c>
      <c r="BJ77" s="28">
        <f>F77*G77</f>
        <v>0</v>
      </c>
      <c r="BK77" s="28"/>
      <c r="BL77" s="28">
        <v>722</v>
      </c>
      <c r="BW77" s="28">
        <v>12</v>
      </c>
      <c r="BX77" s="4" t="s">
        <v>224</v>
      </c>
    </row>
    <row r="78" spans="1:76" ht="13.5" customHeight="1" x14ac:dyDescent="0.25">
      <c r="A78" s="34"/>
      <c r="B78" s="35" t="s">
        <v>65</v>
      </c>
      <c r="C78" s="117" t="s">
        <v>231</v>
      </c>
      <c r="D78" s="118"/>
      <c r="E78" s="118"/>
      <c r="F78" s="118"/>
      <c r="G78" s="118"/>
      <c r="H78" s="118"/>
      <c r="I78" s="118"/>
      <c r="J78" s="118"/>
      <c r="K78" s="119"/>
    </row>
    <row r="79" spans="1:76" x14ac:dyDescent="0.25">
      <c r="A79" s="24" t="s">
        <v>232</v>
      </c>
      <c r="B79" s="25" t="s">
        <v>233</v>
      </c>
      <c r="C79" s="113" t="s">
        <v>234</v>
      </c>
      <c r="D79" s="114"/>
      <c r="E79" s="25" t="s">
        <v>56</v>
      </c>
      <c r="F79" s="26">
        <v>10</v>
      </c>
      <c r="G79" s="26">
        <v>0</v>
      </c>
      <c r="H79" s="26">
        <f t="shared" ref="H79:H88" si="110">F79*AO79</f>
        <v>0</v>
      </c>
      <c r="I79" s="26">
        <f t="shared" ref="I79:I88" si="111">F79*AP79</f>
        <v>0</v>
      </c>
      <c r="J79" s="26">
        <f t="shared" ref="J79:J88" si="112">F79*G79</f>
        <v>0</v>
      </c>
      <c r="K79" s="27" t="s">
        <v>57</v>
      </c>
      <c r="Z79" s="28">
        <f t="shared" ref="Z79:Z88" si="113">IF(AQ79="5",BJ79,0)</f>
        <v>0</v>
      </c>
      <c r="AB79" s="28">
        <f t="shared" ref="AB79:AB88" si="114">IF(AQ79="1",BH79,0)</f>
        <v>0</v>
      </c>
      <c r="AC79" s="28">
        <f t="shared" ref="AC79:AC88" si="115">IF(AQ79="1",BI79,0)</f>
        <v>0</v>
      </c>
      <c r="AD79" s="28">
        <f t="shared" ref="AD79:AD88" si="116">IF(AQ79="7",BH79,0)</f>
        <v>0</v>
      </c>
      <c r="AE79" s="28">
        <f t="shared" ref="AE79:AE88" si="117">IF(AQ79="7",BI79,0)</f>
        <v>0</v>
      </c>
      <c r="AF79" s="28">
        <f t="shared" ref="AF79:AF88" si="118">IF(AQ79="2",BH79,0)</f>
        <v>0</v>
      </c>
      <c r="AG79" s="28">
        <f t="shared" ref="AG79:AG88" si="119">IF(AQ79="2",BI79,0)</f>
        <v>0</v>
      </c>
      <c r="AH79" s="28">
        <f t="shared" ref="AH79:AH88" si="120">IF(AQ79="0",BJ79,0)</f>
        <v>0</v>
      </c>
      <c r="AI79" s="10" t="s">
        <v>50</v>
      </c>
      <c r="AJ79" s="28">
        <f t="shared" ref="AJ79:AJ88" si="121">IF(AN79=0,J79,0)</f>
        <v>0</v>
      </c>
      <c r="AK79" s="28">
        <f t="shared" ref="AK79:AK88" si="122">IF(AN79=12,J79,0)</f>
        <v>0</v>
      </c>
      <c r="AL79" s="28">
        <f t="shared" ref="AL79:AL88" si="123">IF(AN79=21,J79,0)</f>
        <v>0</v>
      </c>
      <c r="AN79" s="28">
        <v>12</v>
      </c>
      <c r="AO79" s="28">
        <f>G79*0</f>
        <v>0</v>
      </c>
      <c r="AP79" s="28">
        <f>G79*(1-0)</f>
        <v>0</v>
      </c>
      <c r="AQ79" s="29" t="s">
        <v>81</v>
      </c>
      <c r="AV79" s="28">
        <f t="shared" ref="AV79:AV88" si="124">AW79+AX79</f>
        <v>0</v>
      </c>
      <c r="AW79" s="28">
        <f t="shared" ref="AW79:AW88" si="125">F79*AO79</f>
        <v>0</v>
      </c>
      <c r="AX79" s="28">
        <f t="shared" ref="AX79:AX88" si="126">F79*AP79</f>
        <v>0</v>
      </c>
      <c r="AY79" s="29" t="s">
        <v>206</v>
      </c>
      <c r="AZ79" s="29" t="s">
        <v>182</v>
      </c>
      <c r="BA79" s="10" t="s">
        <v>60</v>
      </c>
      <c r="BC79" s="28">
        <f t="shared" ref="BC79:BC88" si="127">AW79+AX79</f>
        <v>0</v>
      </c>
      <c r="BD79" s="28">
        <f t="shared" ref="BD79:BD88" si="128">G79/(100-BE79)*100</f>
        <v>0</v>
      </c>
      <c r="BE79" s="28">
        <v>0</v>
      </c>
      <c r="BF79" s="28">
        <f>79</f>
        <v>79</v>
      </c>
      <c r="BH79" s="28">
        <f t="shared" ref="BH79:BH88" si="129">F79*AO79</f>
        <v>0</v>
      </c>
      <c r="BI79" s="28">
        <f t="shared" ref="BI79:BI88" si="130">F79*AP79</f>
        <v>0</v>
      </c>
      <c r="BJ79" s="28">
        <f t="shared" ref="BJ79:BJ88" si="131">F79*G79</f>
        <v>0</v>
      </c>
      <c r="BK79" s="28"/>
      <c r="BL79" s="28">
        <v>722</v>
      </c>
      <c r="BW79" s="28">
        <v>12</v>
      </c>
      <c r="BX79" s="4" t="s">
        <v>234</v>
      </c>
    </row>
    <row r="80" spans="1:76" x14ac:dyDescent="0.25">
      <c r="A80" s="30" t="s">
        <v>235</v>
      </c>
      <c r="B80" s="31" t="s">
        <v>236</v>
      </c>
      <c r="C80" s="115" t="s">
        <v>237</v>
      </c>
      <c r="D80" s="116"/>
      <c r="E80" s="31" t="s">
        <v>56</v>
      </c>
      <c r="F80" s="32">
        <v>2</v>
      </c>
      <c r="G80" s="32">
        <v>0</v>
      </c>
      <c r="H80" s="32">
        <f t="shared" si="110"/>
        <v>0</v>
      </c>
      <c r="I80" s="32">
        <f t="shared" si="111"/>
        <v>0</v>
      </c>
      <c r="J80" s="32">
        <f t="shared" si="112"/>
        <v>0</v>
      </c>
      <c r="K80" s="33" t="s">
        <v>57</v>
      </c>
      <c r="Z80" s="28">
        <f t="shared" si="113"/>
        <v>0</v>
      </c>
      <c r="AB80" s="28">
        <f t="shared" si="114"/>
        <v>0</v>
      </c>
      <c r="AC80" s="28">
        <f t="shared" si="115"/>
        <v>0</v>
      </c>
      <c r="AD80" s="28">
        <f t="shared" si="116"/>
        <v>0</v>
      </c>
      <c r="AE80" s="28">
        <f t="shared" si="117"/>
        <v>0</v>
      </c>
      <c r="AF80" s="28">
        <f t="shared" si="118"/>
        <v>0</v>
      </c>
      <c r="AG80" s="28">
        <f t="shared" si="119"/>
        <v>0</v>
      </c>
      <c r="AH80" s="28">
        <f t="shared" si="120"/>
        <v>0</v>
      </c>
      <c r="AI80" s="10" t="s">
        <v>50</v>
      </c>
      <c r="AJ80" s="28">
        <f t="shared" si="121"/>
        <v>0</v>
      </c>
      <c r="AK80" s="28">
        <f t="shared" si="122"/>
        <v>0</v>
      </c>
      <c r="AL80" s="28">
        <f t="shared" si="123"/>
        <v>0</v>
      </c>
      <c r="AN80" s="28">
        <v>12</v>
      </c>
      <c r="AO80" s="28">
        <f>G80*0</f>
        <v>0</v>
      </c>
      <c r="AP80" s="28">
        <f>G80*(1-0)</f>
        <v>0</v>
      </c>
      <c r="AQ80" s="29" t="s">
        <v>81</v>
      </c>
      <c r="AV80" s="28">
        <f t="shared" si="124"/>
        <v>0</v>
      </c>
      <c r="AW80" s="28">
        <f t="shared" si="125"/>
        <v>0</v>
      </c>
      <c r="AX80" s="28">
        <f t="shared" si="126"/>
        <v>0</v>
      </c>
      <c r="AY80" s="29" t="s">
        <v>206</v>
      </c>
      <c r="AZ80" s="29" t="s">
        <v>182</v>
      </c>
      <c r="BA80" s="10" t="s">
        <v>60</v>
      </c>
      <c r="BC80" s="28">
        <f t="shared" si="127"/>
        <v>0</v>
      </c>
      <c r="BD80" s="28">
        <f t="shared" si="128"/>
        <v>0</v>
      </c>
      <c r="BE80" s="28">
        <v>0</v>
      </c>
      <c r="BF80" s="28">
        <f>80</f>
        <v>80</v>
      </c>
      <c r="BH80" s="28">
        <f t="shared" si="129"/>
        <v>0</v>
      </c>
      <c r="BI80" s="28">
        <f t="shared" si="130"/>
        <v>0</v>
      </c>
      <c r="BJ80" s="28">
        <f t="shared" si="131"/>
        <v>0</v>
      </c>
      <c r="BK80" s="28"/>
      <c r="BL80" s="28">
        <v>722</v>
      </c>
      <c r="BW80" s="28">
        <v>12</v>
      </c>
      <c r="BX80" s="4" t="s">
        <v>237</v>
      </c>
    </row>
    <row r="81" spans="1:76" x14ac:dyDescent="0.25">
      <c r="A81" s="30" t="s">
        <v>238</v>
      </c>
      <c r="B81" s="31" t="s">
        <v>239</v>
      </c>
      <c r="C81" s="115" t="s">
        <v>240</v>
      </c>
      <c r="D81" s="116"/>
      <c r="E81" s="31" t="s">
        <v>56</v>
      </c>
      <c r="F81" s="32">
        <v>2</v>
      </c>
      <c r="G81" s="32">
        <v>0</v>
      </c>
      <c r="H81" s="32">
        <f t="shared" si="110"/>
        <v>0</v>
      </c>
      <c r="I81" s="32">
        <f t="shared" si="111"/>
        <v>0</v>
      </c>
      <c r="J81" s="32">
        <f t="shared" si="112"/>
        <v>0</v>
      </c>
      <c r="K81" s="33" t="s">
        <v>57</v>
      </c>
      <c r="Z81" s="28">
        <f t="shared" si="113"/>
        <v>0</v>
      </c>
      <c r="AB81" s="28">
        <f t="shared" si="114"/>
        <v>0</v>
      </c>
      <c r="AC81" s="28">
        <f t="shared" si="115"/>
        <v>0</v>
      </c>
      <c r="AD81" s="28">
        <f t="shared" si="116"/>
        <v>0</v>
      </c>
      <c r="AE81" s="28">
        <f t="shared" si="117"/>
        <v>0</v>
      </c>
      <c r="AF81" s="28">
        <f t="shared" si="118"/>
        <v>0</v>
      </c>
      <c r="AG81" s="28">
        <f t="shared" si="119"/>
        <v>0</v>
      </c>
      <c r="AH81" s="28">
        <f t="shared" si="120"/>
        <v>0</v>
      </c>
      <c r="AI81" s="10" t="s">
        <v>50</v>
      </c>
      <c r="AJ81" s="28">
        <f t="shared" si="121"/>
        <v>0</v>
      </c>
      <c r="AK81" s="28">
        <f t="shared" si="122"/>
        <v>0</v>
      </c>
      <c r="AL81" s="28">
        <f t="shared" si="123"/>
        <v>0</v>
      </c>
      <c r="AN81" s="28">
        <v>12</v>
      </c>
      <c r="AO81" s="28">
        <f>G81*0.868746239</f>
        <v>0</v>
      </c>
      <c r="AP81" s="28">
        <f>G81*(1-0.868746239)</f>
        <v>0</v>
      </c>
      <c r="AQ81" s="29" t="s">
        <v>81</v>
      </c>
      <c r="AV81" s="28">
        <f t="shared" si="124"/>
        <v>0</v>
      </c>
      <c r="AW81" s="28">
        <f t="shared" si="125"/>
        <v>0</v>
      </c>
      <c r="AX81" s="28">
        <f t="shared" si="126"/>
        <v>0</v>
      </c>
      <c r="AY81" s="29" t="s">
        <v>206</v>
      </c>
      <c r="AZ81" s="29" t="s">
        <v>182</v>
      </c>
      <c r="BA81" s="10" t="s">
        <v>60</v>
      </c>
      <c r="BC81" s="28">
        <f t="shared" si="127"/>
        <v>0</v>
      </c>
      <c r="BD81" s="28">
        <f t="shared" si="128"/>
        <v>0</v>
      </c>
      <c r="BE81" s="28">
        <v>0</v>
      </c>
      <c r="BF81" s="28">
        <f>81</f>
        <v>81</v>
      </c>
      <c r="BH81" s="28">
        <f t="shared" si="129"/>
        <v>0</v>
      </c>
      <c r="BI81" s="28">
        <f t="shared" si="130"/>
        <v>0</v>
      </c>
      <c r="BJ81" s="28">
        <f t="shared" si="131"/>
        <v>0</v>
      </c>
      <c r="BK81" s="28"/>
      <c r="BL81" s="28">
        <v>722</v>
      </c>
      <c r="BW81" s="28">
        <v>12</v>
      </c>
      <c r="BX81" s="4" t="s">
        <v>240</v>
      </c>
    </row>
    <row r="82" spans="1:76" x14ac:dyDescent="0.25">
      <c r="A82" s="30" t="s">
        <v>241</v>
      </c>
      <c r="B82" s="31" t="s">
        <v>242</v>
      </c>
      <c r="C82" s="115" t="s">
        <v>243</v>
      </c>
      <c r="D82" s="116"/>
      <c r="E82" s="31" t="s">
        <v>56</v>
      </c>
      <c r="F82" s="32">
        <v>10</v>
      </c>
      <c r="G82" s="32">
        <v>0</v>
      </c>
      <c r="H82" s="32">
        <f t="shared" si="110"/>
        <v>0</v>
      </c>
      <c r="I82" s="32">
        <f t="shared" si="111"/>
        <v>0</v>
      </c>
      <c r="J82" s="32">
        <f t="shared" si="112"/>
        <v>0</v>
      </c>
      <c r="K82" s="33" t="s">
        <v>57</v>
      </c>
      <c r="Z82" s="28">
        <f t="shared" si="113"/>
        <v>0</v>
      </c>
      <c r="AB82" s="28">
        <f t="shared" si="114"/>
        <v>0</v>
      </c>
      <c r="AC82" s="28">
        <f t="shared" si="115"/>
        <v>0</v>
      </c>
      <c r="AD82" s="28">
        <f t="shared" si="116"/>
        <v>0</v>
      </c>
      <c r="AE82" s="28">
        <f t="shared" si="117"/>
        <v>0</v>
      </c>
      <c r="AF82" s="28">
        <f t="shared" si="118"/>
        <v>0</v>
      </c>
      <c r="AG82" s="28">
        <f t="shared" si="119"/>
        <v>0</v>
      </c>
      <c r="AH82" s="28">
        <f t="shared" si="120"/>
        <v>0</v>
      </c>
      <c r="AI82" s="10" t="s">
        <v>50</v>
      </c>
      <c r="AJ82" s="28">
        <f t="shared" si="121"/>
        <v>0</v>
      </c>
      <c r="AK82" s="28">
        <f t="shared" si="122"/>
        <v>0</v>
      </c>
      <c r="AL82" s="28">
        <f t="shared" si="123"/>
        <v>0</v>
      </c>
      <c r="AN82" s="28">
        <v>12</v>
      </c>
      <c r="AO82" s="28">
        <f>G82*0.52306338</f>
        <v>0</v>
      </c>
      <c r="AP82" s="28">
        <f>G82*(1-0.52306338)</f>
        <v>0</v>
      </c>
      <c r="AQ82" s="29" t="s">
        <v>81</v>
      </c>
      <c r="AV82" s="28">
        <f t="shared" si="124"/>
        <v>0</v>
      </c>
      <c r="AW82" s="28">
        <f t="shared" si="125"/>
        <v>0</v>
      </c>
      <c r="AX82" s="28">
        <f t="shared" si="126"/>
        <v>0</v>
      </c>
      <c r="AY82" s="29" t="s">
        <v>206</v>
      </c>
      <c r="AZ82" s="29" t="s">
        <v>182</v>
      </c>
      <c r="BA82" s="10" t="s">
        <v>60</v>
      </c>
      <c r="BC82" s="28">
        <f t="shared" si="127"/>
        <v>0</v>
      </c>
      <c r="BD82" s="28">
        <f t="shared" si="128"/>
        <v>0</v>
      </c>
      <c r="BE82" s="28">
        <v>0</v>
      </c>
      <c r="BF82" s="28">
        <f>82</f>
        <v>82</v>
      </c>
      <c r="BH82" s="28">
        <f t="shared" si="129"/>
        <v>0</v>
      </c>
      <c r="BI82" s="28">
        <f t="shared" si="130"/>
        <v>0</v>
      </c>
      <c r="BJ82" s="28">
        <f t="shared" si="131"/>
        <v>0</v>
      </c>
      <c r="BK82" s="28"/>
      <c r="BL82" s="28">
        <v>722</v>
      </c>
      <c r="BW82" s="28">
        <v>12</v>
      </c>
      <c r="BX82" s="4" t="s">
        <v>243</v>
      </c>
    </row>
    <row r="83" spans="1:76" x14ac:dyDescent="0.25">
      <c r="A83" s="30" t="s">
        <v>244</v>
      </c>
      <c r="B83" s="31" t="s">
        <v>245</v>
      </c>
      <c r="C83" s="115" t="s">
        <v>246</v>
      </c>
      <c r="D83" s="116"/>
      <c r="E83" s="31" t="s">
        <v>56</v>
      </c>
      <c r="F83" s="32">
        <v>2</v>
      </c>
      <c r="G83" s="32">
        <v>0</v>
      </c>
      <c r="H83" s="32">
        <f t="shared" si="110"/>
        <v>0</v>
      </c>
      <c r="I83" s="32">
        <f t="shared" si="111"/>
        <v>0</v>
      </c>
      <c r="J83" s="32">
        <f t="shared" si="112"/>
        <v>0</v>
      </c>
      <c r="K83" s="33" t="s">
        <v>57</v>
      </c>
      <c r="Z83" s="28">
        <f t="shared" si="113"/>
        <v>0</v>
      </c>
      <c r="AB83" s="28">
        <f t="shared" si="114"/>
        <v>0</v>
      </c>
      <c r="AC83" s="28">
        <f t="shared" si="115"/>
        <v>0</v>
      </c>
      <c r="AD83" s="28">
        <f t="shared" si="116"/>
        <v>0</v>
      </c>
      <c r="AE83" s="28">
        <f t="shared" si="117"/>
        <v>0</v>
      </c>
      <c r="AF83" s="28">
        <f t="shared" si="118"/>
        <v>0</v>
      </c>
      <c r="AG83" s="28">
        <f t="shared" si="119"/>
        <v>0</v>
      </c>
      <c r="AH83" s="28">
        <f t="shared" si="120"/>
        <v>0</v>
      </c>
      <c r="AI83" s="10" t="s">
        <v>50</v>
      </c>
      <c r="AJ83" s="28">
        <f t="shared" si="121"/>
        <v>0</v>
      </c>
      <c r="AK83" s="28">
        <f t="shared" si="122"/>
        <v>0</v>
      </c>
      <c r="AL83" s="28">
        <f t="shared" si="123"/>
        <v>0</v>
      </c>
      <c r="AN83" s="28">
        <v>12</v>
      </c>
      <c r="AO83" s="28">
        <f>G83*0.511456</f>
        <v>0</v>
      </c>
      <c r="AP83" s="28">
        <f>G83*(1-0.511456)</f>
        <v>0</v>
      </c>
      <c r="AQ83" s="29" t="s">
        <v>81</v>
      </c>
      <c r="AV83" s="28">
        <f t="shared" si="124"/>
        <v>0</v>
      </c>
      <c r="AW83" s="28">
        <f t="shared" si="125"/>
        <v>0</v>
      </c>
      <c r="AX83" s="28">
        <f t="shared" si="126"/>
        <v>0</v>
      </c>
      <c r="AY83" s="29" t="s">
        <v>206</v>
      </c>
      <c r="AZ83" s="29" t="s">
        <v>182</v>
      </c>
      <c r="BA83" s="10" t="s">
        <v>60</v>
      </c>
      <c r="BC83" s="28">
        <f t="shared" si="127"/>
        <v>0</v>
      </c>
      <c r="BD83" s="28">
        <f t="shared" si="128"/>
        <v>0</v>
      </c>
      <c r="BE83" s="28">
        <v>0</v>
      </c>
      <c r="BF83" s="28">
        <f>83</f>
        <v>83</v>
      </c>
      <c r="BH83" s="28">
        <f t="shared" si="129"/>
        <v>0</v>
      </c>
      <c r="BI83" s="28">
        <f t="shared" si="130"/>
        <v>0</v>
      </c>
      <c r="BJ83" s="28">
        <f t="shared" si="131"/>
        <v>0</v>
      </c>
      <c r="BK83" s="28"/>
      <c r="BL83" s="28">
        <v>722</v>
      </c>
      <c r="BW83" s="28">
        <v>12</v>
      </c>
      <c r="BX83" s="4" t="s">
        <v>246</v>
      </c>
    </row>
    <row r="84" spans="1:76" x14ac:dyDescent="0.25">
      <c r="A84" s="30" t="s">
        <v>247</v>
      </c>
      <c r="B84" s="31" t="s">
        <v>248</v>
      </c>
      <c r="C84" s="115" t="s">
        <v>249</v>
      </c>
      <c r="D84" s="116"/>
      <c r="E84" s="31" t="s">
        <v>250</v>
      </c>
      <c r="F84" s="32">
        <v>1</v>
      </c>
      <c r="G84" s="32">
        <v>0</v>
      </c>
      <c r="H84" s="32">
        <f t="shared" si="110"/>
        <v>0</v>
      </c>
      <c r="I84" s="32">
        <f t="shared" si="111"/>
        <v>0</v>
      </c>
      <c r="J84" s="32">
        <f t="shared" si="112"/>
        <v>0</v>
      </c>
      <c r="K84" s="33" t="s">
        <v>57</v>
      </c>
      <c r="Z84" s="28">
        <f t="shared" si="113"/>
        <v>0</v>
      </c>
      <c r="AB84" s="28">
        <f t="shared" si="114"/>
        <v>0</v>
      </c>
      <c r="AC84" s="28">
        <f t="shared" si="115"/>
        <v>0</v>
      </c>
      <c r="AD84" s="28">
        <f t="shared" si="116"/>
        <v>0</v>
      </c>
      <c r="AE84" s="28">
        <f t="shared" si="117"/>
        <v>0</v>
      </c>
      <c r="AF84" s="28">
        <f t="shared" si="118"/>
        <v>0</v>
      </c>
      <c r="AG84" s="28">
        <f t="shared" si="119"/>
        <v>0</v>
      </c>
      <c r="AH84" s="28">
        <f t="shared" si="120"/>
        <v>0</v>
      </c>
      <c r="AI84" s="10" t="s">
        <v>50</v>
      </c>
      <c r="AJ84" s="28">
        <f t="shared" si="121"/>
        <v>0</v>
      </c>
      <c r="AK84" s="28">
        <f t="shared" si="122"/>
        <v>0</v>
      </c>
      <c r="AL84" s="28">
        <f t="shared" si="123"/>
        <v>0</v>
      </c>
      <c r="AN84" s="28">
        <v>12</v>
      </c>
      <c r="AO84" s="28">
        <f>G84*0.529089317</f>
        <v>0</v>
      </c>
      <c r="AP84" s="28">
        <f>G84*(1-0.529089317)</f>
        <v>0</v>
      </c>
      <c r="AQ84" s="29" t="s">
        <v>81</v>
      </c>
      <c r="AV84" s="28">
        <f t="shared" si="124"/>
        <v>0</v>
      </c>
      <c r="AW84" s="28">
        <f t="shared" si="125"/>
        <v>0</v>
      </c>
      <c r="AX84" s="28">
        <f t="shared" si="126"/>
        <v>0</v>
      </c>
      <c r="AY84" s="29" t="s">
        <v>206</v>
      </c>
      <c r="AZ84" s="29" t="s">
        <v>182</v>
      </c>
      <c r="BA84" s="10" t="s">
        <v>60</v>
      </c>
      <c r="BC84" s="28">
        <f t="shared" si="127"/>
        <v>0</v>
      </c>
      <c r="BD84" s="28">
        <f t="shared" si="128"/>
        <v>0</v>
      </c>
      <c r="BE84" s="28">
        <v>0</v>
      </c>
      <c r="BF84" s="28">
        <f>84</f>
        <v>84</v>
      </c>
      <c r="BH84" s="28">
        <f t="shared" si="129"/>
        <v>0</v>
      </c>
      <c r="BI84" s="28">
        <f t="shared" si="130"/>
        <v>0</v>
      </c>
      <c r="BJ84" s="28">
        <f t="shared" si="131"/>
        <v>0</v>
      </c>
      <c r="BK84" s="28"/>
      <c r="BL84" s="28">
        <v>722</v>
      </c>
      <c r="BW84" s="28">
        <v>12</v>
      </c>
      <c r="BX84" s="4" t="s">
        <v>249</v>
      </c>
    </row>
    <row r="85" spans="1:76" x14ac:dyDescent="0.25">
      <c r="A85" s="30" t="s">
        <v>251</v>
      </c>
      <c r="B85" s="31" t="s">
        <v>252</v>
      </c>
      <c r="C85" s="115" t="s">
        <v>253</v>
      </c>
      <c r="D85" s="116"/>
      <c r="E85" s="31" t="s">
        <v>56</v>
      </c>
      <c r="F85" s="32">
        <v>10</v>
      </c>
      <c r="G85" s="32">
        <v>0</v>
      </c>
      <c r="H85" s="32">
        <f t="shared" si="110"/>
        <v>0</v>
      </c>
      <c r="I85" s="32">
        <f t="shared" si="111"/>
        <v>0</v>
      </c>
      <c r="J85" s="32">
        <f t="shared" si="112"/>
        <v>0</v>
      </c>
      <c r="K85" s="33" t="s">
        <v>57</v>
      </c>
      <c r="Z85" s="28">
        <f t="shared" si="113"/>
        <v>0</v>
      </c>
      <c r="AB85" s="28">
        <f t="shared" si="114"/>
        <v>0</v>
      </c>
      <c r="AC85" s="28">
        <f t="shared" si="115"/>
        <v>0</v>
      </c>
      <c r="AD85" s="28">
        <f t="shared" si="116"/>
        <v>0</v>
      </c>
      <c r="AE85" s="28">
        <f t="shared" si="117"/>
        <v>0</v>
      </c>
      <c r="AF85" s="28">
        <f t="shared" si="118"/>
        <v>0</v>
      </c>
      <c r="AG85" s="28">
        <f t="shared" si="119"/>
        <v>0</v>
      </c>
      <c r="AH85" s="28">
        <f t="shared" si="120"/>
        <v>0</v>
      </c>
      <c r="AI85" s="10" t="s">
        <v>50</v>
      </c>
      <c r="AJ85" s="28">
        <f t="shared" si="121"/>
        <v>0</v>
      </c>
      <c r="AK85" s="28">
        <f t="shared" si="122"/>
        <v>0</v>
      </c>
      <c r="AL85" s="28">
        <f t="shared" si="123"/>
        <v>0</v>
      </c>
      <c r="AN85" s="28">
        <v>12</v>
      </c>
      <c r="AO85" s="28">
        <f>G85*0.65240367</f>
        <v>0</v>
      </c>
      <c r="AP85" s="28">
        <f>G85*(1-0.65240367)</f>
        <v>0</v>
      </c>
      <c r="AQ85" s="29" t="s">
        <v>81</v>
      </c>
      <c r="AV85" s="28">
        <f t="shared" si="124"/>
        <v>0</v>
      </c>
      <c r="AW85" s="28">
        <f t="shared" si="125"/>
        <v>0</v>
      </c>
      <c r="AX85" s="28">
        <f t="shared" si="126"/>
        <v>0</v>
      </c>
      <c r="AY85" s="29" t="s">
        <v>206</v>
      </c>
      <c r="AZ85" s="29" t="s">
        <v>182</v>
      </c>
      <c r="BA85" s="10" t="s">
        <v>60</v>
      </c>
      <c r="BC85" s="28">
        <f t="shared" si="127"/>
        <v>0</v>
      </c>
      <c r="BD85" s="28">
        <f t="shared" si="128"/>
        <v>0</v>
      </c>
      <c r="BE85" s="28">
        <v>0</v>
      </c>
      <c r="BF85" s="28">
        <f>85</f>
        <v>85</v>
      </c>
      <c r="BH85" s="28">
        <f t="shared" si="129"/>
        <v>0</v>
      </c>
      <c r="BI85" s="28">
        <f t="shared" si="130"/>
        <v>0</v>
      </c>
      <c r="BJ85" s="28">
        <f t="shared" si="131"/>
        <v>0</v>
      </c>
      <c r="BK85" s="28"/>
      <c r="BL85" s="28">
        <v>722</v>
      </c>
      <c r="BW85" s="28">
        <v>12</v>
      </c>
      <c r="BX85" s="4" t="s">
        <v>253</v>
      </c>
    </row>
    <row r="86" spans="1:76" x14ac:dyDescent="0.25">
      <c r="A86" s="30" t="s">
        <v>254</v>
      </c>
      <c r="B86" s="31" t="s">
        <v>255</v>
      </c>
      <c r="C86" s="115" t="s">
        <v>256</v>
      </c>
      <c r="D86" s="116"/>
      <c r="E86" s="31" t="s">
        <v>77</v>
      </c>
      <c r="F86" s="32">
        <v>26.2</v>
      </c>
      <c r="G86" s="32">
        <v>0</v>
      </c>
      <c r="H86" s="32">
        <f t="shared" si="110"/>
        <v>0</v>
      </c>
      <c r="I86" s="32">
        <f t="shared" si="111"/>
        <v>0</v>
      </c>
      <c r="J86" s="32">
        <f t="shared" si="112"/>
        <v>0</v>
      </c>
      <c r="K86" s="33" t="s">
        <v>57</v>
      </c>
      <c r="Z86" s="28">
        <f t="shared" si="113"/>
        <v>0</v>
      </c>
      <c r="AB86" s="28">
        <f t="shared" si="114"/>
        <v>0</v>
      </c>
      <c r="AC86" s="28">
        <f t="shared" si="115"/>
        <v>0</v>
      </c>
      <c r="AD86" s="28">
        <f t="shared" si="116"/>
        <v>0</v>
      </c>
      <c r="AE86" s="28">
        <f t="shared" si="117"/>
        <v>0</v>
      </c>
      <c r="AF86" s="28">
        <f t="shared" si="118"/>
        <v>0</v>
      </c>
      <c r="AG86" s="28">
        <f t="shared" si="119"/>
        <v>0</v>
      </c>
      <c r="AH86" s="28">
        <f t="shared" si="120"/>
        <v>0</v>
      </c>
      <c r="AI86" s="10" t="s">
        <v>50</v>
      </c>
      <c r="AJ86" s="28">
        <f t="shared" si="121"/>
        <v>0</v>
      </c>
      <c r="AK86" s="28">
        <f t="shared" si="122"/>
        <v>0</v>
      </c>
      <c r="AL86" s="28">
        <f t="shared" si="123"/>
        <v>0</v>
      </c>
      <c r="AN86" s="28">
        <v>12</v>
      </c>
      <c r="AO86" s="28">
        <f>G86*0.239779006</f>
        <v>0</v>
      </c>
      <c r="AP86" s="28">
        <f>G86*(1-0.239779006)</f>
        <v>0</v>
      </c>
      <c r="AQ86" s="29" t="s">
        <v>81</v>
      </c>
      <c r="AV86" s="28">
        <f t="shared" si="124"/>
        <v>0</v>
      </c>
      <c r="AW86" s="28">
        <f t="shared" si="125"/>
        <v>0</v>
      </c>
      <c r="AX86" s="28">
        <f t="shared" si="126"/>
        <v>0</v>
      </c>
      <c r="AY86" s="29" t="s">
        <v>206</v>
      </c>
      <c r="AZ86" s="29" t="s">
        <v>182</v>
      </c>
      <c r="BA86" s="10" t="s">
        <v>60</v>
      </c>
      <c r="BC86" s="28">
        <f t="shared" si="127"/>
        <v>0</v>
      </c>
      <c r="BD86" s="28">
        <f t="shared" si="128"/>
        <v>0</v>
      </c>
      <c r="BE86" s="28">
        <v>0</v>
      </c>
      <c r="BF86" s="28">
        <f>86</f>
        <v>86</v>
      </c>
      <c r="BH86" s="28">
        <f t="shared" si="129"/>
        <v>0</v>
      </c>
      <c r="BI86" s="28">
        <f t="shared" si="130"/>
        <v>0</v>
      </c>
      <c r="BJ86" s="28">
        <f t="shared" si="131"/>
        <v>0</v>
      </c>
      <c r="BK86" s="28"/>
      <c r="BL86" s="28">
        <v>722</v>
      </c>
      <c r="BW86" s="28">
        <v>12</v>
      </c>
      <c r="BX86" s="4" t="s">
        <v>256</v>
      </c>
    </row>
    <row r="87" spans="1:76" x14ac:dyDescent="0.25">
      <c r="A87" s="30" t="s">
        <v>257</v>
      </c>
      <c r="B87" s="31" t="s">
        <v>258</v>
      </c>
      <c r="C87" s="115" t="s">
        <v>259</v>
      </c>
      <c r="D87" s="116"/>
      <c r="E87" s="31" t="s">
        <v>77</v>
      </c>
      <c r="F87" s="32">
        <v>26.2</v>
      </c>
      <c r="G87" s="32">
        <v>0</v>
      </c>
      <c r="H87" s="32">
        <f t="shared" si="110"/>
        <v>0</v>
      </c>
      <c r="I87" s="32">
        <f t="shared" si="111"/>
        <v>0</v>
      </c>
      <c r="J87" s="32">
        <f t="shared" si="112"/>
        <v>0</v>
      </c>
      <c r="K87" s="33" t="s">
        <v>57</v>
      </c>
      <c r="Z87" s="28">
        <f t="shared" si="113"/>
        <v>0</v>
      </c>
      <c r="AB87" s="28">
        <f t="shared" si="114"/>
        <v>0</v>
      </c>
      <c r="AC87" s="28">
        <f t="shared" si="115"/>
        <v>0</v>
      </c>
      <c r="AD87" s="28">
        <f t="shared" si="116"/>
        <v>0</v>
      </c>
      <c r="AE87" s="28">
        <f t="shared" si="117"/>
        <v>0</v>
      </c>
      <c r="AF87" s="28">
        <f t="shared" si="118"/>
        <v>0</v>
      </c>
      <c r="AG87" s="28">
        <f t="shared" si="119"/>
        <v>0</v>
      </c>
      <c r="AH87" s="28">
        <f t="shared" si="120"/>
        <v>0</v>
      </c>
      <c r="AI87" s="10" t="s">
        <v>50</v>
      </c>
      <c r="AJ87" s="28">
        <f t="shared" si="121"/>
        <v>0</v>
      </c>
      <c r="AK87" s="28">
        <f t="shared" si="122"/>
        <v>0</v>
      </c>
      <c r="AL87" s="28">
        <f t="shared" si="123"/>
        <v>0</v>
      </c>
      <c r="AN87" s="28">
        <v>12</v>
      </c>
      <c r="AO87" s="28">
        <f>G87*0.05464191</f>
        <v>0</v>
      </c>
      <c r="AP87" s="28">
        <f>G87*(1-0.05464191)</f>
        <v>0</v>
      </c>
      <c r="AQ87" s="29" t="s">
        <v>81</v>
      </c>
      <c r="AV87" s="28">
        <f t="shared" si="124"/>
        <v>0</v>
      </c>
      <c r="AW87" s="28">
        <f t="shared" si="125"/>
        <v>0</v>
      </c>
      <c r="AX87" s="28">
        <f t="shared" si="126"/>
        <v>0</v>
      </c>
      <c r="AY87" s="29" t="s">
        <v>206</v>
      </c>
      <c r="AZ87" s="29" t="s">
        <v>182</v>
      </c>
      <c r="BA87" s="10" t="s">
        <v>60</v>
      </c>
      <c r="BC87" s="28">
        <f t="shared" si="127"/>
        <v>0</v>
      </c>
      <c r="BD87" s="28">
        <f t="shared" si="128"/>
        <v>0</v>
      </c>
      <c r="BE87" s="28">
        <v>0</v>
      </c>
      <c r="BF87" s="28">
        <f>87</f>
        <v>87</v>
      </c>
      <c r="BH87" s="28">
        <f t="shared" si="129"/>
        <v>0</v>
      </c>
      <c r="BI87" s="28">
        <f t="shared" si="130"/>
        <v>0</v>
      </c>
      <c r="BJ87" s="28">
        <f t="shared" si="131"/>
        <v>0</v>
      </c>
      <c r="BK87" s="28"/>
      <c r="BL87" s="28">
        <v>722</v>
      </c>
      <c r="BW87" s="28">
        <v>12</v>
      </c>
      <c r="BX87" s="4" t="s">
        <v>259</v>
      </c>
    </row>
    <row r="88" spans="1:76" x14ac:dyDescent="0.25">
      <c r="A88" s="30" t="s">
        <v>104</v>
      </c>
      <c r="B88" s="31" t="s">
        <v>260</v>
      </c>
      <c r="C88" s="115" t="s">
        <v>261</v>
      </c>
      <c r="D88" s="116"/>
      <c r="E88" s="31" t="s">
        <v>87</v>
      </c>
      <c r="F88" s="32">
        <v>0.13877999999999999</v>
      </c>
      <c r="G88" s="32">
        <v>0</v>
      </c>
      <c r="H88" s="32">
        <f t="shared" si="110"/>
        <v>0</v>
      </c>
      <c r="I88" s="32">
        <f t="shared" si="111"/>
        <v>0</v>
      </c>
      <c r="J88" s="32">
        <f t="shared" si="112"/>
        <v>0</v>
      </c>
      <c r="K88" s="33" t="s">
        <v>57</v>
      </c>
      <c r="Z88" s="28">
        <f t="shared" si="113"/>
        <v>0</v>
      </c>
      <c r="AB88" s="28">
        <f t="shared" si="114"/>
        <v>0</v>
      </c>
      <c r="AC88" s="28">
        <f t="shared" si="115"/>
        <v>0</v>
      </c>
      <c r="AD88" s="28">
        <f t="shared" si="116"/>
        <v>0</v>
      </c>
      <c r="AE88" s="28">
        <f t="shared" si="117"/>
        <v>0</v>
      </c>
      <c r="AF88" s="28">
        <f t="shared" si="118"/>
        <v>0</v>
      </c>
      <c r="AG88" s="28">
        <f t="shared" si="119"/>
        <v>0</v>
      </c>
      <c r="AH88" s="28">
        <f t="shared" si="120"/>
        <v>0</v>
      </c>
      <c r="AI88" s="10" t="s">
        <v>50</v>
      </c>
      <c r="AJ88" s="28">
        <f t="shared" si="121"/>
        <v>0</v>
      </c>
      <c r="AK88" s="28">
        <f t="shared" si="122"/>
        <v>0</v>
      </c>
      <c r="AL88" s="28">
        <f t="shared" si="123"/>
        <v>0</v>
      </c>
      <c r="AN88" s="28">
        <v>12</v>
      </c>
      <c r="AO88" s="28">
        <f>G88*0</f>
        <v>0</v>
      </c>
      <c r="AP88" s="28">
        <f>G88*(1-0)</f>
        <v>0</v>
      </c>
      <c r="AQ88" s="29" t="s">
        <v>74</v>
      </c>
      <c r="AV88" s="28">
        <f t="shared" si="124"/>
        <v>0</v>
      </c>
      <c r="AW88" s="28">
        <f t="shared" si="125"/>
        <v>0</v>
      </c>
      <c r="AX88" s="28">
        <f t="shared" si="126"/>
        <v>0</v>
      </c>
      <c r="AY88" s="29" t="s">
        <v>206</v>
      </c>
      <c r="AZ88" s="29" t="s">
        <v>182</v>
      </c>
      <c r="BA88" s="10" t="s">
        <v>60</v>
      </c>
      <c r="BC88" s="28">
        <f t="shared" si="127"/>
        <v>0</v>
      </c>
      <c r="BD88" s="28">
        <f t="shared" si="128"/>
        <v>0</v>
      </c>
      <c r="BE88" s="28">
        <v>0</v>
      </c>
      <c r="BF88" s="28">
        <f>88</f>
        <v>88</v>
      </c>
      <c r="BH88" s="28">
        <f t="shared" si="129"/>
        <v>0</v>
      </c>
      <c r="BI88" s="28">
        <f t="shared" si="130"/>
        <v>0</v>
      </c>
      <c r="BJ88" s="28">
        <f t="shared" si="131"/>
        <v>0</v>
      </c>
      <c r="BK88" s="28"/>
      <c r="BL88" s="28">
        <v>722</v>
      </c>
      <c r="BW88" s="28">
        <v>12</v>
      </c>
      <c r="BX88" s="4" t="s">
        <v>261</v>
      </c>
    </row>
    <row r="89" spans="1:76" x14ac:dyDescent="0.25">
      <c r="A89" s="36" t="s">
        <v>50</v>
      </c>
      <c r="B89" s="37" t="s">
        <v>262</v>
      </c>
      <c r="C89" s="120" t="s">
        <v>263</v>
      </c>
      <c r="D89" s="121"/>
      <c r="E89" s="38" t="s">
        <v>4</v>
      </c>
      <c r="F89" s="38" t="s">
        <v>4</v>
      </c>
      <c r="G89" s="38" t="s">
        <v>4</v>
      </c>
      <c r="H89" s="39">
        <f>SUM(H90:H95)</f>
        <v>0</v>
      </c>
      <c r="I89" s="39">
        <f>SUM(I90:I95)</f>
        <v>0</v>
      </c>
      <c r="J89" s="39">
        <f>SUM(J90:J95)</f>
        <v>0</v>
      </c>
      <c r="K89" s="40" t="s">
        <v>50</v>
      </c>
      <c r="AI89" s="10" t="s">
        <v>50</v>
      </c>
      <c r="AS89" s="1">
        <f>SUM(AJ90:AJ95)</f>
        <v>0</v>
      </c>
      <c r="AT89" s="1">
        <f>SUM(AK90:AK95)</f>
        <v>0</v>
      </c>
      <c r="AU89" s="1">
        <f>SUM(AL90:AL95)</f>
        <v>0</v>
      </c>
    </row>
    <row r="90" spans="1:76" x14ac:dyDescent="0.25">
      <c r="A90" s="24" t="s">
        <v>264</v>
      </c>
      <c r="B90" s="25" t="s">
        <v>265</v>
      </c>
      <c r="C90" s="113" t="s">
        <v>266</v>
      </c>
      <c r="D90" s="114"/>
      <c r="E90" s="25" t="s">
        <v>77</v>
      </c>
      <c r="F90" s="26">
        <v>23</v>
      </c>
      <c r="G90" s="26">
        <v>0</v>
      </c>
      <c r="H90" s="26">
        <f t="shared" ref="H90:H95" si="132">F90*AO90</f>
        <v>0</v>
      </c>
      <c r="I90" s="26">
        <f t="shared" ref="I90:I95" si="133">F90*AP90</f>
        <v>0</v>
      </c>
      <c r="J90" s="26">
        <f t="shared" ref="J90:J95" si="134">F90*G90</f>
        <v>0</v>
      </c>
      <c r="K90" s="27" t="s">
        <v>57</v>
      </c>
      <c r="Z90" s="28">
        <f t="shared" ref="Z90:Z95" si="135">IF(AQ90="5",BJ90,0)</f>
        <v>0</v>
      </c>
      <c r="AB90" s="28">
        <f t="shared" ref="AB90:AB95" si="136">IF(AQ90="1",BH90,0)</f>
        <v>0</v>
      </c>
      <c r="AC90" s="28">
        <f t="shared" ref="AC90:AC95" si="137">IF(AQ90="1",BI90,0)</f>
        <v>0</v>
      </c>
      <c r="AD90" s="28">
        <f t="shared" ref="AD90:AD95" si="138">IF(AQ90="7",BH90,0)</f>
        <v>0</v>
      </c>
      <c r="AE90" s="28">
        <f t="shared" ref="AE90:AE95" si="139">IF(AQ90="7",BI90,0)</f>
        <v>0</v>
      </c>
      <c r="AF90" s="28">
        <f t="shared" ref="AF90:AF95" si="140">IF(AQ90="2",BH90,0)</f>
        <v>0</v>
      </c>
      <c r="AG90" s="28">
        <f t="shared" ref="AG90:AG95" si="141">IF(AQ90="2",BI90,0)</f>
        <v>0</v>
      </c>
      <c r="AH90" s="28">
        <f t="shared" ref="AH90:AH95" si="142">IF(AQ90="0",BJ90,0)</f>
        <v>0</v>
      </c>
      <c r="AI90" s="10" t="s">
        <v>50</v>
      </c>
      <c r="AJ90" s="28">
        <f t="shared" ref="AJ90:AJ95" si="143">IF(AN90=0,J90,0)</f>
        <v>0</v>
      </c>
      <c r="AK90" s="28">
        <f t="shared" ref="AK90:AK95" si="144">IF(AN90=12,J90,0)</f>
        <v>0</v>
      </c>
      <c r="AL90" s="28">
        <f t="shared" ref="AL90:AL95" si="145">IF(AN90=21,J90,0)</f>
        <v>0</v>
      </c>
      <c r="AN90" s="28">
        <v>12</v>
      </c>
      <c r="AO90" s="28">
        <f>G90*0.894491772</f>
        <v>0</v>
      </c>
      <c r="AP90" s="28">
        <f>G90*(1-0.894491772)</f>
        <v>0</v>
      </c>
      <c r="AQ90" s="29" t="s">
        <v>81</v>
      </c>
      <c r="AV90" s="28">
        <f t="shared" ref="AV90:AV95" si="146">AW90+AX90</f>
        <v>0</v>
      </c>
      <c r="AW90" s="28">
        <f t="shared" ref="AW90:AW95" si="147">F90*AO90</f>
        <v>0</v>
      </c>
      <c r="AX90" s="28">
        <f t="shared" ref="AX90:AX95" si="148">F90*AP90</f>
        <v>0</v>
      </c>
      <c r="AY90" s="29" t="s">
        <v>267</v>
      </c>
      <c r="AZ90" s="29" t="s">
        <v>182</v>
      </c>
      <c r="BA90" s="10" t="s">
        <v>60</v>
      </c>
      <c r="BC90" s="28">
        <f t="shared" ref="BC90:BC95" si="149">AW90+AX90</f>
        <v>0</v>
      </c>
      <c r="BD90" s="28">
        <f t="shared" ref="BD90:BD95" si="150">G90/(100-BE90)*100</f>
        <v>0</v>
      </c>
      <c r="BE90" s="28">
        <v>0</v>
      </c>
      <c r="BF90" s="28">
        <f>90</f>
        <v>90</v>
      </c>
      <c r="BH90" s="28">
        <f t="shared" ref="BH90:BH95" si="151">F90*AO90</f>
        <v>0</v>
      </c>
      <c r="BI90" s="28">
        <f t="shared" ref="BI90:BI95" si="152">F90*AP90</f>
        <v>0</v>
      </c>
      <c r="BJ90" s="28">
        <f t="shared" ref="BJ90:BJ95" si="153">F90*G90</f>
        <v>0</v>
      </c>
      <c r="BK90" s="28"/>
      <c r="BL90" s="28">
        <v>723</v>
      </c>
      <c r="BW90" s="28">
        <v>12</v>
      </c>
      <c r="BX90" s="4" t="s">
        <v>266</v>
      </c>
    </row>
    <row r="91" spans="1:76" ht="25.5" x14ac:dyDescent="0.25">
      <c r="A91" s="30" t="s">
        <v>268</v>
      </c>
      <c r="B91" s="31" t="s">
        <v>269</v>
      </c>
      <c r="C91" s="115" t="s">
        <v>270</v>
      </c>
      <c r="D91" s="116"/>
      <c r="E91" s="31" t="s">
        <v>77</v>
      </c>
      <c r="F91" s="32">
        <v>3.7</v>
      </c>
      <c r="G91" s="32">
        <v>0</v>
      </c>
      <c r="H91" s="32">
        <f t="shared" si="132"/>
        <v>0</v>
      </c>
      <c r="I91" s="32">
        <f t="shared" si="133"/>
        <v>0</v>
      </c>
      <c r="J91" s="32">
        <f t="shared" si="134"/>
        <v>0</v>
      </c>
      <c r="K91" s="33" t="s">
        <v>57</v>
      </c>
      <c r="Z91" s="28">
        <f t="shared" si="135"/>
        <v>0</v>
      </c>
      <c r="AB91" s="28">
        <f t="shared" si="136"/>
        <v>0</v>
      </c>
      <c r="AC91" s="28">
        <f t="shared" si="137"/>
        <v>0</v>
      </c>
      <c r="AD91" s="28">
        <f t="shared" si="138"/>
        <v>0</v>
      </c>
      <c r="AE91" s="28">
        <f t="shared" si="139"/>
        <v>0</v>
      </c>
      <c r="AF91" s="28">
        <f t="shared" si="140"/>
        <v>0</v>
      </c>
      <c r="AG91" s="28">
        <f t="shared" si="141"/>
        <v>0</v>
      </c>
      <c r="AH91" s="28">
        <f t="shared" si="142"/>
        <v>0</v>
      </c>
      <c r="AI91" s="10" t="s">
        <v>50</v>
      </c>
      <c r="AJ91" s="28">
        <f t="shared" si="143"/>
        <v>0</v>
      </c>
      <c r="AK91" s="28">
        <f t="shared" si="144"/>
        <v>0</v>
      </c>
      <c r="AL91" s="28">
        <f t="shared" si="145"/>
        <v>0</v>
      </c>
      <c r="AN91" s="28">
        <v>12</v>
      </c>
      <c r="AO91" s="28">
        <f>G91*0.878551645</f>
        <v>0</v>
      </c>
      <c r="AP91" s="28">
        <f>G91*(1-0.878551645)</f>
        <v>0</v>
      </c>
      <c r="AQ91" s="29" t="s">
        <v>81</v>
      </c>
      <c r="AV91" s="28">
        <f t="shared" si="146"/>
        <v>0</v>
      </c>
      <c r="AW91" s="28">
        <f t="shared" si="147"/>
        <v>0</v>
      </c>
      <c r="AX91" s="28">
        <f t="shared" si="148"/>
        <v>0</v>
      </c>
      <c r="AY91" s="29" t="s">
        <v>267</v>
      </c>
      <c r="AZ91" s="29" t="s">
        <v>182</v>
      </c>
      <c r="BA91" s="10" t="s">
        <v>60</v>
      </c>
      <c r="BC91" s="28">
        <f t="shared" si="149"/>
        <v>0</v>
      </c>
      <c r="BD91" s="28">
        <f t="shared" si="150"/>
        <v>0</v>
      </c>
      <c r="BE91" s="28">
        <v>0</v>
      </c>
      <c r="BF91" s="28">
        <f>91</f>
        <v>91</v>
      </c>
      <c r="BH91" s="28">
        <f t="shared" si="151"/>
        <v>0</v>
      </c>
      <c r="BI91" s="28">
        <f t="shared" si="152"/>
        <v>0</v>
      </c>
      <c r="BJ91" s="28">
        <f t="shared" si="153"/>
        <v>0</v>
      </c>
      <c r="BK91" s="28"/>
      <c r="BL91" s="28">
        <v>723</v>
      </c>
      <c r="BW91" s="28">
        <v>12</v>
      </c>
      <c r="BX91" s="4" t="s">
        <v>270</v>
      </c>
    </row>
    <row r="92" spans="1:76" x14ac:dyDescent="0.25">
      <c r="A92" s="30" t="s">
        <v>166</v>
      </c>
      <c r="B92" s="31" t="s">
        <v>271</v>
      </c>
      <c r="C92" s="115" t="s">
        <v>272</v>
      </c>
      <c r="D92" s="116"/>
      <c r="E92" s="31" t="s">
        <v>56</v>
      </c>
      <c r="F92" s="32">
        <v>1</v>
      </c>
      <c r="G92" s="32">
        <v>0</v>
      </c>
      <c r="H92" s="32">
        <f t="shared" si="132"/>
        <v>0</v>
      </c>
      <c r="I92" s="32">
        <f t="shared" si="133"/>
        <v>0</v>
      </c>
      <c r="J92" s="32">
        <f t="shared" si="134"/>
        <v>0</v>
      </c>
      <c r="K92" s="33" t="s">
        <v>57</v>
      </c>
      <c r="Z92" s="28">
        <f t="shared" si="135"/>
        <v>0</v>
      </c>
      <c r="AB92" s="28">
        <f t="shared" si="136"/>
        <v>0</v>
      </c>
      <c r="AC92" s="28">
        <f t="shared" si="137"/>
        <v>0</v>
      </c>
      <c r="AD92" s="28">
        <f t="shared" si="138"/>
        <v>0</v>
      </c>
      <c r="AE92" s="28">
        <f t="shared" si="139"/>
        <v>0</v>
      </c>
      <c r="AF92" s="28">
        <f t="shared" si="140"/>
        <v>0</v>
      </c>
      <c r="AG92" s="28">
        <f t="shared" si="141"/>
        <v>0</v>
      </c>
      <c r="AH92" s="28">
        <f t="shared" si="142"/>
        <v>0</v>
      </c>
      <c r="AI92" s="10" t="s">
        <v>50</v>
      </c>
      <c r="AJ92" s="28">
        <f t="shared" si="143"/>
        <v>0</v>
      </c>
      <c r="AK92" s="28">
        <f t="shared" si="144"/>
        <v>0</v>
      </c>
      <c r="AL92" s="28">
        <f t="shared" si="145"/>
        <v>0</v>
      </c>
      <c r="AN92" s="28">
        <v>12</v>
      </c>
      <c r="AO92" s="28">
        <f>G92*0.893874302</f>
        <v>0</v>
      </c>
      <c r="AP92" s="28">
        <f>G92*(1-0.893874302)</f>
        <v>0</v>
      </c>
      <c r="AQ92" s="29" t="s">
        <v>81</v>
      </c>
      <c r="AV92" s="28">
        <f t="shared" si="146"/>
        <v>0</v>
      </c>
      <c r="AW92" s="28">
        <f t="shared" si="147"/>
        <v>0</v>
      </c>
      <c r="AX92" s="28">
        <f t="shared" si="148"/>
        <v>0</v>
      </c>
      <c r="AY92" s="29" t="s">
        <v>267</v>
      </c>
      <c r="AZ92" s="29" t="s">
        <v>182</v>
      </c>
      <c r="BA92" s="10" t="s">
        <v>60</v>
      </c>
      <c r="BC92" s="28">
        <f t="shared" si="149"/>
        <v>0</v>
      </c>
      <c r="BD92" s="28">
        <f t="shared" si="150"/>
        <v>0</v>
      </c>
      <c r="BE92" s="28">
        <v>0</v>
      </c>
      <c r="BF92" s="28">
        <f>92</f>
        <v>92</v>
      </c>
      <c r="BH92" s="28">
        <f t="shared" si="151"/>
        <v>0</v>
      </c>
      <c r="BI92" s="28">
        <f t="shared" si="152"/>
        <v>0</v>
      </c>
      <c r="BJ92" s="28">
        <f t="shared" si="153"/>
        <v>0</v>
      </c>
      <c r="BK92" s="28"/>
      <c r="BL92" s="28">
        <v>723</v>
      </c>
      <c r="BW92" s="28">
        <v>12</v>
      </c>
      <c r="BX92" s="4" t="s">
        <v>272</v>
      </c>
    </row>
    <row r="93" spans="1:76" x14ac:dyDescent="0.25">
      <c r="A93" s="30" t="s">
        <v>273</v>
      </c>
      <c r="B93" s="31" t="s">
        <v>274</v>
      </c>
      <c r="C93" s="115" t="s">
        <v>275</v>
      </c>
      <c r="D93" s="116"/>
      <c r="E93" s="31" t="s">
        <v>77</v>
      </c>
      <c r="F93" s="32">
        <v>3.7</v>
      </c>
      <c r="G93" s="32">
        <v>0</v>
      </c>
      <c r="H93" s="32">
        <f t="shared" si="132"/>
        <v>0</v>
      </c>
      <c r="I93" s="32">
        <f t="shared" si="133"/>
        <v>0</v>
      </c>
      <c r="J93" s="32">
        <f t="shared" si="134"/>
        <v>0</v>
      </c>
      <c r="K93" s="33" t="s">
        <v>57</v>
      </c>
      <c r="Z93" s="28">
        <f t="shared" si="135"/>
        <v>0</v>
      </c>
      <c r="AB93" s="28">
        <f t="shared" si="136"/>
        <v>0</v>
      </c>
      <c r="AC93" s="28">
        <f t="shared" si="137"/>
        <v>0</v>
      </c>
      <c r="AD93" s="28">
        <f t="shared" si="138"/>
        <v>0</v>
      </c>
      <c r="AE93" s="28">
        <f t="shared" si="139"/>
        <v>0</v>
      </c>
      <c r="AF93" s="28">
        <f t="shared" si="140"/>
        <v>0</v>
      </c>
      <c r="AG93" s="28">
        <f t="shared" si="141"/>
        <v>0</v>
      </c>
      <c r="AH93" s="28">
        <f t="shared" si="142"/>
        <v>0</v>
      </c>
      <c r="AI93" s="10" t="s">
        <v>50</v>
      </c>
      <c r="AJ93" s="28">
        <f t="shared" si="143"/>
        <v>0</v>
      </c>
      <c r="AK93" s="28">
        <f t="shared" si="144"/>
        <v>0</v>
      </c>
      <c r="AL93" s="28">
        <f t="shared" si="145"/>
        <v>0</v>
      </c>
      <c r="AN93" s="28">
        <v>12</v>
      </c>
      <c r="AO93" s="28">
        <f>G93*0</f>
        <v>0</v>
      </c>
      <c r="AP93" s="28">
        <f>G93*(1-0)</f>
        <v>0</v>
      </c>
      <c r="AQ93" s="29" t="s">
        <v>81</v>
      </c>
      <c r="AV93" s="28">
        <f t="shared" si="146"/>
        <v>0</v>
      </c>
      <c r="AW93" s="28">
        <f t="shared" si="147"/>
        <v>0</v>
      </c>
      <c r="AX93" s="28">
        <f t="shared" si="148"/>
        <v>0</v>
      </c>
      <c r="AY93" s="29" t="s">
        <v>267</v>
      </c>
      <c r="AZ93" s="29" t="s">
        <v>182</v>
      </c>
      <c r="BA93" s="10" t="s">
        <v>60</v>
      </c>
      <c r="BC93" s="28">
        <f t="shared" si="149"/>
        <v>0</v>
      </c>
      <c r="BD93" s="28">
        <f t="shared" si="150"/>
        <v>0</v>
      </c>
      <c r="BE93" s="28">
        <v>0</v>
      </c>
      <c r="BF93" s="28">
        <f>93</f>
        <v>93</v>
      </c>
      <c r="BH93" s="28">
        <f t="shared" si="151"/>
        <v>0</v>
      </c>
      <c r="BI93" s="28">
        <f t="shared" si="152"/>
        <v>0</v>
      </c>
      <c r="BJ93" s="28">
        <f t="shared" si="153"/>
        <v>0</v>
      </c>
      <c r="BK93" s="28"/>
      <c r="BL93" s="28">
        <v>723</v>
      </c>
      <c r="BW93" s="28">
        <v>12</v>
      </c>
      <c r="BX93" s="4" t="s">
        <v>275</v>
      </c>
    </row>
    <row r="94" spans="1:76" x14ac:dyDescent="0.25">
      <c r="A94" s="30" t="s">
        <v>276</v>
      </c>
      <c r="B94" s="31" t="s">
        <v>277</v>
      </c>
      <c r="C94" s="115" t="s">
        <v>278</v>
      </c>
      <c r="D94" s="116"/>
      <c r="E94" s="31" t="s">
        <v>56</v>
      </c>
      <c r="F94" s="32">
        <v>1</v>
      </c>
      <c r="G94" s="32">
        <v>0</v>
      </c>
      <c r="H94" s="32">
        <f t="shared" si="132"/>
        <v>0</v>
      </c>
      <c r="I94" s="32">
        <f t="shared" si="133"/>
        <v>0</v>
      </c>
      <c r="J94" s="32">
        <f t="shared" si="134"/>
        <v>0</v>
      </c>
      <c r="K94" s="33" t="s">
        <v>57</v>
      </c>
      <c r="Z94" s="28">
        <f t="shared" si="135"/>
        <v>0</v>
      </c>
      <c r="AB94" s="28">
        <f t="shared" si="136"/>
        <v>0</v>
      </c>
      <c r="AC94" s="28">
        <f t="shared" si="137"/>
        <v>0</v>
      </c>
      <c r="AD94" s="28">
        <f t="shared" si="138"/>
        <v>0</v>
      </c>
      <c r="AE94" s="28">
        <f t="shared" si="139"/>
        <v>0</v>
      </c>
      <c r="AF94" s="28">
        <f t="shared" si="140"/>
        <v>0</v>
      </c>
      <c r="AG94" s="28">
        <f t="shared" si="141"/>
        <v>0</v>
      </c>
      <c r="AH94" s="28">
        <f t="shared" si="142"/>
        <v>0</v>
      </c>
      <c r="AI94" s="10" t="s">
        <v>50</v>
      </c>
      <c r="AJ94" s="28">
        <f t="shared" si="143"/>
        <v>0</v>
      </c>
      <c r="AK94" s="28">
        <f t="shared" si="144"/>
        <v>0</v>
      </c>
      <c r="AL94" s="28">
        <f t="shared" si="145"/>
        <v>0</v>
      </c>
      <c r="AN94" s="28">
        <v>12</v>
      </c>
      <c r="AO94" s="28">
        <f>G94*0</f>
        <v>0</v>
      </c>
      <c r="AP94" s="28">
        <f>G94*(1-0)</f>
        <v>0</v>
      </c>
      <c r="AQ94" s="29" t="s">
        <v>81</v>
      </c>
      <c r="AV94" s="28">
        <f t="shared" si="146"/>
        <v>0</v>
      </c>
      <c r="AW94" s="28">
        <f t="shared" si="147"/>
        <v>0</v>
      </c>
      <c r="AX94" s="28">
        <f t="shared" si="148"/>
        <v>0</v>
      </c>
      <c r="AY94" s="29" t="s">
        <v>267</v>
      </c>
      <c r="AZ94" s="29" t="s">
        <v>182</v>
      </c>
      <c r="BA94" s="10" t="s">
        <v>60</v>
      </c>
      <c r="BC94" s="28">
        <f t="shared" si="149"/>
        <v>0</v>
      </c>
      <c r="BD94" s="28">
        <f t="shared" si="150"/>
        <v>0</v>
      </c>
      <c r="BE94" s="28">
        <v>0</v>
      </c>
      <c r="BF94" s="28">
        <f>94</f>
        <v>94</v>
      </c>
      <c r="BH94" s="28">
        <f t="shared" si="151"/>
        <v>0</v>
      </c>
      <c r="BI94" s="28">
        <f t="shared" si="152"/>
        <v>0</v>
      </c>
      <c r="BJ94" s="28">
        <f t="shared" si="153"/>
        <v>0</v>
      </c>
      <c r="BK94" s="28"/>
      <c r="BL94" s="28">
        <v>723</v>
      </c>
      <c r="BW94" s="28">
        <v>12</v>
      </c>
      <c r="BX94" s="4" t="s">
        <v>278</v>
      </c>
    </row>
    <row r="95" spans="1:76" x14ac:dyDescent="0.25">
      <c r="A95" s="30" t="s">
        <v>279</v>
      </c>
      <c r="B95" s="31" t="s">
        <v>280</v>
      </c>
      <c r="C95" s="115" t="s">
        <v>281</v>
      </c>
      <c r="D95" s="116"/>
      <c r="E95" s="31" t="s">
        <v>87</v>
      </c>
      <c r="F95" s="32">
        <v>1.133E-2</v>
      </c>
      <c r="G95" s="32">
        <v>0</v>
      </c>
      <c r="H95" s="32">
        <f t="shared" si="132"/>
        <v>0</v>
      </c>
      <c r="I95" s="32">
        <f t="shared" si="133"/>
        <v>0</v>
      </c>
      <c r="J95" s="32">
        <f t="shared" si="134"/>
        <v>0</v>
      </c>
      <c r="K95" s="33" t="s">
        <v>57</v>
      </c>
      <c r="Z95" s="28">
        <f t="shared" si="135"/>
        <v>0</v>
      </c>
      <c r="AB95" s="28">
        <f t="shared" si="136"/>
        <v>0</v>
      </c>
      <c r="AC95" s="28">
        <f t="shared" si="137"/>
        <v>0</v>
      </c>
      <c r="AD95" s="28">
        <f t="shared" si="138"/>
        <v>0</v>
      </c>
      <c r="AE95" s="28">
        <f t="shared" si="139"/>
        <v>0</v>
      </c>
      <c r="AF95" s="28">
        <f t="shared" si="140"/>
        <v>0</v>
      </c>
      <c r="AG95" s="28">
        <f t="shared" si="141"/>
        <v>0</v>
      </c>
      <c r="AH95" s="28">
        <f t="shared" si="142"/>
        <v>0</v>
      </c>
      <c r="AI95" s="10" t="s">
        <v>50</v>
      </c>
      <c r="AJ95" s="28">
        <f t="shared" si="143"/>
        <v>0</v>
      </c>
      <c r="AK95" s="28">
        <f t="shared" si="144"/>
        <v>0</v>
      </c>
      <c r="AL95" s="28">
        <f t="shared" si="145"/>
        <v>0</v>
      </c>
      <c r="AN95" s="28">
        <v>12</v>
      </c>
      <c r="AO95" s="28">
        <f>G95*0</f>
        <v>0</v>
      </c>
      <c r="AP95" s="28">
        <f>G95*(1-0)</f>
        <v>0</v>
      </c>
      <c r="AQ95" s="29" t="s">
        <v>74</v>
      </c>
      <c r="AV95" s="28">
        <f t="shared" si="146"/>
        <v>0</v>
      </c>
      <c r="AW95" s="28">
        <f t="shared" si="147"/>
        <v>0</v>
      </c>
      <c r="AX95" s="28">
        <f t="shared" si="148"/>
        <v>0</v>
      </c>
      <c r="AY95" s="29" t="s">
        <v>267</v>
      </c>
      <c r="AZ95" s="29" t="s">
        <v>182</v>
      </c>
      <c r="BA95" s="10" t="s">
        <v>60</v>
      </c>
      <c r="BC95" s="28">
        <f t="shared" si="149"/>
        <v>0</v>
      </c>
      <c r="BD95" s="28">
        <f t="shared" si="150"/>
        <v>0</v>
      </c>
      <c r="BE95" s="28">
        <v>0</v>
      </c>
      <c r="BF95" s="28">
        <f>95</f>
        <v>95</v>
      </c>
      <c r="BH95" s="28">
        <f t="shared" si="151"/>
        <v>0</v>
      </c>
      <c r="BI95" s="28">
        <f t="shared" si="152"/>
        <v>0</v>
      </c>
      <c r="BJ95" s="28">
        <f t="shared" si="153"/>
        <v>0</v>
      </c>
      <c r="BK95" s="28"/>
      <c r="BL95" s="28">
        <v>723</v>
      </c>
      <c r="BW95" s="28">
        <v>12</v>
      </c>
      <c r="BX95" s="4" t="s">
        <v>281</v>
      </c>
    </row>
    <row r="96" spans="1:76" x14ac:dyDescent="0.25">
      <c r="A96" s="36" t="s">
        <v>50</v>
      </c>
      <c r="B96" s="37" t="s">
        <v>282</v>
      </c>
      <c r="C96" s="120" t="s">
        <v>283</v>
      </c>
      <c r="D96" s="121"/>
      <c r="E96" s="38" t="s">
        <v>4</v>
      </c>
      <c r="F96" s="38" t="s">
        <v>4</v>
      </c>
      <c r="G96" s="38" t="s">
        <v>4</v>
      </c>
      <c r="H96" s="39">
        <f>SUM(H97:H128)</f>
        <v>0</v>
      </c>
      <c r="I96" s="39">
        <f>SUM(I97:I128)</f>
        <v>0</v>
      </c>
      <c r="J96" s="39">
        <f>SUM(J97:J128)</f>
        <v>0</v>
      </c>
      <c r="K96" s="40" t="s">
        <v>50</v>
      </c>
      <c r="AI96" s="10" t="s">
        <v>50</v>
      </c>
      <c r="AS96" s="1">
        <f>SUM(AJ97:AJ128)</f>
        <v>0</v>
      </c>
      <c r="AT96" s="1">
        <f>SUM(AK97:AK128)</f>
        <v>0</v>
      </c>
      <c r="AU96" s="1">
        <f>SUM(AL97:AL128)</f>
        <v>0</v>
      </c>
    </row>
    <row r="97" spans="1:76" x14ac:dyDescent="0.25">
      <c r="A97" s="24" t="s">
        <v>284</v>
      </c>
      <c r="B97" s="25" t="s">
        <v>285</v>
      </c>
      <c r="C97" s="113" t="s">
        <v>286</v>
      </c>
      <c r="D97" s="114"/>
      <c r="E97" s="25" t="s">
        <v>287</v>
      </c>
      <c r="F97" s="26">
        <v>2</v>
      </c>
      <c r="G97" s="26">
        <v>0</v>
      </c>
      <c r="H97" s="26">
        <f>F97*AO97</f>
        <v>0</v>
      </c>
      <c r="I97" s="26">
        <f>F97*AP97</f>
        <v>0</v>
      </c>
      <c r="J97" s="26">
        <f>F97*G97</f>
        <v>0</v>
      </c>
      <c r="K97" s="27" t="s">
        <v>57</v>
      </c>
      <c r="Z97" s="28">
        <f>IF(AQ97="5",BJ97,0)</f>
        <v>0</v>
      </c>
      <c r="AB97" s="28">
        <f>IF(AQ97="1",BH97,0)</f>
        <v>0</v>
      </c>
      <c r="AC97" s="28">
        <f>IF(AQ97="1",BI97,0)</f>
        <v>0</v>
      </c>
      <c r="AD97" s="28">
        <f>IF(AQ97="7",BH97,0)</f>
        <v>0</v>
      </c>
      <c r="AE97" s="28">
        <f>IF(AQ97="7",BI97,0)</f>
        <v>0</v>
      </c>
      <c r="AF97" s="28">
        <f>IF(AQ97="2",BH97,0)</f>
        <v>0</v>
      </c>
      <c r="AG97" s="28">
        <f>IF(AQ97="2",BI97,0)</f>
        <v>0</v>
      </c>
      <c r="AH97" s="28">
        <f>IF(AQ97="0",BJ97,0)</f>
        <v>0</v>
      </c>
      <c r="AI97" s="10" t="s">
        <v>50</v>
      </c>
      <c r="AJ97" s="28">
        <f>IF(AN97=0,J97,0)</f>
        <v>0</v>
      </c>
      <c r="AK97" s="28">
        <f>IF(AN97=12,J97,0)</f>
        <v>0</v>
      </c>
      <c r="AL97" s="28">
        <f>IF(AN97=21,J97,0)</f>
        <v>0</v>
      </c>
      <c r="AN97" s="28">
        <v>12</v>
      </c>
      <c r="AO97" s="28">
        <f>G97*0</f>
        <v>0</v>
      </c>
      <c r="AP97" s="28">
        <f>G97*(1-0)</f>
        <v>0</v>
      </c>
      <c r="AQ97" s="29" t="s">
        <v>81</v>
      </c>
      <c r="AV97" s="28">
        <f>AW97+AX97</f>
        <v>0</v>
      </c>
      <c r="AW97" s="28">
        <f>F97*AO97</f>
        <v>0</v>
      </c>
      <c r="AX97" s="28">
        <f>F97*AP97</f>
        <v>0</v>
      </c>
      <c r="AY97" s="29" t="s">
        <v>288</v>
      </c>
      <c r="AZ97" s="29" t="s">
        <v>182</v>
      </c>
      <c r="BA97" s="10" t="s">
        <v>60</v>
      </c>
      <c r="BC97" s="28">
        <f>AW97+AX97</f>
        <v>0</v>
      </c>
      <c r="BD97" s="28">
        <f>G97/(100-BE97)*100</f>
        <v>0</v>
      </c>
      <c r="BE97" s="28">
        <v>0</v>
      </c>
      <c r="BF97" s="28">
        <f>97</f>
        <v>97</v>
      </c>
      <c r="BH97" s="28">
        <f>F97*AO97</f>
        <v>0</v>
      </c>
      <c r="BI97" s="28">
        <f>F97*AP97</f>
        <v>0</v>
      </c>
      <c r="BJ97" s="28">
        <f>F97*G97</f>
        <v>0</v>
      </c>
      <c r="BK97" s="28"/>
      <c r="BL97" s="28">
        <v>725</v>
      </c>
      <c r="BW97" s="28">
        <v>12</v>
      </c>
      <c r="BX97" s="4" t="s">
        <v>286</v>
      </c>
    </row>
    <row r="98" spans="1:76" x14ac:dyDescent="0.25">
      <c r="A98" s="30" t="s">
        <v>289</v>
      </c>
      <c r="B98" s="31" t="s">
        <v>290</v>
      </c>
      <c r="C98" s="115" t="s">
        <v>291</v>
      </c>
      <c r="D98" s="116"/>
      <c r="E98" s="31" t="s">
        <v>287</v>
      </c>
      <c r="F98" s="32">
        <v>1</v>
      </c>
      <c r="G98" s="32">
        <v>0</v>
      </c>
      <c r="H98" s="32">
        <f>F98*AO98</f>
        <v>0</v>
      </c>
      <c r="I98" s="32">
        <f>F98*AP98</f>
        <v>0</v>
      </c>
      <c r="J98" s="32">
        <f>F98*G98</f>
        <v>0</v>
      </c>
      <c r="K98" s="33" t="s">
        <v>57</v>
      </c>
      <c r="Z98" s="28">
        <f>IF(AQ98="5",BJ98,0)</f>
        <v>0</v>
      </c>
      <c r="AB98" s="28">
        <f>IF(AQ98="1",BH98,0)</f>
        <v>0</v>
      </c>
      <c r="AC98" s="28">
        <f>IF(AQ98="1",BI98,0)</f>
        <v>0</v>
      </c>
      <c r="AD98" s="28">
        <f>IF(AQ98="7",BH98,0)</f>
        <v>0</v>
      </c>
      <c r="AE98" s="28">
        <f>IF(AQ98="7",BI98,0)</f>
        <v>0</v>
      </c>
      <c r="AF98" s="28">
        <f>IF(AQ98="2",BH98,0)</f>
        <v>0</v>
      </c>
      <c r="AG98" s="28">
        <f>IF(AQ98="2",BI98,0)</f>
        <v>0</v>
      </c>
      <c r="AH98" s="28">
        <f>IF(AQ98="0",BJ98,0)</f>
        <v>0</v>
      </c>
      <c r="AI98" s="10" t="s">
        <v>50</v>
      </c>
      <c r="AJ98" s="28">
        <f>IF(AN98=0,J98,0)</f>
        <v>0</v>
      </c>
      <c r="AK98" s="28">
        <f>IF(AN98=12,J98,0)</f>
        <v>0</v>
      </c>
      <c r="AL98" s="28">
        <f>IF(AN98=21,J98,0)</f>
        <v>0</v>
      </c>
      <c r="AN98" s="28">
        <v>12</v>
      </c>
      <c r="AO98" s="28">
        <f>G98*0</f>
        <v>0</v>
      </c>
      <c r="AP98" s="28">
        <f>G98*(1-0)</f>
        <v>0</v>
      </c>
      <c r="AQ98" s="29" t="s">
        <v>81</v>
      </c>
      <c r="AV98" s="28">
        <f>AW98+AX98</f>
        <v>0</v>
      </c>
      <c r="AW98" s="28">
        <f>F98*AO98</f>
        <v>0</v>
      </c>
      <c r="AX98" s="28">
        <f>F98*AP98</f>
        <v>0</v>
      </c>
      <c r="AY98" s="29" t="s">
        <v>288</v>
      </c>
      <c r="AZ98" s="29" t="s">
        <v>182</v>
      </c>
      <c r="BA98" s="10" t="s">
        <v>60</v>
      </c>
      <c r="BC98" s="28">
        <f>AW98+AX98</f>
        <v>0</v>
      </c>
      <c r="BD98" s="28">
        <f>G98/(100-BE98)*100</f>
        <v>0</v>
      </c>
      <c r="BE98" s="28">
        <v>0</v>
      </c>
      <c r="BF98" s="28">
        <f>98</f>
        <v>98</v>
      </c>
      <c r="BH98" s="28">
        <f>F98*AO98</f>
        <v>0</v>
      </c>
      <c r="BI98" s="28">
        <f>F98*AP98</f>
        <v>0</v>
      </c>
      <c r="BJ98" s="28">
        <f>F98*G98</f>
        <v>0</v>
      </c>
      <c r="BK98" s="28"/>
      <c r="BL98" s="28">
        <v>725</v>
      </c>
      <c r="BW98" s="28">
        <v>12</v>
      </c>
      <c r="BX98" s="4" t="s">
        <v>291</v>
      </c>
    </row>
    <row r="99" spans="1:76" x14ac:dyDescent="0.25">
      <c r="A99" s="30" t="s">
        <v>292</v>
      </c>
      <c r="B99" s="31" t="s">
        <v>293</v>
      </c>
      <c r="C99" s="115" t="s">
        <v>294</v>
      </c>
      <c r="D99" s="116"/>
      <c r="E99" s="31" t="s">
        <v>287</v>
      </c>
      <c r="F99" s="32">
        <v>1</v>
      </c>
      <c r="G99" s="32">
        <v>0</v>
      </c>
      <c r="H99" s="32">
        <f>F99*AO99</f>
        <v>0</v>
      </c>
      <c r="I99" s="32">
        <f>F99*AP99</f>
        <v>0</v>
      </c>
      <c r="J99" s="32">
        <f>F99*G99</f>
        <v>0</v>
      </c>
      <c r="K99" s="33" t="s">
        <v>57</v>
      </c>
      <c r="Z99" s="28">
        <f>IF(AQ99="5",BJ99,0)</f>
        <v>0</v>
      </c>
      <c r="AB99" s="28">
        <f>IF(AQ99="1",BH99,0)</f>
        <v>0</v>
      </c>
      <c r="AC99" s="28">
        <f>IF(AQ99="1",BI99,0)</f>
        <v>0</v>
      </c>
      <c r="AD99" s="28">
        <f>IF(AQ99="7",BH99,0)</f>
        <v>0</v>
      </c>
      <c r="AE99" s="28">
        <f>IF(AQ99="7",BI99,0)</f>
        <v>0</v>
      </c>
      <c r="AF99" s="28">
        <f>IF(AQ99="2",BH99,0)</f>
        <v>0</v>
      </c>
      <c r="AG99" s="28">
        <f>IF(AQ99="2",BI99,0)</f>
        <v>0</v>
      </c>
      <c r="AH99" s="28">
        <f>IF(AQ99="0",BJ99,0)</f>
        <v>0</v>
      </c>
      <c r="AI99" s="10" t="s">
        <v>50</v>
      </c>
      <c r="AJ99" s="28">
        <f>IF(AN99=0,J99,0)</f>
        <v>0</v>
      </c>
      <c r="AK99" s="28">
        <f>IF(AN99=12,J99,0)</f>
        <v>0</v>
      </c>
      <c r="AL99" s="28">
        <f>IF(AN99=21,J99,0)</f>
        <v>0</v>
      </c>
      <c r="AN99" s="28">
        <v>12</v>
      </c>
      <c r="AO99" s="28">
        <f>G99*0</f>
        <v>0</v>
      </c>
      <c r="AP99" s="28">
        <f>G99*(1-0)</f>
        <v>0</v>
      </c>
      <c r="AQ99" s="29" t="s">
        <v>81</v>
      </c>
      <c r="AV99" s="28">
        <f>AW99+AX99</f>
        <v>0</v>
      </c>
      <c r="AW99" s="28">
        <f>F99*AO99</f>
        <v>0</v>
      </c>
      <c r="AX99" s="28">
        <f>F99*AP99</f>
        <v>0</v>
      </c>
      <c r="AY99" s="29" t="s">
        <v>288</v>
      </c>
      <c r="AZ99" s="29" t="s">
        <v>182</v>
      </c>
      <c r="BA99" s="10" t="s">
        <v>60</v>
      </c>
      <c r="BC99" s="28">
        <f>AW99+AX99</f>
        <v>0</v>
      </c>
      <c r="BD99" s="28">
        <f>G99/(100-BE99)*100</f>
        <v>0</v>
      </c>
      <c r="BE99" s="28">
        <v>0</v>
      </c>
      <c r="BF99" s="28">
        <f>99</f>
        <v>99</v>
      </c>
      <c r="BH99" s="28">
        <f>F99*AO99</f>
        <v>0</v>
      </c>
      <c r="BI99" s="28">
        <f>F99*AP99</f>
        <v>0</v>
      </c>
      <c r="BJ99" s="28">
        <f>F99*G99</f>
        <v>0</v>
      </c>
      <c r="BK99" s="28"/>
      <c r="BL99" s="28">
        <v>725</v>
      </c>
      <c r="BW99" s="28">
        <v>12</v>
      </c>
      <c r="BX99" s="4" t="s">
        <v>294</v>
      </c>
    </row>
    <row r="100" spans="1:76" x14ac:dyDescent="0.25">
      <c r="A100" s="30" t="s">
        <v>295</v>
      </c>
      <c r="B100" s="31" t="s">
        <v>296</v>
      </c>
      <c r="C100" s="115" t="s">
        <v>297</v>
      </c>
      <c r="D100" s="116"/>
      <c r="E100" s="31" t="s">
        <v>56</v>
      </c>
      <c r="F100" s="32">
        <v>1</v>
      </c>
      <c r="G100" s="32">
        <v>0</v>
      </c>
      <c r="H100" s="32">
        <f>F100*AO100</f>
        <v>0</v>
      </c>
      <c r="I100" s="32">
        <f>F100*AP100</f>
        <v>0</v>
      </c>
      <c r="J100" s="32">
        <f>F100*G100</f>
        <v>0</v>
      </c>
      <c r="K100" s="33" t="s">
        <v>57</v>
      </c>
      <c r="Z100" s="28">
        <f>IF(AQ100="5",BJ100,0)</f>
        <v>0</v>
      </c>
      <c r="AB100" s="28">
        <f>IF(AQ100="1",BH100,0)</f>
        <v>0</v>
      </c>
      <c r="AC100" s="28">
        <f>IF(AQ100="1",BI100,0)</f>
        <v>0</v>
      </c>
      <c r="AD100" s="28">
        <f>IF(AQ100="7",BH100,0)</f>
        <v>0</v>
      </c>
      <c r="AE100" s="28">
        <f>IF(AQ100="7",BI100,0)</f>
        <v>0</v>
      </c>
      <c r="AF100" s="28">
        <f>IF(AQ100="2",BH100,0)</f>
        <v>0</v>
      </c>
      <c r="AG100" s="28">
        <f>IF(AQ100="2",BI100,0)</f>
        <v>0</v>
      </c>
      <c r="AH100" s="28">
        <f>IF(AQ100="0",BJ100,0)</f>
        <v>0</v>
      </c>
      <c r="AI100" s="10" t="s">
        <v>50</v>
      </c>
      <c r="AJ100" s="28">
        <f>IF(AN100=0,J100,0)</f>
        <v>0</v>
      </c>
      <c r="AK100" s="28">
        <f>IF(AN100=12,J100,0)</f>
        <v>0</v>
      </c>
      <c r="AL100" s="28">
        <f>IF(AN100=21,J100,0)</f>
        <v>0</v>
      </c>
      <c r="AN100" s="28">
        <v>12</v>
      </c>
      <c r="AO100" s="28">
        <f>G100*0</f>
        <v>0</v>
      </c>
      <c r="AP100" s="28">
        <f>G100*(1-0)</f>
        <v>0</v>
      </c>
      <c r="AQ100" s="29" t="s">
        <v>81</v>
      </c>
      <c r="AV100" s="28">
        <f>AW100+AX100</f>
        <v>0</v>
      </c>
      <c r="AW100" s="28">
        <f>F100*AO100</f>
        <v>0</v>
      </c>
      <c r="AX100" s="28">
        <f>F100*AP100</f>
        <v>0</v>
      </c>
      <c r="AY100" s="29" t="s">
        <v>288</v>
      </c>
      <c r="AZ100" s="29" t="s">
        <v>182</v>
      </c>
      <c r="BA100" s="10" t="s">
        <v>60</v>
      </c>
      <c r="BC100" s="28">
        <f>AW100+AX100</f>
        <v>0</v>
      </c>
      <c r="BD100" s="28">
        <f>G100/(100-BE100)*100</f>
        <v>0</v>
      </c>
      <c r="BE100" s="28">
        <v>0</v>
      </c>
      <c r="BF100" s="28">
        <f>100</f>
        <v>100</v>
      </c>
      <c r="BH100" s="28">
        <f>F100*AO100</f>
        <v>0</v>
      </c>
      <c r="BI100" s="28">
        <f>F100*AP100</f>
        <v>0</v>
      </c>
      <c r="BJ100" s="28">
        <f>F100*G100</f>
        <v>0</v>
      </c>
      <c r="BK100" s="28"/>
      <c r="BL100" s="28">
        <v>725</v>
      </c>
      <c r="BW100" s="28">
        <v>12</v>
      </c>
      <c r="BX100" s="4" t="s">
        <v>297</v>
      </c>
    </row>
    <row r="101" spans="1:76" x14ac:dyDescent="0.25">
      <c r="A101" s="30" t="s">
        <v>298</v>
      </c>
      <c r="B101" s="31" t="s">
        <v>299</v>
      </c>
      <c r="C101" s="115" t="s">
        <v>300</v>
      </c>
      <c r="D101" s="116"/>
      <c r="E101" s="31" t="s">
        <v>56</v>
      </c>
      <c r="F101" s="32">
        <v>2</v>
      </c>
      <c r="G101" s="32">
        <v>0</v>
      </c>
      <c r="H101" s="32">
        <f>F101*AO101</f>
        <v>0</v>
      </c>
      <c r="I101" s="32">
        <f>F101*AP101</f>
        <v>0</v>
      </c>
      <c r="J101" s="32">
        <f>F101*G101</f>
        <v>0</v>
      </c>
      <c r="K101" s="33" t="s">
        <v>57</v>
      </c>
      <c r="Z101" s="28">
        <f>IF(AQ101="5",BJ101,0)</f>
        <v>0</v>
      </c>
      <c r="AB101" s="28">
        <f>IF(AQ101="1",BH101,0)</f>
        <v>0</v>
      </c>
      <c r="AC101" s="28">
        <f>IF(AQ101="1",BI101,0)</f>
        <v>0</v>
      </c>
      <c r="AD101" s="28">
        <f>IF(AQ101="7",BH101,0)</f>
        <v>0</v>
      </c>
      <c r="AE101" s="28">
        <f>IF(AQ101="7",BI101,0)</f>
        <v>0</v>
      </c>
      <c r="AF101" s="28">
        <f>IF(AQ101="2",BH101,0)</f>
        <v>0</v>
      </c>
      <c r="AG101" s="28">
        <f>IF(AQ101="2",BI101,0)</f>
        <v>0</v>
      </c>
      <c r="AH101" s="28">
        <f>IF(AQ101="0",BJ101,0)</f>
        <v>0</v>
      </c>
      <c r="AI101" s="10" t="s">
        <v>50</v>
      </c>
      <c r="AJ101" s="28">
        <f>IF(AN101=0,J101,0)</f>
        <v>0</v>
      </c>
      <c r="AK101" s="28">
        <f>IF(AN101=12,J101,0)</f>
        <v>0</v>
      </c>
      <c r="AL101" s="28">
        <f>IF(AN101=21,J101,0)</f>
        <v>0</v>
      </c>
      <c r="AN101" s="28">
        <v>12</v>
      </c>
      <c r="AO101" s="28">
        <f>G101*0.873548879</f>
        <v>0</v>
      </c>
      <c r="AP101" s="28">
        <f>G101*(1-0.873548879)</f>
        <v>0</v>
      </c>
      <c r="AQ101" s="29" t="s">
        <v>81</v>
      </c>
      <c r="AV101" s="28">
        <f>AW101+AX101</f>
        <v>0</v>
      </c>
      <c r="AW101" s="28">
        <f>F101*AO101</f>
        <v>0</v>
      </c>
      <c r="AX101" s="28">
        <f>F101*AP101</f>
        <v>0</v>
      </c>
      <c r="AY101" s="29" t="s">
        <v>288</v>
      </c>
      <c r="AZ101" s="29" t="s">
        <v>182</v>
      </c>
      <c r="BA101" s="10" t="s">
        <v>60</v>
      </c>
      <c r="BC101" s="28">
        <f>AW101+AX101</f>
        <v>0</v>
      </c>
      <c r="BD101" s="28">
        <f>G101/(100-BE101)*100</f>
        <v>0</v>
      </c>
      <c r="BE101" s="28">
        <v>0</v>
      </c>
      <c r="BF101" s="28">
        <f>101</f>
        <v>101</v>
      </c>
      <c r="BH101" s="28">
        <f>F101*AO101</f>
        <v>0</v>
      </c>
      <c r="BI101" s="28">
        <f>F101*AP101</f>
        <v>0</v>
      </c>
      <c r="BJ101" s="28">
        <f>F101*G101</f>
        <v>0</v>
      </c>
      <c r="BK101" s="28"/>
      <c r="BL101" s="28">
        <v>725</v>
      </c>
      <c r="BW101" s="28">
        <v>12</v>
      </c>
      <c r="BX101" s="4" t="s">
        <v>300</v>
      </c>
    </row>
    <row r="102" spans="1:76" ht="13.5" customHeight="1" x14ac:dyDescent="0.25">
      <c r="A102" s="34"/>
      <c r="B102" s="35" t="s">
        <v>65</v>
      </c>
      <c r="C102" s="117" t="s">
        <v>301</v>
      </c>
      <c r="D102" s="118"/>
      <c r="E102" s="118"/>
      <c r="F102" s="118"/>
      <c r="G102" s="118"/>
      <c r="H102" s="118"/>
      <c r="I102" s="118"/>
      <c r="J102" s="118"/>
      <c r="K102" s="119"/>
    </row>
    <row r="103" spans="1:76" x14ac:dyDescent="0.25">
      <c r="A103" s="24" t="s">
        <v>302</v>
      </c>
      <c r="B103" s="25" t="s">
        <v>303</v>
      </c>
      <c r="C103" s="113" t="s">
        <v>304</v>
      </c>
      <c r="D103" s="114"/>
      <c r="E103" s="25" t="s">
        <v>56</v>
      </c>
      <c r="F103" s="26">
        <v>1</v>
      </c>
      <c r="G103" s="26">
        <v>0</v>
      </c>
      <c r="H103" s="26">
        <f t="shared" ref="H103:H125" si="154">F103*AO103</f>
        <v>0</v>
      </c>
      <c r="I103" s="26">
        <f t="shared" ref="I103:I125" si="155">F103*AP103</f>
        <v>0</v>
      </c>
      <c r="J103" s="26">
        <f t="shared" ref="J103:J125" si="156">F103*G103</f>
        <v>0</v>
      </c>
      <c r="K103" s="27" t="s">
        <v>57</v>
      </c>
      <c r="Z103" s="28">
        <f t="shared" ref="Z103:Z125" si="157">IF(AQ103="5",BJ103,0)</f>
        <v>0</v>
      </c>
      <c r="AB103" s="28">
        <f t="shared" ref="AB103:AB125" si="158">IF(AQ103="1",BH103,0)</f>
        <v>0</v>
      </c>
      <c r="AC103" s="28">
        <f t="shared" ref="AC103:AC125" si="159">IF(AQ103="1",BI103,0)</f>
        <v>0</v>
      </c>
      <c r="AD103" s="28">
        <f t="shared" ref="AD103:AD125" si="160">IF(AQ103="7",BH103,0)</f>
        <v>0</v>
      </c>
      <c r="AE103" s="28">
        <f t="shared" ref="AE103:AE125" si="161">IF(AQ103="7",BI103,0)</f>
        <v>0</v>
      </c>
      <c r="AF103" s="28">
        <f t="shared" ref="AF103:AF125" si="162">IF(AQ103="2",BH103,0)</f>
        <v>0</v>
      </c>
      <c r="AG103" s="28">
        <f t="shared" ref="AG103:AG125" si="163">IF(AQ103="2",BI103,0)</f>
        <v>0</v>
      </c>
      <c r="AH103" s="28">
        <f t="shared" ref="AH103:AH125" si="164">IF(AQ103="0",BJ103,0)</f>
        <v>0</v>
      </c>
      <c r="AI103" s="10" t="s">
        <v>50</v>
      </c>
      <c r="AJ103" s="28">
        <f t="shared" ref="AJ103:AJ125" si="165">IF(AN103=0,J103,0)</f>
        <v>0</v>
      </c>
      <c r="AK103" s="28">
        <f t="shared" ref="AK103:AK125" si="166">IF(AN103=12,J103,0)</f>
        <v>0</v>
      </c>
      <c r="AL103" s="28">
        <f t="shared" ref="AL103:AL125" si="167">IF(AN103=21,J103,0)</f>
        <v>0</v>
      </c>
      <c r="AN103" s="28">
        <v>12</v>
      </c>
      <c r="AO103" s="28">
        <f>G103*0.369266667</f>
        <v>0</v>
      </c>
      <c r="AP103" s="28">
        <f>G103*(1-0.369266667)</f>
        <v>0</v>
      </c>
      <c r="AQ103" s="29" t="s">
        <v>81</v>
      </c>
      <c r="AV103" s="28">
        <f t="shared" ref="AV103:AV125" si="168">AW103+AX103</f>
        <v>0</v>
      </c>
      <c r="AW103" s="28">
        <f t="shared" ref="AW103:AW125" si="169">F103*AO103</f>
        <v>0</v>
      </c>
      <c r="AX103" s="28">
        <f t="shared" ref="AX103:AX125" si="170">F103*AP103</f>
        <v>0</v>
      </c>
      <c r="AY103" s="29" t="s">
        <v>288</v>
      </c>
      <c r="AZ103" s="29" t="s">
        <v>182</v>
      </c>
      <c r="BA103" s="10" t="s">
        <v>60</v>
      </c>
      <c r="BC103" s="28">
        <f t="shared" ref="BC103:BC125" si="171">AW103+AX103</f>
        <v>0</v>
      </c>
      <c r="BD103" s="28">
        <f t="shared" ref="BD103:BD125" si="172">G103/(100-BE103)*100</f>
        <v>0</v>
      </c>
      <c r="BE103" s="28">
        <v>0</v>
      </c>
      <c r="BF103" s="28">
        <f>103</f>
        <v>103</v>
      </c>
      <c r="BH103" s="28">
        <f t="shared" ref="BH103:BH125" si="173">F103*AO103</f>
        <v>0</v>
      </c>
      <c r="BI103" s="28">
        <f t="shared" ref="BI103:BI125" si="174">F103*AP103</f>
        <v>0</v>
      </c>
      <c r="BJ103" s="28">
        <f t="shared" ref="BJ103:BJ125" si="175">F103*G103</f>
        <v>0</v>
      </c>
      <c r="BK103" s="28"/>
      <c r="BL103" s="28">
        <v>725</v>
      </c>
      <c r="BW103" s="28">
        <v>12</v>
      </c>
      <c r="BX103" s="4" t="s">
        <v>304</v>
      </c>
    </row>
    <row r="104" spans="1:76" x14ac:dyDescent="0.25">
      <c r="A104" s="30" t="s">
        <v>305</v>
      </c>
      <c r="B104" s="31" t="s">
        <v>306</v>
      </c>
      <c r="C104" s="115" t="s">
        <v>307</v>
      </c>
      <c r="D104" s="116"/>
      <c r="E104" s="31" t="s">
        <v>56</v>
      </c>
      <c r="F104" s="32">
        <v>1</v>
      </c>
      <c r="G104" s="32">
        <v>0</v>
      </c>
      <c r="H104" s="32">
        <f t="shared" si="154"/>
        <v>0</v>
      </c>
      <c r="I104" s="32">
        <f t="shared" si="155"/>
        <v>0</v>
      </c>
      <c r="J104" s="32">
        <f t="shared" si="156"/>
        <v>0</v>
      </c>
      <c r="K104" s="33" t="s">
        <v>57</v>
      </c>
      <c r="Z104" s="28">
        <f t="shared" si="157"/>
        <v>0</v>
      </c>
      <c r="AB104" s="28">
        <f t="shared" si="158"/>
        <v>0</v>
      </c>
      <c r="AC104" s="28">
        <f t="shared" si="159"/>
        <v>0</v>
      </c>
      <c r="AD104" s="28">
        <f t="shared" si="160"/>
        <v>0</v>
      </c>
      <c r="AE104" s="28">
        <f t="shared" si="161"/>
        <v>0</v>
      </c>
      <c r="AF104" s="28">
        <f t="shared" si="162"/>
        <v>0</v>
      </c>
      <c r="AG104" s="28">
        <f t="shared" si="163"/>
        <v>0</v>
      </c>
      <c r="AH104" s="28">
        <f t="shared" si="164"/>
        <v>0</v>
      </c>
      <c r="AI104" s="10" t="s">
        <v>50</v>
      </c>
      <c r="AJ104" s="28">
        <f t="shared" si="165"/>
        <v>0</v>
      </c>
      <c r="AK104" s="28">
        <f t="shared" si="166"/>
        <v>0</v>
      </c>
      <c r="AL104" s="28">
        <f t="shared" si="167"/>
        <v>0</v>
      </c>
      <c r="AN104" s="28">
        <v>12</v>
      </c>
      <c r="AO104" s="28">
        <f>G104*1</f>
        <v>0</v>
      </c>
      <c r="AP104" s="28">
        <f>G104*(1-1)</f>
        <v>0</v>
      </c>
      <c r="AQ104" s="29" t="s">
        <v>81</v>
      </c>
      <c r="AV104" s="28">
        <f t="shared" si="168"/>
        <v>0</v>
      </c>
      <c r="AW104" s="28">
        <f t="shared" si="169"/>
        <v>0</v>
      </c>
      <c r="AX104" s="28">
        <f t="shared" si="170"/>
        <v>0</v>
      </c>
      <c r="AY104" s="29" t="s">
        <v>288</v>
      </c>
      <c r="AZ104" s="29" t="s">
        <v>182</v>
      </c>
      <c r="BA104" s="10" t="s">
        <v>60</v>
      </c>
      <c r="BC104" s="28">
        <f t="shared" si="171"/>
        <v>0</v>
      </c>
      <c r="BD104" s="28">
        <f t="shared" si="172"/>
        <v>0</v>
      </c>
      <c r="BE104" s="28">
        <v>0</v>
      </c>
      <c r="BF104" s="28">
        <f>104</f>
        <v>104</v>
      </c>
      <c r="BH104" s="28">
        <f t="shared" si="173"/>
        <v>0</v>
      </c>
      <c r="BI104" s="28">
        <f t="shared" si="174"/>
        <v>0</v>
      </c>
      <c r="BJ104" s="28">
        <f t="shared" si="175"/>
        <v>0</v>
      </c>
      <c r="BK104" s="28"/>
      <c r="BL104" s="28">
        <v>725</v>
      </c>
      <c r="BW104" s="28">
        <v>12</v>
      </c>
      <c r="BX104" s="4" t="s">
        <v>307</v>
      </c>
    </row>
    <row r="105" spans="1:76" x14ac:dyDescent="0.25">
      <c r="A105" s="30" t="s">
        <v>308</v>
      </c>
      <c r="B105" s="31" t="s">
        <v>309</v>
      </c>
      <c r="C105" s="115" t="s">
        <v>310</v>
      </c>
      <c r="D105" s="116"/>
      <c r="E105" s="31" t="s">
        <v>56</v>
      </c>
      <c r="F105" s="32">
        <v>1</v>
      </c>
      <c r="G105" s="32">
        <v>0</v>
      </c>
      <c r="H105" s="32">
        <f t="shared" si="154"/>
        <v>0</v>
      </c>
      <c r="I105" s="32">
        <f t="shared" si="155"/>
        <v>0</v>
      </c>
      <c r="J105" s="32">
        <f t="shared" si="156"/>
        <v>0</v>
      </c>
      <c r="K105" s="33" t="s">
        <v>57</v>
      </c>
      <c r="Z105" s="28">
        <f t="shared" si="157"/>
        <v>0</v>
      </c>
      <c r="AB105" s="28">
        <f t="shared" si="158"/>
        <v>0</v>
      </c>
      <c r="AC105" s="28">
        <f t="shared" si="159"/>
        <v>0</v>
      </c>
      <c r="AD105" s="28">
        <f t="shared" si="160"/>
        <v>0</v>
      </c>
      <c r="AE105" s="28">
        <f t="shared" si="161"/>
        <v>0</v>
      </c>
      <c r="AF105" s="28">
        <f t="shared" si="162"/>
        <v>0</v>
      </c>
      <c r="AG105" s="28">
        <f t="shared" si="163"/>
        <v>0</v>
      </c>
      <c r="AH105" s="28">
        <f t="shared" si="164"/>
        <v>0</v>
      </c>
      <c r="AI105" s="10" t="s">
        <v>50</v>
      </c>
      <c r="AJ105" s="28">
        <f t="shared" si="165"/>
        <v>0</v>
      </c>
      <c r="AK105" s="28">
        <f t="shared" si="166"/>
        <v>0</v>
      </c>
      <c r="AL105" s="28">
        <f t="shared" si="167"/>
        <v>0</v>
      </c>
      <c r="AN105" s="28">
        <v>12</v>
      </c>
      <c r="AO105" s="28">
        <f>G105*0.868028037</f>
        <v>0</v>
      </c>
      <c r="AP105" s="28">
        <f>G105*(1-0.868028037)</f>
        <v>0</v>
      </c>
      <c r="AQ105" s="29" t="s">
        <v>81</v>
      </c>
      <c r="AV105" s="28">
        <f t="shared" si="168"/>
        <v>0</v>
      </c>
      <c r="AW105" s="28">
        <f t="shared" si="169"/>
        <v>0</v>
      </c>
      <c r="AX105" s="28">
        <f t="shared" si="170"/>
        <v>0</v>
      </c>
      <c r="AY105" s="29" t="s">
        <v>288</v>
      </c>
      <c r="AZ105" s="29" t="s">
        <v>182</v>
      </c>
      <c r="BA105" s="10" t="s">
        <v>60</v>
      </c>
      <c r="BC105" s="28">
        <f t="shared" si="171"/>
        <v>0</v>
      </c>
      <c r="BD105" s="28">
        <f t="shared" si="172"/>
        <v>0</v>
      </c>
      <c r="BE105" s="28">
        <v>0</v>
      </c>
      <c r="BF105" s="28">
        <f>105</f>
        <v>105</v>
      </c>
      <c r="BH105" s="28">
        <f t="shared" si="173"/>
        <v>0</v>
      </c>
      <c r="BI105" s="28">
        <f t="shared" si="174"/>
        <v>0</v>
      </c>
      <c r="BJ105" s="28">
        <f t="shared" si="175"/>
        <v>0</v>
      </c>
      <c r="BK105" s="28"/>
      <c r="BL105" s="28">
        <v>725</v>
      </c>
      <c r="BW105" s="28">
        <v>12</v>
      </c>
      <c r="BX105" s="4" t="s">
        <v>310</v>
      </c>
    </row>
    <row r="106" spans="1:76" x14ac:dyDescent="0.25">
      <c r="A106" s="30" t="s">
        <v>311</v>
      </c>
      <c r="B106" s="31" t="s">
        <v>312</v>
      </c>
      <c r="C106" s="115" t="s">
        <v>313</v>
      </c>
      <c r="D106" s="116"/>
      <c r="E106" s="31" t="s">
        <v>287</v>
      </c>
      <c r="F106" s="32">
        <v>1</v>
      </c>
      <c r="G106" s="32">
        <v>0</v>
      </c>
      <c r="H106" s="32">
        <f t="shared" si="154"/>
        <v>0</v>
      </c>
      <c r="I106" s="32">
        <f t="shared" si="155"/>
        <v>0</v>
      </c>
      <c r="J106" s="32">
        <f t="shared" si="156"/>
        <v>0</v>
      </c>
      <c r="K106" s="33" t="s">
        <v>57</v>
      </c>
      <c r="Z106" s="28">
        <f t="shared" si="157"/>
        <v>0</v>
      </c>
      <c r="AB106" s="28">
        <f t="shared" si="158"/>
        <v>0</v>
      </c>
      <c r="AC106" s="28">
        <f t="shared" si="159"/>
        <v>0</v>
      </c>
      <c r="AD106" s="28">
        <f t="shared" si="160"/>
        <v>0</v>
      </c>
      <c r="AE106" s="28">
        <f t="shared" si="161"/>
        <v>0</v>
      </c>
      <c r="AF106" s="28">
        <f t="shared" si="162"/>
        <v>0</v>
      </c>
      <c r="AG106" s="28">
        <f t="shared" si="163"/>
        <v>0</v>
      </c>
      <c r="AH106" s="28">
        <f t="shared" si="164"/>
        <v>0</v>
      </c>
      <c r="AI106" s="10" t="s">
        <v>50</v>
      </c>
      <c r="AJ106" s="28">
        <f t="shared" si="165"/>
        <v>0</v>
      </c>
      <c r="AK106" s="28">
        <f t="shared" si="166"/>
        <v>0</v>
      </c>
      <c r="AL106" s="28">
        <f t="shared" si="167"/>
        <v>0</v>
      </c>
      <c r="AN106" s="28">
        <v>12</v>
      </c>
      <c r="AO106" s="28">
        <f>G106*0.460774648</f>
        <v>0</v>
      </c>
      <c r="AP106" s="28">
        <f>G106*(1-0.460774648)</f>
        <v>0</v>
      </c>
      <c r="AQ106" s="29" t="s">
        <v>81</v>
      </c>
      <c r="AV106" s="28">
        <f t="shared" si="168"/>
        <v>0</v>
      </c>
      <c r="AW106" s="28">
        <f t="shared" si="169"/>
        <v>0</v>
      </c>
      <c r="AX106" s="28">
        <f t="shared" si="170"/>
        <v>0</v>
      </c>
      <c r="AY106" s="29" t="s">
        <v>288</v>
      </c>
      <c r="AZ106" s="29" t="s">
        <v>182</v>
      </c>
      <c r="BA106" s="10" t="s">
        <v>60</v>
      </c>
      <c r="BC106" s="28">
        <f t="shared" si="171"/>
        <v>0</v>
      </c>
      <c r="BD106" s="28">
        <f t="shared" si="172"/>
        <v>0</v>
      </c>
      <c r="BE106" s="28">
        <v>0</v>
      </c>
      <c r="BF106" s="28">
        <f>106</f>
        <v>106</v>
      </c>
      <c r="BH106" s="28">
        <f t="shared" si="173"/>
        <v>0</v>
      </c>
      <c r="BI106" s="28">
        <f t="shared" si="174"/>
        <v>0</v>
      </c>
      <c r="BJ106" s="28">
        <f t="shared" si="175"/>
        <v>0</v>
      </c>
      <c r="BK106" s="28"/>
      <c r="BL106" s="28">
        <v>725</v>
      </c>
      <c r="BW106" s="28">
        <v>12</v>
      </c>
      <c r="BX106" s="4" t="s">
        <v>313</v>
      </c>
    </row>
    <row r="107" spans="1:76" x14ac:dyDescent="0.25">
      <c r="A107" s="30" t="s">
        <v>314</v>
      </c>
      <c r="B107" s="31" t="s">
        <v>315</v>
      </c>
      <c r="C107" s="115" t="s">
        <v>316</v>
      </c>
      <c r="D107" s="116"/>
      <c r="E107" s="31" t="s">
        <v>56</v>
      </c>
      <c r="F107" s="32">
        <v>1</v>
      </c>
      <c r="G107" s="32">
        <v>0</v>
      </c>
      <c r="H107" s="32">
        <f t="shared" si="154"/>
        <v>0</v>
      </c>
      <c r="I107" s="32">
        <f t="shared" si="155"/>
        <v>0</v>
      </c>
      <c r="J107" s="32">
        <f t="shared" si="156"/>
        <v>0</v>
      </c>
      <c r="K107" s="33" t="s">
        <v>57</v>
      </c>
      <c r="Z107" s="28">
        <f t="shared" si="157"/>
        <v>0</v>
      </c>
      <c r="AB107" s="28">
        <f t="shared" si="158"/>
        <v>0</v>
      </c>
      <c r="AC107" s="28">
        <f t="shared" si="159"/>
        <v>0</v>
      </c>
      <c r="AD107" s="28">
        <f t="shared" si="160"/>
        <v>0</v>
      </c>
      <c r="AE107" s="28">
        <f t="shared" si="161"/>
        <v>0</v>
      </c>
      <c r="AF107" s="28">
        <f t="shared" si="162"/>
        <v>0</v>
      </c>
      <c r="AG107" s="28">
        <f t="shared" si="163"/>
        <v>0</v>
      </c>
      <c r="AH107" s="28">
        <f t="shared" si="164"/>
        <v>0</v>
      </c>
      <c r="AI107" s="10" t="s">
        <v>50</v>
      </c>
      <c r="AJ107" s="28">
        <f t="shared" si="165"/>
        <v>0</v>
      </c>
      <c r="AK107" s="28">
        <f t="shared" si="166"/>
        <v>0</v>
      </c>
      <c r="AL107" s="28">
        <f t="shared" si="167"/>
        <v>0</v>
      </c>
      <c r="AN107" s="28">
        <v>12</v>
      </c>
      <c r="AO107" s="28">
        <f>G107*1</f>
        <v>0</v>
      </c>
      <c r="AP107" s="28">
        <f>G107*(1-1)</f>
        <v>0</v>
      </c>
      <c r="AQ107" s="29" t="s">
        <v>81</v>
      </c>
      <c r="AV107" s="28">
        <f t="shared" si="168"/>
        <v>0</v>
      </c>
      <c r="AW107" s="28">
        <f t="shared" si="169"/>
        <v>0</v>
      </c>
      <c r="AX107" s="28">
        <f t="shared" si="170"/>
        <v>0</v>
      </c>
      <c r="AY107" s="29" t="s">
        <v>288</v>
      </c>
      <c r="AZ107" s="29" t="s">
        <v>182</v>
      </c>
      <c r="BA107" s="10" t="s">
        <v>60</v>
      </c>
      <c r="BC107" s="28">
        <f t="shared" si="171"/>
        <v>0</v>
      </c>
      <c r="BD107" s="28">
        <f t="shared" si="172"/>
        <v>0</v>
      </c>
      <c r="BE107" s="28">
        <v>0</v>
      </c>
      <c r="BF107" s="28">
        <f>107</f>
        <v>107</v>
      </c>
      <c r="BH107" s="28">
        <f t="shared" si="173"/>
        <v>0</v>
      </c>
      <c r="BI107" s="28">
        <f t="shared" si="174"/>
        <v>0</v>
      </c>
      <c r="BJ107" s="28">
        <f t="shared" si="175"/>
        <v>0</v>
      </c>
      <c r="BK107" s="28"/>
      <c r="BL107" s="28">
        <v>725</v>
      </c>
      <c r="BW107" s="28">
        <v>12</v>
      </c>
      <c r="BX107" s="4" t="s">
        <v>316</v>
      </c>
    </row>
    <row r="108" spans="1:76" x14ac:dyDescent="0.25">
      <c r="A108" s="30" t="s">
        <v>317</v>
      </c>
      <c r="B108" s="31" t="s">
        <v>318</v>
      </c>
      <c r="C108" s="115" t="s">
        <v>319</v>
      </c>
      <c r="D108" s="116"/>
      <c r="E108" s="31" t="s">
        <v>56</v>
      </c>
      <c r="F108" s="32">
        <v>1</v>
      </c>
      <c r="G108" s="32">
        <v>0</v>
      </c>
      <c r="H108" s="32">
        <f t="shared" si="154"/>
        <v>0</v>
      </c>
      <c r="I108" s="32">
        <f t="shared" si="155"/>
        <v>0</v>
      </c>
      <c r="J108" s="32">
        <f t="shared" si="156"/>
        <v>0</v>
      </c>
      <c r="K108" s="33" t="s">
        <v>57</v>
      </c>
      <c r="Z108" s="28">
        <f t="shared" si="157"/>
        <v>0</v>
      </c>
      <c r="AB108" s="28">
        <f t="shared" si="158"/>
        <v>0</v>
      </c>
      <c r="AC108" s="28">
        <f t="shared" si="159"/>
        <v>0</v>
      </c>
      <c r="AD108" s="28">
        <f t="shared" si="160"/>
        <v>0</v>
      </c>
      <c r="AE108" s="28">
        <f t="shared" si="161"/>
        <v>0</v>
      </c>
      <c r="AF108" s="28">
        <f t="shared" si="162"/>
        <v>0</v>
      </c>
      <c r="AG108" s="28">
        <f t="shared" si="163"/>
        <v>0</v>
      </c>
      <c r="AH108" s="28">
        <f t="shared" si="164"/>
        <v>0</v>
      </c>
      <c r="AI108" s="10" t="s">
        <v>50</v>
      </c>
      <c r="AJ108" s="28">
        <f t="shared" si="165"/>
        <v>0</v>
      </c>
      <c r="AK108" s="28">
        <f t="shared" si="166"/>
        <v>0</v>
      </c>
      <c r="AL108" s="28">
        <f t="shared" si="167"/>
        <v>0</v>
      </c>
      <c r="AN108" s="28">
        <v>12</v>
      </c>
      <c r="AO108" s="28">
        <f>G108*1</f>
        <v>0</v>
      </c>
      <c r="AP108" s="28">
        <f>G108*(1-1)</f>
        <v>0</v>
      </c>
      <c r="AQ108" s="29" t="s">
        <v>81</v>
      </c>
      <c r="AV108" s="28">
        <f t="shared" si="168"/>
        <v>0</v>
      </c>
      <c r="AW108" s="28">
        <f t="shared" si="169"/>
        <v>0</v>
      </c>
      <c r="AX108" s="28">
        <f t="shared" si="170"/>
        <v>0</v>
      </c>
      <c r="AY108" s="29" t="s">
        <v>288</v>
      </c>
      <c r="AZ108" s="29" t="s">
        <v>182</v>
      </c>
      <c r="BA108" s="10" t="s">
        <v>60</v>
      </c>
      <c r="BC108" s="28">
        <f t="shared" si="171"/>
        <v>0</v>
      </c>
      <c r="BD108" s="28">
        <f t="shared" si="172"/>
        <v>0</v>
      </c>
      <c r="BE108" s="28">
        <v>0</v>
      </c>
      <c r="BF108" s="28">
        <f>108</f>
        <v>108</v>
      </c>
      <c r="BH108" s="28">
        <f t="shared" si="173"/>
        <v>0</v>
      </c>
      <c r="BI108" s="28">
        <f t="shared" si="174"/>
        <v>0</v>
      </c>
      <c r="BJ108" s="28">
        <f t="shared" si="175"/>
        <v>0</v>
      </c>
      <c r="BK108" s="28"/>
      <c r="BL108" s="28">
        <v>725</v>
      </c>
      <c r="BW108" s="28">
        <v>12</v>
      </c>
      <c r="BX108" s="4" t="s">
        <v>319</v>
      </c>
    </row>
    <row r="109" spans="1:76" x14ac:dyDescent="0.25">
      <c r="A109" s="30" t="s">
        <v>320</v>
      </c>
      <c r="B109" s="31" t="s">
        <v>321</v>
      </c>
      <c r="C109" s="115" t="s">
        <v>322</v>
      </c>
      <c r="D109" s="116"/>
      <c r="E109" s="31" t="s">
        <v>287</v>
      </c>
      <c r="F109" s="32">
        <v>1</v>
      </c>
      <c r="G109" s="32">
        <v>0</v>
      </c>
      <c r="H109" s="32">
        <f t="shared" si="154"/>
        <v>0</v>
      </c>
      <c r="I109" s="32">
        <f t="shared" si="155"/>
        <v>0</v>
      </c>
      <c r="J109" s="32">
        <f t="shared" si="156"/>
        <v>0</v>
      </c>
      <c r="K109" s="33" t="s">
        <v>57</v>
      </c>
      <c r="Z109" s="28">
        <f t="shared" si="157"/>
        <v>0</v>
      </c>
      <c r="AB109" s="28">
        <f t="shared" si="158"/>
        <v>0</v>
      </c>
      <c r="AC109" s="28">
        <f t="shared" si="159"/>
        <v>0</v>
      </c>
      <c r="AD109" s="28">
        <f t="shared" si="160"/>
        <v>0</v>
      </c>
      <c r="AE109" s="28">
        <f t="shared" si="161"/>
        <v>0</v>
      </c>
      <c r="AF109" s="28">
        <f t="shared" si="162"/>
        <v>0</v>
      </c>
      <c r="AG109" s="28">
        <f t="shared" si="163"/>
        <v>0</v>
      </c>
      <c r="AH109" s="28">
        <f t="shared" si="164"/>
        <v>0</v>
      </c>
      <c r="AI109" s="10" t="s">
        <v>50</v>
      </c>
      <c r="AJ109" s="28">
        <f t="shared" si="165"/>
        <v>0</v>
      </c>
      <c r="AK109" s="28">
        <f t="shared" si="166"/>
        <v>0</v>
      </c>
      <c r="AL109" s="28">
        <f t="shared" si="167"/>
        <v>0</v>
      </c>
      <c r="AN109" s="28">
        <v>12</v>
      </c>
      <c r="AO109" s="28">
        <f>G109*0.91771917</f>
        <v>0</v>
      </c>
      <c r="AP109" s="28">
        <f>G109*(1-0.91771917)</f>
        <v>0</v>
      </c>
      <c r="AQ109" s="29" t="s">
        <v>81</v>
      </c>
      <c r="AV109" s="28">
        <f t="shared" si="168"/>
        <v>0</v>
      </c>
      <c r="AW109" s="28">
        <f t="shared" si="169"/>
        <v>0</v>
      </c>
      <c r="AX109" s="28">
        <f t="shared" si="170"/>
        <v>0</v>
      </c>
      <c r="AY109" s="29" t="s">
        <v>288</v>
      </c>
      <c r="AZ109" s="29" t="s">
        <v>182</v>
      </c>
      <c r="BA109" s="10" t="s">
        <v>60</v>
      </c>
      <c r="BC109" s="28">
        <f t="shared" si="171"/>
        <v>0</v>
      </c>
      <c r="BD109" s="28">
        <f t="shared" si="172"/>
        <v>0</v>
      </c>
      <c r="BE109" s="28">
        <v>0</v>
      </c>
      <c r="BF109" s="28">
        <f>109</f>
        <v>109</v>
      </c>
      <c r="BH109" s="28">
        <f t="shared" si="173"/>
        <v>0</v>
      </c>
      <c r="BI109" s="28">
        <f t="shared" si="174"/>
        <v>0</v>
      </c>
      <c r="BJ109" s="28">
        <f t="shared" si="175"/>
        <v>0</v>
      </c>
      <c r="BK109" s="28"/>
      <c r="BL109" s="28">
        <v>725</v>
      </c>
      <c r="BW109" s="28">
        <v>12</v>
      </c>
      <c r="BX109" s="4" t="s">
        <v>322</v>
      </c>
    </row>
    <row r="110" spans="1:76" x14ac:dyDescent="0.25">
      <c r="A110" s="30" t="s">
        <v>323</v>
      </c>
      <c r="B110" s="31" t="s">
        <v>324</v>
      </c>
      <c r="C110" s="115" t="s">
        <v>325</v>
      </c>
      <c r="D110" s="116"/>
      <c r="E110" s="31" t="s">
        <v>287</v>
      </c>
      <c r="F110" s="32">
        <v>1</v>
      </c>
      <c r="G110" s="32">
        <v>0</v>
      </c>
      <c r="H110" s="32">
        <f t="shared" si="154"/>
        <v>0</v>
      </c>
      <c r="I110" s="32">
        <f t="shared" si="155"/>
        <v>0</v>
      </c>
      <c r="J110" s="32">
        <f t="shared" si="156"/>
        <v>0</v>
      </c>
      <c r="K110" s="33" t="s">
        <v>57</v>
      </c>
      <c r="Z110" s="28">
        <f t="shared" si="157"/>
        <v>0</v>
      </c>
      <c r="AB110" s="28">
        <f t="shared" si="158"/>
        <v>0</v>
      </c>
      <c r="AC110" s="28">
        <f t="shared" si="159"/>
        <v>0</v>
      </c>
      <c r="AD110" s="28">
        <f t="shared" si="160"/>
        <v>0</v>
      </c>
      <c r="AE110" s="28">
        <f t="shared" si="161"/>
        <v>0</v>
      </c>
      <c r="AF110" s="28">
        <f t="shared" si="162"/>
        <v>0</v>
      </c>
      <c r="AG110" s="28">
        <f t="shared" si="163"/>
        <v>0</v>
      </c>
      <c r="AH110" s="28">
        <f t="shared" si="164"/>
        <v>0</v>
      </c>
      <c r="AI110" s="10" t="s">
        <v>50</v>
      </c>
      <c r="AJ110" s="28">
        <f t="shared" si="165"/>
        <v>0</v>
      </c>
      <c r="AK110" s="28">
        <f t="shared" si="166"/>
        <v>0</v>
      </c>
      <c r="AL110" s="28">
        <f t="shared" si="167"/>
        <v>0</v>
      </c>
      <c r="AN110" s="28">
        <v>12</v>
      </c>
      <c r="AO110" s="28">
        <f>G110*0.318425141</f>
        <v>0</v>
      </c>
      <c r="AP110" s="28">
        <f>G110*(1-0.318425141)</f>
        <v>0</v>
      </c>
      <c r="AQ110" s="29" t="s">
        <v>81</v>
      </c>
      <c r="AV110" s="28">
        <f t="shared" si="168"/>
        <v>0</v>
      </c>
      <c r="AW110" s="28">
        <f t="shared" si="169"/>
        <v>0</v>
      </c>
      <c r="AX110" s="28">
        <f t="shared" si="170"/>
        <v>0</v>
      </c>
      <c r="AY110" s="29" t="s">
        <v>288</v>
      </c>
      <c r="AZ110" s="29" t="s">
        <v>182</v>
      </c>
      <c r="BA110" s="10" t="s">
        <v>60</v>
      </c>
      <c r="BC110" s="28">
        <f t="shared" si="171"/>
        <v>0</v>
      </c>
      <c r="BD110" s="28">
        <f t="shared" si="172"/>
        <v>0</v>
      </c>
      <c r="BE110" s="28">
        <v>0</v>
      </c>
      <c r="BF110" s="28">
        <f>110</f>
        <v>110</v>
      </c>
      <c r="BH110" s="28">
        <f t="shared" si="173"/>
        <v>0</v>
      </c>
      <c r="BI110" s="28">
        <f t="shared" si="174"/>
        <v>0</v>
      </c>
      <c r="BJ110" s="28">
        <f t="shared" si="175"/>
        <v>0</v>
      </c>
      <c r="BK110" s="28"/>
      <c r="BL110" s="28">
        <v>725</v>
      </c>
      <c r="BW110" s="28">
        <v>12</v>
      </c>
      <c r="BX110" s="4" t="s">
        <v>325</v>
      </c>
    </row>
    <row r="111" spans="1:76" x14ac:dyDescent="0.25">
      <c r="A111" s="30" t="s">
        <v>326</v>
      </c>
      <c r="B111" s="31" t="s">
        <v>327</v>
      </c>
      <c r="C111" s="115" t="s">
        <v>328</v>
      </c>
      <c r="D111" s="116"/>
      <c r="E111" s="31" t="s">
        <v>56</v>
      </c>
      <c r="F111" s="32">
        <v>1</v>
      </c>
      <c r="G111" s="32">
        <v>0</v>
      </c>
      <c r="H111" s="32">
        <f t="shared" si="154"/>
        <v>0</v>
      </c>
      <c r="I111" s="32">
        <f t="shared" si="155"/>
        <v>0</v>
      </c>
      <c r="J111" s="32">
        <f t="shared" si="156"/>
        <v>0</v>
      </c>
      <c r="K111" s="33" t="s">
        <v>57</v>
      </c>
      <c r="Z111" s="28">
        <f t="shared" si="157"/>
        <v>0</v>
      </c>
      <c r="AB111" s="28">
        <f t="shared" si="158"/>
        <v>0</v>
      </c>
      <c r="AC111" s="28">
        <f t="shared" si="159"/>
        <v>0</v>
      </c>
      <c r="AD111" s="28">
        <f t="shared" si="160"/>
        <v>0</v>
      </c>
      <c r="AE111" s="28">
        <f t="shared" si="161"/>
        <v>0</v>
      </c>
      <c r="AF111" s="28">
        <f t="shared" si="162"/>
        <v>0</v>
      </c>
      <c r="AG111" s="28">
        <f t="shared" si="163"/>
        <v>0</v>
      </c>
      <c r="AH111" s="28">
        <f t="shared" si="164"/>
        <v>0</v>
      </c>
      <c r="AI111" s="10" t="s">
        <v>50</v>
      </c>
      <c r="AJ111" s="28">
        <f t="shared" si="165"/>
        <v>0</v>
      </c>
      <c r="AK111" s="28">
        <f t="shared" si="166"/>
        <v>0</v>
      </c>
      <c r="AL111" s="28">
        <f t="shared" si="167"/>
        <v>0</v>
      </c>
      <c r="AN111" s="28">
        <v>12</v>
      </c>
      <c r="AO111" s="28">
        <f>G111*1</f>
        <v>0</v>
      </c>
      <c r="AP111" s="28">
        <f>G111*(1-1)</f>
        <v>0</v>
      </c>
      <c r="AQ111" s="29" t="s">
        <v>81</v>
      </c>
      <c r="AV111" s="28">
        <f t="shared" si="168"/>
        <v>0</v>
      </c>
      <c r="AW111" s="28">
        <f t="shared" si="169"/>
        <v>0</v>
      </c>
      <c r="AX111" s="28">
        <f t="shared" si="170"/>
        <v>0</v>
      </c>
      <c r="AY111" s="29" t="s">
        <v>288</v>
      </c>
      <c r="AZ111" s="29" t="s">
        <v>182</v>
      </c>
      <c r="BA111" s="10" t="s">
        <v>60</v>
      </c>
      <c r="BC111" s="28">
        <f t="shared" si="171"/>
        <v>0</v>
      </c>
      <c r="BD111" s="28">
        <f t="shared" si="172"/>
        <v>0</v>
      </c>
      <c r="BE111" s="28">
        <v>0</v>
      </c>
      <c r="BF111" s="28">
        <f>111</f>
        <v>111</v>
      </c>
      <c r="BH111" s="28">
        <f t="shared" si="173"/>
        <v>0</v>
      </c>
      <c r="BI111" s="28">
        <f t="shared" si="174"/>
        <v>0</v>
      </c>
      <c r="BJ111" s="28">
        <f t="shared" si="175"/>
        <v>0</v>
      </c>
      <c r="BK111" s="28"/>
      <c r="BL111" s="28">
        <v>725</v>
      </c>
      <c r="BW111" s="28">
        <v>12</v>
      </c>
      <c r="BX111" s="4" t="s">
        <v>328</v>
      </c>
    </row>
    <row r="112" spans="1:76" x14ac:dyDescent="0.25">
      <c r="A112" s="30" t="s">
        <v>329</v>
      </c>
      <c r="B112" s="31" t="s">
        <v>330</v>
      </c>
      <c r="C112" s="115" t="s">
        <v>331</v>
      </c>
      <c r="D112" s="116"/>
      <c r="E112" s="31" t="s">
        <v>56</v>
      </c>
      <c r="F112" s="32">
        <v>1</v>
      </c>
      <c r="G112" s="32">
        <v>0</v>
      </c>
      <c r="H112" s="32">
        <f t="shared" si="154"/>
        <v>0</v>
      </c>
      <c r="I112" s="32">
        <f t="shared" si="155"/>
        <v>0</v>
      </c>
      <c r="J112" s="32">
        <f t="shared" si="156"/>
        <v>0</v>
      </c>
      <c r="K112" s="33" t="s">
        <v>153</v>
      </c>
      <c r="Z112" s="28">
        <f t="shared" si="157"/>
        <v>0</v>
      </c>
      <c r="AB112" s="28">
        <f t="shared" si="158"/>
        <v>0</v>
      </c>
      <c r="AC112" s="28">
        <f t="shared" si="159"/>
        <v>0</v>
      </c>
      <c r="AD112" s="28">
        <f t="shared" si="160"/>
        <v>0</v>
      </c>
      <c r="AE112" s="28">
        <f t="shared" si="161"/>
        <v>0</v>
      </c>
      <c r="AF112" s="28">
        <f t="shared" si="162"/>
        <v>0</v>
      </c>
      <c r="AG112" s="28">
        <f t="shared" si="163"/>
        <v>0</v>
      </c>
      <c r="AH112" s="28">
        <f t="shared" si="164"/>
        <v>0</v>
      </c>
      <c r="AI112" s="10" t="s">
        <v>50</v>
      </c>
      <c r="AJ112" s="28">
        <f t="shared" si="165"/>
        <v>0</v>
      </c>
      <c r="AK112" s="28">
        <f t="shared" si="166"/>
        <v>0</v>
      </c>
      <c r="AL112" s="28">
        <f t="shared" si="167"/>
        <v>0</v>
      </c>
      <c r="AN112" s="28">
        <v>12</v>
      </c>
      <c r="AO112" s="28">
        <f>G112*0.056911751</f>
        <v>0</v>
      </c>
      <c r="AP112" s="28">
        <f>G112*(1-0.056911751)</f>
        <v>0</v>
      </c>
      <c r="AQ112" s="29" t="s">
        <v>81</v>
      </c>
      <c r="AV112" s="28">
        <f t="shared" si="168"/>
        <v>0</v>
      </c>
      <c r="AW112" s="28">
        <f t="shared" si="169"/>
        <v>0</v>
      </c>
      <c r="AX112" s="28">
        <f t="shared" si="170"/>
        <v>0</v>
      </c>
      <c r="AY112" s="29" t="s">
        <v>288</v>
      </c>
      <c r="AZ112" s="29" t="s">
        <v>182</v>
      </c>
      <c r="BA112" s="10" t="s">
        <v>60</v>
      </c>
      <c r="BC112" s="28">
        <f t="shared" si="171"/>
        <v>0</v>
      </c>
      <c r="BD112" s="28">
        <f t="shared" si="172"/>
        <v>0</v>
      </c>
      <c r="BE112" s="28">
        <v>0</v>
      </c>
      <c r="BF112" s="28">
        <f>112</f>
        <v>112</v>
      </c>
      <c r="BH112" s="28">
        <f t="shared" si="173"/>
        <v>0</v>
      </c>
      <c r="BI112" s="28">
        <f t="shared" si="174"/>
        <v>0</v>
      </c>
      <c r="BJ112" s="28">
        <f t="shared" si="175"/>
        <v>0</v>
      </c>
      <c r="BK112" s="28"/>
      <c r="BL112" s="28">
        <v>725</v>
      </c>
      <c r="BW112" s="28">
        <v>12</v>
      </c>
      <c r="BX112" s="4" t="s">
        <v>331</v>
      </c>
    </row>
    <row r="113" spans="1:76" x14ac:dyDescent="0.25">
      <c r="A113" s="30" t="s">
        <v>332</v>
      </c>
      <c r="B113" s="31" t="s">
        <v>333</v>
      </c>
      <c r="C113" s="115" t="s">
        <v>334</v>
      </c>
      <c r="D113" s="116"/>
      <c r="E113" s="31" t="s">
        <v>56</v>
      </c>
      <c r="F113" s="32">
        <v>1</v>
      </c>
      <c r="G113" s="32">
        <v>0</v>
      </c>
      <c r="H113" s="32">
        <f t="shared" si="154"/>
        <v>0</v>
      </c>
      <c r="I113" s="32">
        <f t="shared" si="155"/>
        <v>0</v>
      </c>
      <c r="J113" s="32">
        <f t="shared" si="156"/>
        <v>0</v>
      </c>
      <c r="K113" s="33" t="s">
        <v>153</v>
      </c>
      <c r="Z113" s="28">
        <f t="shared" si="157"/>
        <v>0</v>
      </c>
      <c r="AB113" s="28">
        <f t="shared" si="158"/>
        <v>0</v>
      </c>
      <c r="AC113" s="28">
        <f t="shared" si="159"/>
        <v>0</v>
      </c>
      <c r="AD113" s="28">
        <f t="shared" si="160"/>
        <v>0</v>
      </c>
      <c r="AE113" s="28">
        <f t="shared" si="161"/>
        <v>0</v>
      </c>
      <c r="AF113" s="28">
        <f t="shared" si="162"/>
        <v>0</v>
      </c>
      <c r="AG113" s="28">
        <f t="shared" si="163"/>
        <v>0</v>
      </c>
      <c r="AH113" s="28">
        <f t="shared" si="164"/>
        <v>0</v>
      </c>
      <c r="AI113" s="10" t="s">
        <v>50</v>
      </c>
      <c r="AJ113" s="28">
        <f t="shared" si="165"/>
        <v>0</v>
      </c>
      <c r="AK113" s="28">
        <f t="shared" si="166"/>
        <v>0</v>
      </c>
      <c r="AL113" s="28">
        <f t="shared" si="167"/>
        <v>0</v>
      </c>
      <c r="AN113" s="28">
        <v>12</v>
      </c>
      <c r="AO113" s="28">
        <f>G113*0.052032115</f>
        <v>0</v>
      </c>
      <c r="AP113" s="28">
        <f>G113*(1-0.052032115)</f>
        <v>0</v>
      </c>
      <c r="AQ113" s="29" t="s">
        <v>81</v>
      </c>
      <c r="AV113" s="28">
        <f t="shared" si="168"/>
        <v>0</v>
      </c>
      <c r="AW113" s="28">
        <f t="shared" si="169"/>
        <v>0</v>
      </c>
      <c r="AX113" s="28">
        <f t="shared" si="170"/>
        <v>0</v>
      </c>
      <c r="AY113" s="29" t="s">
        <v>288</v>
      </c>
      <c r="AZ113" s="29" t="s">
        <v>182</v>
      </c>
      <c r="BA113" s="10" t="s">
        <v>60</v>
      </c>
      <c r="BC113" s="28">
        <f t="shared" si="171"/>
        <v>0</v>
      </c>
      <c r="BD113" s="28">
        <f t="shared" si="172"/>
        <v>0</v>
      </c>
      <c r="BE113" s="28">
        <v>0</v>
      </c>
      <c r="BF113" s="28">
        <f>113</f>
        <v>113</v>
      </c>
      <c r="BH113" s="28">
        <f t="shared" si="173"/>
        <v>0</v>
      </c>
      <c r="BI113" s="28">
        <f t="shared" si="174"/>
        <v>0</v>
      </c>
      <c r="BJ113" s="28">
        <f t="shared" si="175"/>
        <v>0</v>
      </c>
      <c r="BK113" s="28"/>
      <c r="BL113" s="28">
        <v>725</v>
      </c>
      <c r="BW113" s="28">
        <v>12</v>
      </c>
      <c r="BX113" s="4" t="s">
        <v>334</v>
      </c>
    </row>
    <row r="114" spans="1:76" x14ac:dyDescent="0.25">
      <c r="A114" s="30" t="s">
        <v>335</v>
      </c>
      <c r="B114" s="31" t="s">
        <v>336</v>
      </c>
      <c r="C114" s="115" t="s">
        <v>337</v>
      </c>
      <c r="D114" s="116"/>
      <c r="E114" s="31" t="s">
        <v>56</v>
      </c>
      <c r="F114" s="32">
        <v>1</v>
      </c>
      <c r="G114" s="32">
        <v>0</v>
      </c>
      <c r="H114" s="32">
        <f t="shared" si="154"/>
        <v>0</v>
      </c>
      <c r="I114" s="32">
        <f t="shared" si="155"/>
        <v>0</v>
      </c>
      <c r="J114" s="32">
        <f t="shared" si="156"/>
        <v>0</v>
      </c>
      <c r="K114" s="33" t="s">
        <v>57</v>
      </c>
      <c r="Z114" s="28">
        <f t="shared" si="157"/>
        <v>0</v>
      </c>
      <c r="AB114" s="28">
        <f t="shared" si="158"/>
        <v>0</v>
      </c>
      <c r="AC114" s="28">
        <f t="shared" si="159"/>
        <v>0</v>
      </c>
      <c r="AD114" s="28">
        <f t="shared" si="160"/>
        <v>0</v>
      </c>
      <c r="AE114" s="28">
        <f t="shared" si="161"/>
        <v>0</v>
      </c>
      <c r="AF114" s="28">
        <f t="shared" si="162"/>
        <v>0</v>
      </c>
      <c r="AG114" s="28">
        <f t="shared" si="163"/>
        <v>0</v>
      </c>
      <c r="AH114" s="28">
        <f t="shared" si="164"/>
        <v>0</v>
      </c>
      <c r="AI114" s="10" t="s">
        <v>50</v>
      </c>
      <c r="AJ114" s="28">
        <f t="shared" si="165"/>
        <v>0</v>
      </c>
      <c r="AK114" s="28">
        <f t="shared" si="166"/>
        <v>0</v>
      </c>
      <c r="AL114" s="28">
        <f t="shared" si="167"/>
        <v>0</v>
      </c>
      <c r="AN114" s="28">
        <v>12</v>
      </c>
      <c r="AO114" s="28">
        <f>G114*1</f>
        <v>0</v>
      </c>
      <c r="AP114" s="28">
        <f>G114*(1-1)</f>
        <v>0</v>
      </c>
      <c r="AQ114" s="29" t="s">
        <v>81</v>
      </c>
      <c r="AV114" s="28">
        <f t="shared" si="168"/>
        <v>0</v>
      </c>
      <c r="AW114" s="28">
        <f t="shared" si="169"/>
        <v>0</v>
      </c>
      <c r="AX114" s="28">
        <f t="shared" si="170"/>
        <v>0</v>
      </c>
      <c r="AY114" s="29" t="s">
        <v>288</v>
      </c>
      <c r="AZ114" s="29" t="s">
        <v>182</v>
      </c>
      <c r="BA114" s="10" t="s">
        <v>60</v>
      </c>
      <c r="BC114" s="28">
        <f t="shared" si="171"/>
        <v>0</v>
      </c>
      <c r="BD114" s="28">
        <f t="shared" si="172"/>
        <v>0</v>
      </c>
      <c r="BE114" s="28">
        <v>0</v>
      </c>
      <c r="BF114" s="28">
        <f>114</f>
        <v>114</v>
      </c>
      <c r="BH114" s="28">
        <f t="shared" si="173"/>
        <v>0</v>
      </c>
      <c r="BI114" s="28">
        <f t="shared" si="174"/>
        <v>0</v>
      </c>
      <c r="BJ114" s="28">
        <f t="shared" si="175"/>
        <v>0</v>
      </c>
      <c r="BK114" s="28"/>
      <c r="BL114" s="28">
        <v>725</v>
      </c>
      <c r="BW114" s="28">
        <v>12</v>
      </c>
      <c r="BX114" s="4" t="s">
        <v>337</v>
      </c>
    </row>
    <row r="115" spans="1:76" x14ac:dyDescent="0.25">
      <c r="A115" s="30" t="s">
        <v>338</v>
      </c>
      <c r="B115" s="31" t="s">
        <v>339</v>
      </c>
      <c r="C115" s="115" t="s">
        <v>340</v>
      </c>
      <c r="D115" s="116"/>
      <c r="E115" s="31" t="s">
        <v>56</v>
      </c>
      <c r="F115" s="32">
        <v>1</v>
      </c>
      <c r="G115" s="32">
        <v>0</v>
      </c>
      <c r="H115" s="32">
        <f t="shared" si="154"/>
        <v>0</v>
      </c>
      <c r="I115" s="32">
        <f t="shared" si="155"/>
        <v>0</v>
      </c>
      <c r="J115" s="32">
        <f t="shared" si="156"/>
        <v>0</v>
      </c>
      <c r="K115" s="33" t="s">
        <v>57</v>
      </c>
      <c r="Z115" s="28">
        <f t="shared" si="157"/>
        <v>0</v>
      </c>
      <c r="AB115" s="28">
        <f t="shared" si="158"/>
        <v>0</v>
      </c>
      <c r="AC115" s="28">
        <f t="shared" si="159"/>
        <v>0</v>
      </c>
      <c r="AD115" s="28">
        <f t="shared" si="160"/>
        <v>0</v>
      </c>
      <c r="AE115" s="28">
        <f t="shared" si="161"/>
        <v>0</v>
      </c>
      <c r="AF115" s="28">
        <f t="shared" si="162"/>
        <v>0</v>
      </c>
      <c r="AG115" s="28">
        <f t="shared" si="163"/>
        <v>0</v>
      </c>
      <c r="AH115" s="28">
        <f t="shared" si="164"/>
        <v>0</v>
      </c>
      <c r="AI115" s="10" t="s">
        <v>50</v>
      </c>
      <c r="AJ115" s="28">
        <f t="shared" si="165"/>
        <v>0</v>
      </c>
      <c r="AK115" s="28">
        <f t="shared" si="166"/>
        <v>0</v>
      </c>
      <c r="AL115" s="28">
        <f t="shared" si="167"/>
        <v>0</v>
      </c>
      <c r="AN115" s="28">
        <v>12</v>
      </c>
      <c r="AO115" s="28">
        <f>G115*1</f>
        <v>0</v>
      </c>
      <c r="AP115" s="28">
        <f>G115*(1-1)</f>
        <v>0</v>
      </c>
      <c r="AQ115" s="29" t="s">
        <v>81</v>
      </c>
      <c r="AV115" s="28">
        <f t="shared" si="168"/>
        <v>0</v>
      </c>
      <c r="AW115" s="28">
        <f t="shared" si="169"/>
        <v>0</v>
      </c>
      <c r="AX115" s="28">
        <f t="shared" si="170"/>
        <v>0</v>
      </c>
      <c r="AY115" s="29" t="s">
        <v>288</v>
      </c>
      <c r="AZ115" s="29" t="s">
        <v>182</v>
      </c>
      <c r="BA115" s="10" t="s">
        <v>60</v>
      </c>
      <c r="BC115" s="28">
        <f t="shared" si="171"/>
        <v>0</v>
      </c>
      <c r="BD115" s="28">
        <f t="shared" si="172"/>
        <v>0</v>
      </c>
      <c r="BE115" s="28">
        <v>0</v>
      </c>
      <c r="BF115" s="28">
        <f>115</f>
        <v>115</v>
      </c>
      <c r="BH115" s="28">
        <f t="shared" si="173"/>
        <v>0</v>
      </c>
      <c r="BI115" s="28">
        <f t="shared" si="174"/>
        <v>0</v>
      </c>
      <c r="BJ115" s="28">
        <f t="shared" si="175"/>
        <v>0</v>
      </c>
      <c r="BK115" s="28"/>
      <c r="BL115" s="28">
        <v>725</v>
      </c>
      <c r="BW115" s="28">
        <v>12</v>
      </c>
      <c r="BX115" s="4" t="s">
        <v>340</v>
      </c>
    </row>
    <row r="116" spans="1:76" x14ac:dyDescent="0.25">
      <c r="A116" s="30" t="s">
        <v>341</v>
      </c>
      <c r="B116" s="31" t="s">
        <v>342</v>
      </c>
      <c r="C116" s="115" t="s">
        <v>343</v>
      </c>
      <c r="D116" s="116"/>
      <c r="E116" s="31" t="s">
        <v>56</v>
      </c>
      <c r="F116" s="32">
        <v>1</v>
      </c>
      <c r="G116" s="32">
        <v>0</v>
      </c>
      <c r="H116" s="32">
        <f t="shared" si="154"/>
        <v>0</v>
      </c>
      <c r="I116" s="32">
        <f t="shared" si="155"/>
        <v>0</v>
      </c>
      <c r="J116" s="32">
        <f t="shared" si="156"/>
        <v>0</v>
      </c>
      <c r="K116" s="33" t="s">
        <v>57</v>
      </c>
      <c r="Z116" s="28">
        <f t="shared" si="157"/>
        <v>0</v>
      </c>
      <c r="AB116" s="28">
        <f t="shared" si="158"/>
        <v>0</v>
      </c>
      <c r="AC116" s="28">
        <f t="shared" si="159"/>
        <v>0</v>
      </c>
      <c r="AD116" s="28">
        <f t="shared" si="160"/>
        <v>0</v>
      </c>
      <c r="AE116" s="28">
        <f t="shared" si="161"/>
        <v>0</v>
      </c>
      <c r="AF116" s="28">
        <f t="shared" si="162"/>
        <v>0</v>
      </c>
      <c r="AG116" s="28">
        <f t="shared" si="163"/>
        <v>0</v>
      </c>
      <c r="AH116" s="28">
        <f t="shared" si="164"/>
        <v>0</v>
      </c>
      <c r="AI116" s="10" t="s">
        <v>50</v>
      </c>
      <c r="AJ116" s="28">
        <f t="shared" si="165"/>
        <v>0</v>
      </c>
      <c r="AK116" s="28">
        <f t="shared" si="166"/>
        <v>0</v>
      </c>
      <c r="AL116" s="28">
        <f t="shared" si="167"/>
        <v>0</v>
      </c>
      <c r="AN116" s="28">
        <v>12</v>
      </c>
      <c r="AO116" s="28">
        <f>G116*1</f>
        <v>0</v>
      </c>
      <c r="AP116" s="28">
        <f>G116*(1-1)</f>
        <v>0</v>
      </c>
      <c r="AQ116" s="29" t="s">
        <v>81</v>
      </c>
      <c r="AV116" s="28">
        <f t="shared" si="168"/>
        <v>0</v>
      </c>
      <c r="AW116" s="28">
        <f t="shared" si="169"/>
        <v>0</v>
      </c>
      <c r="AX116" s="28">
        <f t="shared" si="170"/>
        <v>0</v>
      </c>
      <c r="AY116" s="29" t="s">
        <v>288</v>
      </c>
      <c r="AZ116" s="29" t="s">
        <v>182</v>
      </c>
      <c r="BA116" s="10" t="s">
        <v>60</v>
      </c>
      <c r="BC116" s="28">
        <f t="shared" si="171"/>
        <v>0</v>
      </c>
      <c r="BD116" s="28">
        <f t="shared" si="172"/>
        <v>0</v>
      </c>
      <c r="BE116" s="28">
        <v>0</v>
      </c>
      <c r="BF116" s="28">
        <f>116</f>
        <v>116</v>
      </c>
      <c r="BH116" s="28">
        <f t="shared" si="173"/>
        <v>0</v>
      </c>
      <c r="BI116" s="28">
        <f t="shared" si="174"/>
        <v>0</v>
      </c>
      <c r="BJ116" s="28">
        <f t="shared" si="175"/>
        <v>0</v>
      </c>
      <c r="BK116" s="28"/>
      <c r="BL116" s="28">
        <v>725</v>
      </c>
      <c r="BW116" s="28">
        <v>12</v>
      </c>
      <c r="BX116" s="4" t="s">
        <v>343</v>
      </c>
    </row>
    <row r="117" spans="1:76" x14ac:dyDescent="0.25">
      <c r="A117" s="30" t="s">
        <v>344</v>
      </c>
      <c r="B117" s="31" t="s">
        <v>345</v>
      </c>
      <c r="C117" s="115" t="s">
        <v>346</v>
      </c>
      <c r="D117" s="116"/>
      <c r="E117" s="31" t="s">
        <v>56</v>
      </c>
      <c r="F117" s="32">
        <v>1</v>
      </c>
      <c r="G117" s="32">
        <v>0</v>
      </c>
      <c r="H117" s="32">
        <f t="shared" si="154"/>
        <v>0</v>
      </c>
      <c r="I117" s="32">
        <f t="shared" si="155"/>
        <v>0</v>
      </c>
      <c r="J117" s="32">
        <f t="shared" si="156"/>
        <v>0</v>
      </c>
      <c r="K117" s="33" t="s">
        <v>57</v>
      </c>
      <c r="Z117" s="28">
        <f t="shared" si="157"/>
        <v>0</v>
      </c>
      <c r="AB117" s="28">
        <f t="shared" si="158"/>
        <v>0</v>
      </c>
      <c r="AC117" s="28">
        <f t="shared" si="159"/>
        <v>0</v>
      </c>
      <c r="AD117" s="28">
        <f t="shared" si="160"/>
        <v>0</v>
      </c>
      <c r="AE117" s="28">
        <f t="shared" si="161"/>
        <v>0</v>
      </c>
      <c r="AF117" s="28">
        <f t="shared" si="162"/>
        <v>0</v>
      </c>
      <c r="AG117" s="28">
        <f t="shared" si="163"/>
        <v>0</v>
      </c>
      <c r="AH117" s="28">
        <f t="shared" si="164"/>
        <v>0</v>
      </c>
      <c r="AI117" s="10" t="s">
        <v>50</v>
      </c>
      <c r="AJ117" s="28">
        <f t="shared" si="165"/>
        <v>0</v>
      </c>
      <c r="AK117" s="28">
        <f t="shared" si="166"/>
        <v>0</v>
      </c>
      <c r="AL117" s="28">
        <f t="shared" si="167"/>
        <v>0</v>
      </c>
      <c r="AN117" s="28">
        <v>12</v>
      </c>
      <c r="AO117" s="28">
        <f>G117*0.249367089</f>
        <v>0</v>
      </c>
      <c r="AP117" s="28">
        <f>G117*(1-0.249367089)</f>
        <v>0</v>
      </c>
      <c r="AQ117" s="29" t="s">
        <v>81</v>
      </c>
      <c r="AV117" s="28">
        <f t="shared" si="168"/>
        <v>0</v>
      </c>
      <c r="AW117" s="28">
        <f t="shared" si="169"/>
        <v>0</v>
      </c>
      <c r="AX117" s="28">
        <f t="shared" si="170"/>
        <v>0</v>
      </c>
      <c r="AY117" s="29" t="s">
        <v>288</v>
      </c>
      <c r="AZ117" s="29" t="s">
        <v>182</v>
      </c>
      <c r="BA117" s="10" t="s">
        <v>60</v>
      </c>
      <c r="BC117" s="28">
        <f t="shared" si="171"/>
        <v>0</v>
      </c>
      <c r="BD117" s="28">
        <f t="shared" si="172"/>
        <v>0</v>
      </c>
      <c r="BE117" s="28">
        <v>0</v>
      </c>
      <c r="BF117" s="28">
        <f>117</f>
        <v>117</v>
      </c>
      <c r="BH117" s="28">
        <f t="shared" si="173"/>
        <v>0</v>
      </c>
      <c r="BI117" s="28">
        <f t="shared" si="174"/>
        <v>0</v>
      </c>
      <c r="BJ117" s="28">
        <f t="shared" si="175"/>
        <v>0</v>
      </c>
      <c r="BK117" s="28"/>
      <c r="BL117" s="28">
        <v>725</v>
      </c>
      <c r="BW117" s="28">
        <v>12</v>
      </c>
      <c r="BX117" s="4" t="s">
        <v>346</v>
      </c>
    </row>
    <row r="118" spans="1:76" x14ac:dyDescent="0.25">
      <c r="A118" s="30" t="s">
        <v>347</v>
      </c>
      <c r="B118" s="31" t="s">
        <v>348</v>
      </c>
      <c r="C118" s="115" t="s">
        <v>349</v>
      </c>
      <c r="D118" s="116"/>
      <c r="E118" s="31" t="s">
        <v>287</v>
      </c>
      <c r="F118" s="32">
        <v>1</v>
      </c>
      <c r="G118" s="32">
        <v>0</v>
      </c>
      <c r="H118" s="32">
        <f t="shared" si="154"/>
        <v>0</v>
      </c>
      <c r="I118" s="32">
        <f t="shared" si="155"/>
        <v>0</v>
      </c>
      <c r="J118" s="32">
        <f t="shared" si="156"/>
        <v>0</v>
      </c>
      <c r="K118" s="33" t="s">
        <v>57</v>
      </c>
      <c r="Z118" s="28">
        <f t="shared" si="157"/>
        <v>0</v>
      </c>
      <c r="AB118" s="28">
        <f t="shared" si="158"/>
        <v>0</v>
      </c>
      <c r="AC118" s="28">
        <f t="shared" si="159"/>
        <v>0</v>
      </c>
      <c r="AD118" s="28">
        <f t="shared" si="160"/>
        <v>0</v>
      </c>
      <c r="AE118" s="28">
        <f t="shared" si="161"/>
        <v>0</v>
      </c>
      <c r="AF118" s="28">
        <f t="shared" si="162"/>
        <v>0</v>
      </c>
      <c r="AG118" s="28">
        <f t="shared" si="163"/>
        <v>0</v>
      </c>
      <c r="AH118" s="28">
        <f t="shared" si="164"/>
        <v>0</v>
      </c>
      <c r="AI118" s="10" t="s">
        <v>50</v>
      </c>
      <c r="AJ118" s="28">
        <f t="shared" si="165"/>
        <v>0</v>
      </c>
      <c r="AK118" s="28">
        <f t="shared" si="166"/>
        <v>0</v>
      </c>
      <c r="AL118" s="28">
        <f t="shared" si="167"/>
        <v>0</v>
      </c>
      <c r="AN118" s="28">
        <v>12</v>
      </c>
      <c r="AO118" s="28">
        <f>G118*0.699327122</f>
        <v>0</v>
      </c>
      <c r="AP118" s="28">
        <f>G118*(1-0.699327122)</f>
        <v>0</v>
      </c>
      <c r="AQ118" s="29" t="s">
        <v>81</v>
      </c>
      <c r="AV118" s="28">
        <f t="shared" si="168"/>
        <v>0</v>
      </c>
      <c r="AW118" s="28">
        <f t="shared" si="169"/>
        <v>0</v>
      </c>
      <c r="AX118" s="28">
        <f t="shared" si="170"/>
        <v>0</v>
      </c>
      <c r="AY118" s="29" t="s">
        <v>288</v>
      </c>
      <c r="AZ118" s="29" t="s">
        <v>182</v>
      </c>
      <c r="BA118" s="10" t="s">
        <v>60</v>
      </c>
      <c r="BC118" s="28">
        <f t="shared" si="171"/>
        <v>0</v>
      </c>
      <c r="BD118" s="28">
        <f t="shared" si="172"/>
        <v>0</v>
      </c>
      <c r="BE118" s="28">
        <v>0</v>
      </c>
      <c r="BF118" s="28">
        <f>118</f>
        <v>118</v>
      </c>
      <c r="BH118" s="28">
        <f t="shared" si="173"/>
        <v>0</v>
      </c>
      <c r="BI118" s="28">
        <f t="shared" si="174"/>
        <v>0</v>
      </c>
      <c r="BJ118" s="28">
        <f t="shared" si="175"/>
        <v>0</v>
      </c>
      <c r="BK118" s="28"/>
      <c r="BL118" s="28">
        <v>725</v>
      </c>
      <c r="BW118" s="28">
        <v>12</v>
      </c>
      <c r="BX118" s="4" t="s">
        <v>349</v>
      </c>
    </row>
    <row r="119" spans="1:76" x14ac:dyDescent="0.25">
      <c r="A119" s="30" t="s">
        <v>350</v>
      </c>
      <c r="B119" s="31" t="s">
        <v>351</v>
      </c>
      <c r="C119" s="115" t="s">
        <v>352</v>
      </c>
      <c r="D119" s="116"/>
      <c r="E119" s="31" t="s">
        <v>56</v>
      </c>
      <c r="F119" s="32">
        <v>1</v>
      </c>
      <c r="G119" s="32">
        <v>0</v>
      </c>
      <c r="H119" s="32">
        <f t="shared" si="154"/>
        <v>0</v>
      </c>
      <c r="I119" s="32">
        <f t="shared" si="155"/>
        <v>0</v>
      </c>
      <c r="J119" s="32">
        <f t="shared" si="156"/>
        <v>0</v>
      </c>
      <c r="K119" s="33" t="s">
        <v>57</v>
      </c>
      <c r="Z119" s="28">
        <f t="shared" si="157"/>
        <v>0</v>
      </c>
      <c r="AB119" s="28">
        <f t="shared" si="158"/>
        <v>0</v>
      </c>
      <c r="AC119" s="28">
        <f t="shared" si="159"/>
        <v>0</v>
      </c>
      <c r="AD119" s="28">
        <f t="shared" si="160"/>
        <v>0</v>
      </c>
      <c r="AE119" s="28">
        <f t="shared" si="161"/>
        <v>0</v>
      </c>
      <c r="AF119" s="28">
        <f t="shared" si="162"/>
        <v>0</v>
      </c>
      <c r="AG119" s="28">
        <f t="shared" si="163"/>
        <v>0</v>
      </c>
      <c r="AH119" s="28">
        <f t="shared" si="164"/>
        <v>0</v>
      </c>
      <c r="AI119" s="10" t="s">
        <v>50</v>
      </c>
      <c r="AJ119" s="28">
        <f t="shared" si="165"/>
        <v>0</v>
      </c>
      <c r="AK119" s="28">
        <f t="shared" si="166"/>
        <v>0</v>
      </c>
      <c r="AL119" s="28">
        <f t="shared" si="167"/>
        <v>0</v>
      </c>
      <c r="AN119" s="28">
        <v>12</v>
      </c>
      <c r="AO119" s="28">
        <f>G119*1</f>
        <v>0</v>
      </c>
      <c r="AP119" s="28">
        <f>G119*(1-1)</f>
        <v>0</v>
      </c>
      <c r="AQ119" s="29" t="s">
        <v>81</v>
      </c>
      <c r="AV119" s="28">
        <f t="shared" si="168"/>
        <v>0</v>
      </c>
      <c r="AW119" s="28">
        <f t="shared" si="169"/>
        <v>0</v>
      </c>
      <c r="AX119" s="28">
        <f t="shared" si="170"/>
        <v>0</v>
      </c>
      <c r="AY119" s="29" t="s">
        <v>288</v>
      </c>
      <c r="AZ119" s="29" t="s">
        <v>182</v>
      </c>
      <c r="BA119" s="10" t="s">
        <v>60</v>
      </c>
      <c r="BC119" s="28">
        <f t="shared" si="171"/>
        <v>0</v>
      </c>
      <c r="BD119" s="28">
        <f t="shared" si="172"/>
        <v>0</v>
      </c>
      <c r="BE119" s="28">
        <v>0</v>
      </c>
      <c r="BF119" s="28">
        <f>119</f>
        <v>119</v>
      </c>
      <c r="BH119" s="28">
        <f t="shared" si="173"/>
        <v>0</v>
      </c>
      <c r="BI119" s="28">
        <f t="shared" si="174"/>
        <v>0</v>
      </c>
      <c r="BJ119" s="28">
        <f t="shared" si="175"/>
        <v>0</v>
      </c>
      <c r="BK119" s="28"/>
      <c r="BL119" s="28">
        <v>725</v>
      </c>
      <c r="BW119" s="28">
        <v>12</v>
      </c>
      <c r="BX119" s="4" t="s">
        <v>352</v>
      </c>
    </row>
    <row r="120" spans="1:76" x14ac:dyDescent="0.25">
      <c r="A120" s="30" t="s">
        <v>353</v>
      </c>
      <c r="B120" s="31" t="s">
        <v>354</v>
      </c>
      <c r="C120" s="115" t="s">
        <v>355</v>
      </c>
      <c r="D120" s="116"/>
      <c r="E120" s="31" t="s">
        <v>56</v>
      </c>
      <c r="F120" s="32">
        <v>1</v>
      </c>
      <c r="G120" s="32">
        <v>0</v>
      </c>
      <c r="H120" s="32">
        <f t="shared" si="154"/>
        <v>0</v>
      </c>
      <c r="I120" s="32">
        <f t="shared" si="155"/>
        <v>0</v>
      </c>
      <c r="J120" s="32">
        <f t="shared" si="156"/>
        <v>0</v>
      </c>
      <c r="K120" s="33" t="s">
        <v>57</v>
      </c>
      <c r="Z120" s="28">
        <f t="shared" si="157"/>
        <v>0</v>
      </c>
      <c r="AB120" s="28">
        <f t="shared" si="158"/>
        <v>0</v>
      </c>
      <c r="AC120" s="28">
        <f t="shared" si="159"/>
        <v>0</v>
      </c>
      <c r="AD120" s="28">
        <f t="shared" si="160"/>
        <v>0</v>
      </c>
      <c r="AE120" s="28">
        <f t="shared" si="161"/>
        <v>0</v>
      </c>
      <c r="AF120" s="28">
        <f t="shared" si="162"/>
        <v>0</v>
      </c>
      <c r="AG120" s="28">
        <f t="shared" si="163"/>
        <v>0</v>
      </c>
      <c r="AH120" s="28">
        <f t="shared" si="164"/>
        <v>0</v>
      </c>
      <c r="AI120" s="10" t="s">
        <v>50</v>
      </c>
      <c r="AJ120" s="28">
        <f t="shared" si="165"/>
        <v>0</v>
      </c>
      <c r="AK120" s="28">
        <f t="shared" si="166"/>
        <v>0</v>
      </c>
      <c r="AL120" s="28">
        <f t="shared" si="167"/>
        <v>0</v>
      </c>
      <c r="AN120" s="28">
        <v>12</v>
      </c>
      <c r="AO120" s="28">
        <f>G120*0.751390845</f>
        <v>0</v>
      </c>
      <c r="AP120" s="28">
        <f>G120*(1-0.751390845)</f>
        <v>0</v>
      </c>
      <c r="AQ120" s="29" t="s">
        <v>81</v>
      </c>
      <c r="AV120" s="28">
        <f t="shared" si="168"/>
        <v>0</v>
      </c>
      <c r="AW120" s="28">
        <f t="shared" si="169"/>
        <v>0</v>
      </c>
      <c r="AX120" s="28">
        <f t="shared" si="170"/>
        <v>0</v>
      </c>
      <c r="AY120" s="29" t="s">
        <v>288</v>
      </c>
      <c r="AZ120" s="29" t="s">
        <v>182</v>
      </c>
      <c r="BA120" s="10" t="s">
        <v>60</v>
      </c>
      <c r="BC120" s="28">
        <f t="shared" si="171"/>
        <v>0</v>
      </c>
      <c r="BD120" s="28">
        <f t="shared" si="172"/>
        <v>0</v>
      </c>
      <c r="BE120" s="28">
        <v>0</v>
      </c>
      <c r="BF120" s="28">
        <f>120</f>
        <v>120</v>
      </c>
      <c r="BH120" s="28">
        <f t="shared" si="173"/>
        <v>0</v>
      </c>
      <c r="BI120" s="28">
        <f t="shared" si="174"/>
        <v>0</v>
      </c>
      <c r="BJ120" s="28">
        <f t="shared" si="175"/>
        <v>0</v>
      </c>
      <c r="BK120" s="28"/>
      <c r="BL120" s="28">
        <v>725</v>
      </c>
      <c r="BW120" s="28">
        <v>12</v>
      </c>
      <c r="BX120" s="4" t="s">
        <v>355</v>
      </c>
    </row>
    <row r="121" spans="1:76" x14ac:dyDescent="0.25">
      <c r="A121" s="30" t="s">
        <v>356</v>
      </c>
      <c r="B121" s="31" t="s">
        <v>357</v>
      </c>
      <c r="C121" s="115" t="s">
        <v>358</v>
      </c>
      <c r="D121" s="116"/>
      <c r="E121" s="31" t="s">
        <v>287</v>
      </c>
      <c r="F121" s="32">
        <v>1</v>
      </c>
      <c r="G121" s="32">
        <v>0</v>
      </c>
      <c r="H121" s="32">
        <f t="shared" si="154"/>
        <v>0</v>
      </c>
      <c r="I121" s="32">
        <f t="shared" si="155"/>
        <v>0</v>
      </c>
      <c r="J121" s="32">
        <f t="shared" si="156"/>
        <v>0</v>
      </c>
      <c r="K121" s="33" t="s">
        <v>57</v>
      </c>
      <c r="Z121" s="28">
        <f t="shared" si="157"/>
        <v>0</v>
      </c>
      <c r="AB121" s="28">
        <f t="shared" si="158"/>
        <v>0</v>
      </c>
      <c r="AC121" s="28">
        <f t="shared" si="159"/>
        <v>0</v>
      </c>
      <c r="AD121" s="28">
        <f t="shared" si="160"/>
        <v>0</v>
      </c>
      <c r="AE121" s="28">
        <f t="shared" si="161"/>
        <v>0</v>
      </c>
      <c r="AF121" s="28">
        <f t="shared" si="162"/>
        <v>0</v>
      </c>
      <c r="AG121" s="28">
        <f t="shared" si="163"/>
        <v>0</v>
      </c>
      <c r="AH121" s="28">
        <f t="shared" si="164"/>
        <v>0</v>
      </c>
      <c r="AI121" s="10" t="s">
        <v>50</v>
      </c>
      <c r="AJ121" s="28">
        <f t="shared" si="165"/>
        <v>0</v>
      </c>
      <c r="AK121" s="28">
        <f t="shared" si="166"/>
        <v>0</v>
      </c>
      <c r="AL121" s="28">
        <f t="shared" si="167"/>
        <v>0</v>
      </c>
      <c r="AN121" s="28">
        <v>12</v>
      </c>
      <c r="AO121" s="28">
        <f>G121*0.658377356</f>
        <v>0</v>
      </c>
      <c r="AP121" s="28">
        <f>G121*(1-0.658377356)</f>
        <v>0</v>
      </c>
      <c r="AQ121" s="29" t="s">
        <v>81</v>
      </c>
      <c r="AV121" s="28">
        <f t="shared" si="168"/>
        <v>0</v>
      </c>
      <c r="AW121" s="28">
        <f t="shared" si="169"/>
        <v>0</v>
      </c>
      <c r="AX121" s="28">
        <f t="shared" si="170"/>
        <v>0</v>
      </c>
      <c r="AY121" s="29" t="s">
        <v>288</v>
      </c>
      <c r="AZ121" s="29" t="s">
        <v>182</v>
      </c>
      <c r="BA121" s="10" t="s">
        <v>60</v>
      </c>
      <c r="BC121" s="28">
        <f t="shared" si="171"/>
        <v>0</v>
      </c>
      <c r="BD121" s="28">
        <f t="shared" si="172"/>
        <v>0</v>
      </c>
      <c r="BE121" s="28">
        <v>0</v>
      </c>
      <c r="BF121" s="28">
        <f>121</f>
        <v>121</v>
      </c>
      <c r="BH121" s="28">
        <f t="shared" si="173"/>
        <v>0</v>
      </c>
      <c r="BI121" s="28">
        <f t="shared" si="174"/>
        <v>0</v>
      </c>
      <c r="BJ121" s="28">
        <f t="shared" si="175"/>
        <v>0</v>
      </c>
      <c r="BK121" s="28"/>
      <c r="BL121" s="28">
        <v>725</v>
      </c>
      <c r="BW121" s="28">
        <v>12</v>
      </c>
      <c r="BX121" s="4" t="s">
        <v>358</v>
      </c>
    </row>
    <row r="122" spans="1:76" x14ac:dyDescent="0.25">
      <c r="A122" s="30" t="s">
        <v>359</v>
      </c>
      <c r="B122" s="31" t="s">
        <v>360</v>
      </c>
      <c r="C122" s="115" t="s">
        <v>361</v>
      </c>
      <c r="D122" s="116"/>
      <c r="E122" s="31" t="s">
        <v>64</v>
      </c>
      <c r="F122" s="32">
        <v>1</v>
      </c>
      <c r="G122" s="32">
        <v>0</v>
      </c>
      <c r="H122" s="32">
        <f t="shared" si="154"/>
        <v>0</v>
      </c>
      <c r="I122" s="32">
        <f t="shared" si="155"/>
        <v>0</v>
      </c>
      <c r="J122" s="32">
        <f t="shared" si="156"/>
        <v>0</v>
      </c>
      <c r="K122" s="33" t="s">
        <v>57</v>
      </c>
      <c r="Z122" s="28">
        <f t="shared" si="157"/>
        <v>0</v>
      </c>
      <c r="AB122" s="28">
        <f t="shared" si="158"/>
        <v>0</v>
      </c>
      <c r="AC122" s="28">
        <f t="shared" si="159"/>
        <v>0</v>
      </c>
      <c r="AD122" s="28">
        <f t="shared" si="160"/>
        <v>0</v>
      </c>
      <c r="AE122" s="28">
        <f t="shared" si="161"/>
        <v>0</v>
      </c>
      <c r="AF122" s="28">
        <f t="shared" si="162"/>
        <v>0</v>
      </c>
      <c r="AG122" s="28">
        <f t="shared" si="163"/>
        <v>0</v>
      </c>
      <c r="AH122" s="28">
        <f t="shared" si="164"/>
        <v>0</v>
      </c>
      <c r="AI122" s="10" t="s">
        <v>50</v>
      </c>
      <c r="AJ122" s="28">
        <f t="shared" si="165"/>
        <v>0</v>
      </c>
      <c r="AK122" s="28">
        <f t="shared" si="166"/>
        <v>0</v>
      </c>
      <c r="AL122" s="28">
        <f t="shared" si="167"/>
        <v>0</v>
      </c>
      <c r="AN122" s="28">
        <v>12</v>
      </c>
      <c r="AO122" s="28">
        <f>G122*0.006680912</f>
        <v>0</v>
      </c>
      <c r="AP122" s="28">
        <f>G122*(1-0.006680912)</f>
        <v>0</v>
      </c>
      <c r="AQ122" s="29" t="s">
        <v>81</v>
      </c>
      <c r="AV122" s="28">
        <f t="shared" si="168"/>
        <v>0</v>
      </c>
      <c r="AW122" s="28">
        <f t="shared" si="169"/>
        <v>0</v>
      </c>
      <c r="AX122" s="28">
        <f t="shared" si="170"/>
        <v>0</v>
      </c>
      <c r="AY122" s="29" t="s">
        <v>288</v>
      </c>
      <c r="AZ122" s="29" t="s">
        <v>182</v>
      </c>
      <c r="BA122" s="10" t="s">
        <v>60</v>
      </c>
      <c r="BC122" s="28">
        <f t="shared" si="171"/>
        <v>0</v>
      </c>
      <c r="BD122" s="28">
        <f t="shared" si="172"/>
        <v>0</v>
      </c>
      <c r="BE122" s="28">
        <v>0</v>
      </c>
      <c r="BF122" s="28">
        <f>122</f>
        <v>122</v>
      </c>
      <c r="BH122" s="28">
        <f t="shared" si="173"/>
        <v>0</v>
      </c>
      <c r="BI122" s="28">
        <f t="shared" si="174"/>
        <v>0</v>
      </c>
      <c r="BJ122" s="28">
        <f t="shared" si="175"/>
        <v>0</v>
      </c>
      <c r="BK122" s="28"/>
      <c r="BL122" s="28">
        <v>725</v>
      </c>
      <c r="BW122" s="28">
        <v>12</v>
      </c>
      <c r="BX122" s="4" t="s">
        <v>361</v>
      </c>
    </row>
    <row r="123" spans="1:76" x14ac:dyDescent="0.25">
      <c r="A123" s="30" t="s">
        <v>362</v>
      </c>
      <c r="B123" s="31" t="s">
        <v>363</v>
      </c>
      <c r="C123" s="115" t="s">
        <v>364</v>
      </c>
      <c r="D123" s="116"/>
      <c r="E123" s="31" t="s">
        <v>56</v>
      </c>
      <c r="F123" s="32">
        <v>1</v>
      </c>
      <c r="G123" s="32">
        <v>0</v>
      </c>
      <c r="H123" s="32">
        <f t="shared" si="154"/>
        <v>0</v>
      </c>
      <c r="I123" s="32">
        <f t="shared" si="155"/>
        <v>0</v>
      </c>
      <c r="J123" s="32">
        <f t="shared" si="156"/>
        <v>0</v>
      </c>
      <c r="K123" s="33" t="s">
        <v>57</v>
      </c>
      <c r="Z123" s="28">
        <f t="shared" si="157"/>
        <v>0</v>
      </c>
      <c r="AB123" s="28">
        <f t="shared" si="158"/>
        <v>0</v>
      </c>
      <c r="AC123" s="28">
        <f t="shared" si="159"/>
        <v>0</v>
      </c>
      <c r="AD123" s="28">
        <f t="shared" si="160"/>
        <v>0</v>
      </c>
      <c r="AE123" s="28">
        <f t="shared" si="161"/>
        <v>0</v>
      </c>
      <c r="AF123" s="28">
        <f t="shared" si="162"/>
        <v>0</v>
      </c>
      <c r="AG123" s="28">
        <f t="shared" si="163"/>
        <v>0</v>
      </c>
      <c r="AH123" s="28">
        <f t="shared" si="164"/>
        <v>0</v>
      </c>
      <c r="AI123" s="10" t="s">
        <v>50</v>
      </c>
      <c r="AJ123" s="28">
        <f t="shared" si="165"/>
        <v>0</v>
      </c>
      <c r="AK123" s="28">
        <f t="shared" si="166"/>
        <v>0</v>
      </c>
      <c r="AL123" s="28">
        <f t="shared" si="167"/>
        <v>0</v>
      </c>
      <c r="AN123" s="28">
        <v>12</v>
      </c>
      <c r="AO123" s="28">
        <f>G123*0.018457576</f>
        <v>0</v>
      </c>
      <c r="AP123" s="28">
        <f>G123*(1-0.018457576)</f>
        <v>0</v>
      </c>
      <c r="AQ123" s="29" t="s">
        <v>81</v>
      </c>
      <c r="AV123" s="28">
        <f t="shared" si="168"/>
        <v>0</v>
      </c>
      <c r="AW123" s="28">
        <f t="shared" si="169"/>
        <v>0</v>
      </c>
      <c r="AX123" s="28">
        <f t="shared" si="170"/>
        <v>0</v>
      </c>
      <c r="AY123" s="29" t="s">
        <v>288</v>
      </c>
      <c r="AZ123" s="29" t="s">
        <v>182</v>
      </c>
      <c r="BA123" s="10" t="s">
        <v>60</v>
      </c>
      <c r="BC123" s="28">
        <f t="shared" si="171"/>
        <v>0</v>
      </c>
      <c r="BD123" s="28">
        <f t="shared" si="172"/>
        <v>0</v>
      </c>
      <c r="BE123" s="28">
        <v>0</v>
      </c>
      <c r="BF123" s="28">
        <f>123</f>
        <v>123</v>
      </c>
      <c r="BH123" s="28">
        <f t="shared" si="173"/>
        <v>0</v>
      </c>
      <c r="BI123" s="28">
        <f t="shared" si="174"/>
        <v>0</v>
      </c>
      <c r="BJ123" s="28">
        <f t="shared" si="175"/>
        <v>0</v>
      </c>
      <c r="BK123" s="28"/>
      <c r="BL123" s="28">
        <v>725</v>
      </c>
      <c r="BW123" s="28">
        <v>12</v>
      </c>
      <c r="BX123" s="4" t="s">
        <v>364</v>
      </c>
    </row>
    <row r="124" spans="1:76" x14ac:dyDescent="0.25">
      <c r="A124" s="30" t="s">
        <v>365</v>
      </c>
      <c r="B124" s="31" t="s">
        <v>366</v>
      </c>
      <c r="C124" s="115" t="s">
        <v>367</v>
      </c>
      <c r="D124" s="116"/>
      <c r="E124" s="31" t="s">
        <v>56</v>
      </c>
      <c r="F124" s="32">
        <v>1</v>
      </c>
      <c r="G124" s="32">
        <v>0</v>
      </c>
      <c r="H124" s="32">
        <f t="shared" si="154"/>
        <v>0</v>
      </c>
      <c r="I124" s="32">
        <f t="shared" si="155"/>
        <v>0</v>
      </c>
      <c r="J124" s="32">
        <f t="shared" si="156"/>
        <v>0</v>
      </c>
      <c r="K124" s="33" t="s">
        <v>57</v>
      </c>
      <c r="Z124" s="28">
        <f t="shared" si="157"/>
        <v>0</v>
      </c>
      <c r="AB124" s="28">
        <f t="shared" si="158"/>
        <v>0</v>
      </c>
      <c r="AC124" s="28">
        <f t="shared" si="159"/>
        <v>0</v>
      </c>
      <c r="AD124" s="28">
        <f t="shared" si="160"/>
        <v>0</v>
      </c>
      <c r="AE124" s="28">
        <f t="shared" si="161"/>
        <v>0</v>
      </c>
      <c r="AF124" s="28">
        <f t="shared" si="162"/>
        <v>0</v>
      </c>
      <c r="AG124" s="28">
        <f t="shared" si="163"/>
        <v>0</v>
      </c>
      <c r="AH124" s="28">
        <f t="shared" si="164"/>
        <v>0</v>
      </c>
      <c r="AI124" s="10" t="s">
        <v>50</v>
      </c>
      <c r="AJ124" s="28">
        <f t="shared" si="165"/>
        <v>0</v>
      </c>
      <c r="AK124" s="28">
        <f t="shared" si="166"/>
        <v>0</v>
      </c>
      <c r="AL124" s="28">
        <f t="shared" si="167"/>
        <v>0</v>
      </c>
      <c r="AN124" s="28">
        <v>12</v>
      </c>
      <c r="AO124" s="28">
        <f>G124*0.313376414</f>
        <v>0</v>
      </c>
      <c r="AP124" s="28">
        <f>G124*(1-0.313376414)</f>
        <v>0</v>
      </c>
      <c r="AQ124" s="29" t="s">
        <v>81</v>
      </c>
      <c r="AV124" s="28">
        <f t="shared" si="168"/>
        <v>0</v>
      </c>
      <c r="AW124" s="28">
        <f t="shared" si="169"/>
        <v>0</v>
      </c>
      <c r="AX124" s="28">
        <f t="shared" si="170"/>
        <v>0</v>
      </c>
      <c r="AY124" s="29" t="s">
        <v>288</v>
      </c>
      <c r="AZ124" s="29" t="s">
        <v>182</v>
      </c>
      <c r="BA124" s="10" t="s">
        <v>60</v>
      </c>
      <c r="BC124" s="28">
        <f t="shared" si="171"/>
        <v>0</v>
      </c>
      <c r="BD124" s="28">
        <f t="shared" si="172"/>
        <v>0</v>
      </c>
      <c r="BE124" s="28">
        <v>0</v>
      </c>
      <c r="BF124" s="28">
        <f>124</f>
        <v>124</v>
      </c>
      <c r="BH124" s="28">
        <f t="shared" si="173"/>
        <v>0</v>
      </c>
      <c r="BI124" s="28">
        <f t="shared" si="174"/>
        <v>0</v>
      </c>
      <c r="BJ124" s="28">
        <f t="shared" si="175"/>
        <v>0</v>
      </c>
      <c r="BK124" s="28"/>
      <c r="BL124" s="28">
        <v>725</v>
      </c>
      <c r="BW124" s="28">
        <v>12</v>
      </c>
      <c r="BX124" s="4" t="s">
        <v>367</v>
      </c>
    </row>
    <row r="125" spans="1:76" x14ac:dyDescent="0.25">
      <c r="A125" s="30" t="s">
        <v>368</v>
      </c>
      <c r="B125" s="31" t="s">
        <v>369</v>
      </c>
      <c r="C125" s="115" t="s">
        <v>370</v>
      </c>
      <c r="D125" s="116"/>
      <c r="E125" s="31" t="s">
        <v>56</v>
      </c>
      <c r="F125" s="32">
        <v>1</v>
      </c>
      <c r="G125" s="32">
        <v>0</v>
      </c>
      <c r="H125" s="32">
        <f t="shared" si="154"/>
        <v>0</v>
      </c>
      <c r="I125" s="32">
        <f t="shared" si="155"/>
        <v>0</v>
      </c>
      <c r="J125" s="32">
        <f t="shared" si="156"/>
        <v>0</v>
      </c>
      <c r="K125" s="33" t="s">
        <v>57</v>
      </c>
      <c r="Z125" s="28">
        <f t="shared" si="157"/>
        <v>0</v>
      </c>
      <c r="AB125" s="28">
        <f t="shared" si="158"/>
        <v>0</v>
      </c>
      <c r="AC125" s="28">
        <f t="shared" si="159"/>
        <v>0</v>
      </c>
      <c r="AD125" s="28">
        <f t="shared" si="160"/>
        <v>0</v>
      </c>
      <c r="AE125" s="28">
        <f t="shared" si="161"/>
        <v>0</v>
      </c>
      <c r="AF125" s="28">
        <f t="shared" si="162"/>
        <v>0</v>
      </c>
      <c r="AG125" s="28">
        <f t="shared" si="163"/>
        <v>0</v>
      </c>
      <c r="AH125" s="28">
        <f t="shared" si="164"/>
        <v>0</v>
      </c>
      <c r="AI125" s="10" t="s">
        <v>50</v>
      </c>
      <c r="AJ125" s="28">
        <f t="shared" si="165"/>
        <v>0</v>
      </c>
      <c r="AK125" s="28">
        <f t="shared" si="166"/>
        <v>0</v>
      </c>
      <c r="AL125" s="28">
        <f t="shared" si="167"/>
        <v>0</v>
      </c>
      <c r="AN125" s="28">
        <v>12</v>
      </c>
      <c r="AO125" s="28">
        <f>G125*0.93900216</f>
        <v>0</v>
      </c>
      <c r="AP125" s="28">
        <f>G125*(1-0.93900216)</f>
        <v>0</v>
      </c>
      <c r="AQ125" s="29" t="s">
        <v>81</v>
      </c>
      <c r="AV125" s="28">
        <f t="shared" si="168"/>
        <v>0</v>
      </c>
      <c r="AW125" s="28">
        <f t="shared" si="169"/>
        <v>0</v>
      </c>
      <c r="AX125" s="28">
        <f t="shared" si="170"/>
        <v>0</v>
      </c>
      <c r="AY125" s="29" t="s">
        <v>288</v>
      </c>
      <c r="AZ125" s="29" t="s">
        <v>182</v>
      </c>
      <c r="BA125" s="10" t="s">
        <v>60</v>
      </c>
      <c r="BC125" s="28">
        <f t="shared" si="171"/>
        <v>0</v>
      </c>
      <c r="BD125" s="28">
        <f t="shared" si="172"/>
        <v>0</v>
      </c>
      <c r="BE125" s="28">
        <v>0</v>
      </c>
      <c r="BF125" s="28">
        <f>125</f>
        <v>125</v>
      </c>
      <c r="BH125" s="28">
        <f t="shared" si="173"/>
        <v>0</v>
      </c>
      <c r="BI125" s="28">
        <f t="shared" si="174"/>
        <v>0</v>
      </c>
      <c r="BJ125" s="28">
        <f t="shared" si="175"/>
        <v>0</v>
      </c>
      <c r="BK125" s="28"/>
      <c r="BL125" s="28">
        <v>725</v>
      </c>
      <c r="BW125" s="28">
        <v>12</v>
      </c>
      <c r="BX125" s="4" t="s">
        <v>370</v>
      </c>
    </row>
    <row r="126" spans="1:76" ht="13.5" customHeight="1" x14ac:dyDescent="0.25">
      <c r="A126" s="34"/>
      <c r="B126" s="35" t="s">
        <v>65</v>
      </c>
      <c r="C126" s="117" t="s">
        <v>371</v>
      </c>
      <c r="D126" s="118"/>
      <c r="E126" s="118"/>
      <c r="F126" s="118"/>
      <c r="G126" s="118"/>
      <c r="H126" s="118"/>
      <c r="I126" s="118"/>
      <c r="J126" s="118"/>
      <c r="K126" s="119"/>
    </row>
    <row r="127" spans="1:76" x14ac:dyDescent="0.25">
      <c r="A127" s="24" t="s">
        <v>372</v>
      </c>
      <c r="B127" s="25" t="s">
        <v>373</v>
      </c>
      <c r="C127" s="113" t="s">
        <v>374</v>
      </c>
      <c r="D127" s="114"/>
      <c r="E127" s="25" t="s">
        <v>56</v>
      </c>
      <c r="F127" s="26">
        <v>2</v>
      </c>
      <c r="G127" s="26">
        <v>0</v>
      </c>
      <c r="H127" s="26">
        <f>F127*AO127</f>
        <v>0</v>
      </c>
      <c r="I127" s="26">
        <f>F127*AP127</f>
        <v>0</v>
      </c>
      <c r="J127" s="26">
        <f>F127*G127</f>
        <v>0</v>
      </c>
      <c r="K127" s="27" t="s">
        <v>57</v>
      </c>
      <c r="Z127" s="28">
        <f>IF(AQ127="5",BJ127,0)</f>
        <v>0</v>
      </c>
      <c r="AB127" s="28">
        <f>IF(AQ127="1",BH127,0)</f>
        <v>0</v>
      </c>
      <c r="AC127" s="28">
        <f>IF(AQ127="1",BI127,0)</f>
        <v>0</v>
      </c>
      <c r="AD127" s="28">
        <f>IF(AQ127="7",BH127,0)</f>
        <v>0</v>
      </c>
      <c r="AE127" s="28">
        <f>IF(AQ127="7",BI127,0)</f>
        <v>0</v>
      </c>
      <c r="AF127" s="28">
        <f>IF(AQ127="2",BH127,0)</f>
        <v>0</v>
      </c>
      <c r="AG127" s="28">
        <f>IF(AQ127="2",BI127,0)</f>
        <v>0</v>
      </c>
      <c r="AH127" s="28">
        <f>IF(AQ127="0",BJ127,0)</f>
        <v>0</v>
      </c>
      <c r="AI127" s="10" t="s">
        <v>50</v>
      </c>
      <c r="AJ127" s="28">
        <f>IF(AN127=0,J127,0)</f>
        <v>0</v>
      </c>
      <c r="AK127" s="28">
        <f>IF(AN127=12,J127,0)</f>
        <v>0</v>
      </c>
      <c r="AL127" s="28">
        <f>IF(AN127=21,J127,0)</f>
        <v>0</v>
      </c>
      <c r="AN127" s="28">
        <v>12</v>
      </c>
      <c r="AO127" s="28">
        <f>G127*0.968896476</f>
        <v>0</v>
      </c>
      <c r="AP127" s="28">
        <f>G127*(1-0.968896476)</f>
        <v>0</v>
      </c>
      <c r="AQ127" s="29" t="s">
        <v>81</v>
      </c>
      <c r="AV127" s="28">
        <f>AW127+AX127</f>
        <v>0</v>
      </c>
      <c r="AW127" s="28">
        <f>F127*AO127</f>
        <v>0</v>
      </c>
      <c r="AX127" s="28">
        <f>F127*AP127</f>
        <v>0</v>
      </c>
      <c r="AY127" s="29" t="s">
        <v>288</v>
      </c>
      <c r="AZ127" s="29" t="s">
        <v>182</v>
      </c>
      <c r="BA127" s="10" t="s">
        <v>60</v>
      </c>
      <c r="BC127" s="28">
        <f>AW127+AX127</f>
        <v>0</v>
      </c>
      <c r="BD127" s="28">
        <f>G127/(100-BE127)*100</f>
        <v>0</v>
      </c>
      <c r="BE127" s="28">
        <v>0</v>
      </c>
      <c r="BF127" s="28">
        <f>127</f>
        <v>127</v>
      </c>
      <c r="BH127" s="28">
        <f>F127*AO127</f>
        <v>0</v>
      </c>
      <c r="BI127" s="28">
        <f>F127*AP127</f>
        <v>0</v>
      </c>
      <c r="BJ127" s="28">
        <f>F127*G127</f>
        <v>0</v>
      </c>
      <c r="BK127" s="28"/>
      <c r="BL127" s="28">
        <v>725</v>
      </c>
      <c r="BW127" s="28">
        <v>12</v>
      </c>
      <c r="BX127" s="4" t="s">
        <v>374</v>
      </c>
    </row>
    <row r="128" spans="1:76" x14ac:dyDescent="0.25">
      <c r="A128" s="30" t="s">
        <v>375</v>
      </c>
      <c r="B128" s="31" t="s">
        <v>376</v>
      </c>
      <c r="C128" s="115" t="s">
        <v>377</v>
      </c>
      <c r="D128" s="116"/>
      <c r="E128" s="31" t="s">
        <v>87</v>
      </c>
      <c r="F128" s="32">
        <v>0.31995000000000001</v>
      </c>
      <c r="G128" s="32">
        <v>0</v>
      </c>
      <c r="H128" s="32">
        <f>F128*AO128</f>
        <v>0</v>
      </c>
      <c r="I128" s="32">
        <f>F128*AP128</f>
        <v>0</v>
      </c>
      <c r="J128" s="32">
        <f>F128*G128</f>
        <v>0</v>
      </c>
      <c r="K128" s="33" t="s">
        <v>57</v>
      </c>
      <c r="Z128" s="28">
        <f>IF(AQ128="5",BJ128,0)</f>
        <v>0</v>
      </c>
      <c r="AB128" s="28">
        <f>IF(AQ128="1",BH128,0)</f>
        <v>0</v>
      </c>
      <c r="AC128" s="28">
        <f>IF(AQ128="1",BI128,0)</f>
        <v>0</v>
      </c>
      <c r="AD128" s="28">
        <f>IF(AQ128="7",BH128,0)</f>
        <v>0</v>
      </c>
      <c r="AE128" s="28">
        <f>IF(AQ128="7",BI128,0)</f>
        <v>0</v>
      </c>
      <c r="AF128" s="28">
        <f>IF(AQ128="2",BH128,0)</f>
        <v>0</v>
      </c>
      <c r="AG128" s="28">
        <f>IF(AQ128="2",BI128,0)</f>
        <v>0</v>
      </c>
      <c r="AH128" s="28">
        <f>IF(AQ128="0",BJ128,0)</f>
        <v>0</v>
      </c>
      <c r="AI128" s="10" t="s">
        <v>50</v>
      </c>
      <c r="AJ128" s="28">
        <f>IF(AN128=0,J128,0)</f>
        <v>0</v>
      </c>
      <c r="AK128" s="28">
        <f>IF(AN128=12,J128,0)</f>
        <v>0</v>
      </c>
      <c r="AL128" s="28">
        <f>IF(AN128=21,J128,0)</f>
        <v>0</v>
      </c>
      <c r="AN128" s="28">
        <v>12</v>
      </c>
      <c r="AO128" s="28">
        <f>G128*0</f>
        <v>0</v>
      </c>
      <c r="AP128" s="28">
        <f>G128*(1-0)</f>
        <v>0</v>
      </c>
      <c r="AQ128" s="29" t="s">
        <v>74</v>
      </c>
      <c r="AV128" s="28">
        <f>AW128+AX128</f>
        <v>0</v>
      </c>
      <c r="AW128" s="28">
        <f>F128*AO128</f>
        <v>0</v>
      </c>
      <c r="AX128" s="28">
        <f>F128*AP128</f>
        <v>0</v>
      </c>
      <c r="AY128" s="29" t="s">
        <v>288</v>
      </c>
      <c r="AZ128" s="29" t="s">
        <v>182</v>
      </c>
      <c r="BA128" s="10" t="s">
        <v>60</v>
      </c>
      <c r="BC128" s="28">
        <f>AW128+AX128</f>
        <v>0</v>
      </c>
      <c r="BD128" s="28">
        <f>G128/(100-BE128)*100</f>
        <v>0</v>
      </c>
      <c r="BE128" s="28">
        <v>0</v>
      </c>
      <c r="BF128" s="28">
        <f>128</f>
        <v>128</v>
      </c>
      <c r="BH128" s="28">
        <f>F128*AO128</f>
        <v>0</v>
      </c>
      <c r="BI128" s="28">
        <f>F128*AP128</f>
        <v>0</v>
      </c>
      <c r="BJ128" s="28">
        <f>F128*G128</f>
        <v>0</v>
      </c>
      <c r="BK128" s="28"/>
      <c r="BL128" s="28">
        <v>725</v>
      </c>
      <c r="BW128" s="28">
        <v>12</v>
      </c>
      <c r="BX128" s="4" t="s">
        <v>377</v>
      </c>
    </row>
    <row r="129" spans="1:76" x14ac:dyDescent="0.25">
      <c r="A129" s="36" t="s">
        <v>50</v>
      </c>
      <c r="B129" s="37" t="s">
        <v>378</v>
      </c>
      <c r="C129" s="120" t="s">
        <v>379</v>
      </c>
      <c r="D129" s="121"/>
      <c r="E129" s="38" t="s">
        <v>4</v>
      </c>
      <c r="F129" s="38" t="s">
        <v>4</v>
      </c>
      <c r="G129" s="38" t="s">
        <v>4</v>
      </c>
      <c r="H129" s="39">
        <f>SUM(H130:H142)</f>
        <v>0</v>
      </c>
      <c r="I129" s="39">
        <f>SUM(I130:I142)</f>
        <v>0</v>
      </c>
      <c r="J129" s="39">
        <f>SUM(J130:J142)</f>
        <v>0</v>
      </c>
      <c r="K129" s="40" t="s">
        <v>50</v>
      </c>
      <c r="AI129" s="10" t="s">
        <v>50</v>
      </c>
      <c r="AS129" s="1">
        <f>SUM(AJ130:AJ142)</f>
        <v>0</v>
      </c>
      <c r="AT129" s="1">
        <f>SUM(AK130:AK142)</f>
        <v>0</v>
      </c>
      <c r="AU129" s="1">
        <f>SUM(AL130:AL142)</f>
        <v>0</v>
      </c>
    </row>
    <row r="130" spans="1:76" x14ac:dyDescent="0.25">
      <c r="A130" s="24" t="s">
        <v>380</v>
      </c>
      <c r="B130" s="25" t="s">
        <v>381</v>
      </c>
      <c r="C130" s="113" t="s">
        <v>382</v>
      </c>
      <c r="D130" s="114"/>
      <c r="E130" s="25" t="s">
        <v>56</v>
      </c>
      <c r="F130" s="26">
        <v>1</v>
      </c>
      <c r="G130" s="26">
        <v>0</v>
      </c>
      <c r="H130" s="26">
        <f>F130*AO130</f>
        <v>0</v>
      </c>
      <c r="I130" s="26">
        <f>F130*AP130</f>
        <v>0</v>
      </c>
      <c r="J130" s="26">
        <f>F130*G130</f>
        <v>0</v>
      </c>
      <c r="K130" s="27" t="s">
        <v>57</v>
      </c>
      <c r="Z130" s="28">
        <f>IF(AQ130="5",BJ130,0)</f>
        <v>0</v>
      </c>
      <c r="AB130" s="28">
        <f>IF(AQ130="1",BH130,0)</f>
        <v>0</v>
      </c>
      <c r="AC130" s="28">
        <f>IF(AQ130="1",BI130,0)</f>
        <v>0</v>
      </c>
      <c r="AD130" s="28">
        <f>IF(AQ130="7",BH130,0)</f>
        <v>0</v>
      </c>
      <c r="AE130" s="28">
        <f>IF(AQ130="7",BI130,0)</f>
        <v>0</v>
      </c>
      <c r="AF130" s="28">
        <f>IF(AQ130="2",BH130,0)</f>
        <v>0</v>
      </c>
      <c r="AG130" s="28">
        <f>IF(AQ130="2",BI130,0)</f>
        <v>0</v>
      </c>
      <c r="AH130" s="28">
        <f>IF(AQ130="0",BJ130,0)</f>
        <v>0</v>
      </c>
      <c r="AI130" s="10" t="s">
        <v>50</v>
      </c>
      <c r="AJ130" s="28">
        <f>IF(AN130=0,J130,0)</f>
        <v>0</v>
      </c>
      <c r="AK130" s="28">
        <f>IF(AN130=12,J130,0)</f>
        <v>0</v>
      </c>
      <c r="AL130" s="28">
        <f>IF(AN130=21,J130,0)</f>
        <v>0</v>
      </c>
      <c r="AN130" s="28">
        <v>12</v>
      </c>
      <c r="AO130" s="28">
        <f>G130*0</f>
        <v>0</v>
      </c>
      <c r="AP130" s="28">
        <f>G130*(1-0)</f>
        <v>0</v>
      </c>
      <c r="AQ130" s="29" t="s">
        <v>81</v>
      </c>
      <c r="AV130" s="28">
        <f>AW130+AX130</f>
        <v>0</v>
      </c>
      <c r="AW130" s="28">
        <f>F130*AO130</f>
        <v>0</v>
      </c>
      <c r="AX130" s="28">
        <f>F130*AP130</f>
        <v>0</v>
      </c>
      <c r="AY130" s="29" t="s">
        <v>383</v>
      </c>
      <c r="AZ130" s="29" t="s">
        <v>182</v>
      </c>
      <c r="BA130" s="10" t="s">
        <v>60</v>
      </c>
      <c r="BC130" s="28">
        <f>AW130+AX130</f>
        <v>0</v>
      </c>
      <c r="BD130" s="28">
        <f>G130/(100-BE130)*100</f>
        <v>0</v>
      </c>
      <c r="BE130" s="28">
        <v>0</v>
      </c>
      <c r="BF130" s="28">
        <f>130</f>
        <v>130</v>
      </c>
      <c r="BH130" s="28">
        <f>F130*AO130</f>
        <v>0</v>
      </c>
      <c r="BI130" s="28">
        <f>F130*AP130</f>
        <v>0</v>
      </c>
      <c r="BJ130" s="28">
        <f>F130*G130</f>
        <v>0</v>
      </c>
      <c r="BK130" s="28"/>
      <c r="BL130" s="28">
        <v>728</v>
      </c>
      <c r="BW130" s="28">
        <v>12</v>
      </c>
      <c r="BX130" s="4" t="s">
        <v>382</v>
      </c>
    </row>
    <row r="131" spans="1:76" x14ac:dyDescent="0.25">
      <c r="A131" s="30" t="s">
        <v>384</v>
      </c>
      <c r="B131" s="31" t="s">
        <v>385</v>
      </c>
      <c r="C131" s="115" t="s">
        <v>386</v>
      </c>
      <c r="D131" s="116"/>
      <c r="E131" s="31" t="s">
        <v>56</v>
      </c>
      <c r="F131" s="32">
        <v>2</v>
      </c>
      <c r="G131" s="32">
        <v>0</v>
      </c>
      <c r="H131" s="32">
        <f>F131*AO131</f>
        <v>0</v>
      </c>
      <c r="I131" s="32">
        <f>F131*AP131</f>
        <v>0</v>
      </c>
      <c r="J131" s="32">
        <f>F131*G131</f>
        <v>0</v>
      </c>
      <c r="K131" s="33" t="s">
        <v>57</v>
      </c>
      <c r="Z131" s="28">
        <f>IF(AQ131="5",BJ131,0)</f>
        <v>0</v>
      </c>
      <c r="AB131" s="28">
        <f>IF(AQ131="1",BH131,0)</f>
        <v>0</v>
      </c>
      <c r="AC131" s="28">
        <f>IF(AQ131="1",BI131,0)</f>
        <v>0</v>
      </c>
      <c r="AD131" s="28">
        <f>IF(AQ131="7",BH131,0)</f>
        <v>0</v>
      </c>
      <c r="AE131" s="28">
        <f>IF(AQ131="7",BI131,0)</f>
        <v>0</v>
      </c>
      <c r="AF131" s="28">
        <f>IF(AQ131="2",BH131,0)</f>
        <v>0</v>
      </c>
      <c r="AG131" s="28">
        <f>IF(AQ131="2",BI131,0)</f>
        <v>0</v>
      </c>
      <c r="AH131" s="28">
        <f>IF(AQ131="0",BJ131,0)</f>
        <v>0</v>
      </c>
      <c r="AI131" s="10" t="s">
        <v>50</v>
      </c>
      <c r="AJ131" s="28">
        <f>IF(AN131=0,J131,0)</f>
        <v>0</v>
      </c>
      <c r="AK131" s="28">
        <f>IF(AN131=12,J131,0)</f>
        <v>0</v>
      </c>
      <c r="AL131" s="28">
        <f>IF(AN131=21,J131,0)</f>
        <v>0</v>
      </c>
      <c r="AN131" s="28">
        <v>12</v>
      </c>
      <c r="AO131" s="28">
        <f>G131*0</f>
        <v>0</v>
      </c>
      <c r="AP131" s="28">
        <f>G131*(1-0)</f>
        <v>0</v>
      </c>
      <c r="AQ131" s="29" t="s">
        <v>61</v>
      </c>
      <c r="AV131" s="28">
        <f>AW131+AX131</f>
        <v>0</v>
      </c>
      <c r="AW131" s="28">
        <f>F131*AO131</f>
        <v>0</v>
      </c>
      <c r="AX131" s="28">
        <f>F131*AP131</f>
        <v>0</v>
      </c>
      <c r="AY131" s="29" t="s">
        <v>383</v>
      </c>
      <c r="AZ131" s="29" t="s">
        <v>182</v>
      </c>
      <c r="BA131" s="10" t="s">
        <v>60</v>
      </c>
      <c r="BC131" s="28">
        <f>AW131+AX131</f>
        <v>0</v>
      </c>
      <c r="BD131" s="28">
        <f>G131/(100-BE131)*100</f>
        <v>0</v>
      </c>
      <c r="BE131" s="28">
        <v>0</v>
      </c>
      <c r="BF131" s="28">
        <f>131</f>
        <v>131</v>
      </c>
      <c r="BH131" s="28">
        <f>F131*AO131</f>
        <v>0</v>
      </c>
      <c r="BI131" s="28">
        <f>F131*AP131</f>
        <v>0</v>
      </c>
      <c r="BJ131" s="28">
        <f>F131*G131</f>
        <v>0</v>
      </c>
      <c r="BK131" s="28"/>
      <c r="BL131" s="28">
        <v>728</v>
      </c>
      <c r="BW131" s="28">
        <v>12</v>
      </c>
      <c r="BX131" s="4" t="s">
        <v>386</v>
      </c>
    </row>
    <row r="132" spans="1:76" x14ac:dyDescent="0.25">
      <c r="A132" s="30" t="s">
        <v>387</v>
      </c>
      <c r="B132" s="31" t="s">
        <v>184</v>
      </c>
      <c r="C132" s="115" t="s">
        <v>388</v>
      </c>
      <c r="D132" s="116"/>
      <c r="E132" s="31" t="s">
        <v>77</v>
      </c>
      <c r="F132" s="32">
        <v>8</v>
      </c>
      <c r="G132" s="32">
        <v>0</v>
      </c>
      <c r="H132" s="32">
        <f>F132*AO132</f>
        <v>0</v>
      </c>
      <c r="I132" s="32">
        <f>F132*AP132</f>
        <v>0</v>
      </c>
      <c r="J132" s="32">
        <f>F132*G132</f>
        <v>0</v>
      </c>
      <c r="K132" s="33" t="s">
        <v>57</v>
      </c>
      <c r="Z132" s="28">
        <f>IF(AQ132="5",BJ132,0)</f>
        <v>0</v>
      </c>
      <c r="AB132" s="28">
        <f>IF(AQ132="1",BH132,0)</f>
        <v>0</v>
      </c>
      <c r="AC132" s="28">
        <f>IF(AQ132="1",BI132,0)</f>
        <v>0</v>
      </c>
      <c r="AD132" s="28">
        <f>IF(AQ132="7",BH132,0)</f>
        <v>0</v>
      </c>
      <c r="AE132" s="28">
        <f>IF(AQ132="7",BI132,0)</f>
        <v>0</v>
      </c>
      <c r="AF132" s="28">
        <f>IF(AQ132="2",BH132,0)</f>
        <v>0</v>
      </c>
      <c r="AG132" s="28">
        <f>IF(AQ132="2",BI132,0)</f>
        <v>0</v>
      </c>
      <c r="AH132" s="28">
        <f>IF(AQ132="0",BJ132,0)</f>
        <v>0</v>
      </c>
      <c r="AI132" s="10" t="s">
        <v>50</v>
      </c>
      <c r="AJ132" s="28">
        <f>IF(AN132=0,J132,0)</f>
        <v>0</v>
      </c>
      <c r="AK132" s="28">
        <f>IF(AN132=12,J132,0)</f>
        <v>0</v>
      </c>
      <c r="AL132" s="28">
        <f>IF(AN132=21,J132,0)</f>
        <v>0</v>
      </c>
      <c r="AN132" s="28">
        <v>12</v>
      </c>
      <c r="AO132" s="28">
        <f>G132*0.317436677</f>
        <v>0</v>
      </c>
      <c r="AP132" s="28">
        <f>G132*(1-0.317436677)</f>
        <v>0</v>
      </c>
      <c r="AQ132" s="29" t="s">
        <v>81</v>
      </c>
      <c r="AV132" s="28">
        <f>AW132+AX132</f>
        <v>0</v>
      </c>
      <c r="AW132" s="28">
        <f>F132*AO132</f>
        <v>0</v>
      </c>
      <c r="AX132" s="28">
        <f>F132*AP132</f>
        <v>0</v>
      </c>
      <c r="AY132" s="29" t="s">
        <v>383</v>
      </c>
      <c r="AZ132" s="29" t="s">
        <v>182</v>
      </c>
      <c r="BA132" s="10" t="s">
        <v>60</v>
      </c>
      <c r="BC132" s="28">
        <f>AW132+AX132</f>
        <v>0</v>
      </c>
      <c r="BD132" s="28">
        <f>G132/(100-BE132)*100</f>
        <v>0</v>
      </c>
      <c r="BE132" s="28">
        <v>0</v>
      </c>
      <c r="BF132" s="28">
        <f>132</f>
        <v>132</v>
      </c>
      <c r="BH132" s="28">
        <f>F132*AO132</f>
        <v>0</v>
      </c>
      <c r="BI132" s="28">
        <f>F132*AP132</f>
        <v>0</v>
      </c>
      <c r="BJ132" s="28">
        <f>F132*G132</f>
        <v>0</v>
      </c>
      <c r="BK132" s="28"/>
      <c r="BL132" s="28">
        <v>728</v>
      </c>
      <c r="BW132" s="28">
        <v>12</v>
      </c>
      <c r="BX132" s="4" t="s">
        <v>388</v>
      </c>
    </row>
    <row r="133" spans="1:76" x14ac:dyDescent="0.25">
      <c r="A133" s="30" t="s">
        <v>389</v>
      </c>
      <c r="B133" s="31" t="s">
        <v>390</v>
      </c>
      <c r="C133" s="115" t="s">
        <v>391</v>
      </c>
      <c r="D133" s="116"/>
      <c r="E133" s="31" t="s">
        <v>64</v>
      </c>
      <c r="F133" s="32">
        <v>8</v>
      </c>
      <c r="G133" s="32">
        <v>0</v>
      </c>
      <c r="H133" s="32">
        <f>F133*AO133</f>
        <v>0</v>
      </c>
      <c r="I133" s="32">
        <f>F133*AP133</f>
        <v>0</v>
      </c>
      <c r="J133" s="32">
        <f>F133*G133</f>
        <v>0</v>
      </c>
      <c r="K133" s="33" t="s">
        <v>57</v>
      </c>
      <c r="Z133" s="28">
        <f>IF(AQ133="5",BJ133,0)</f>
        <v>0</v>
      </c>
      <c r="AB133" s="28">
        <f>IF(AQ133="1",BH133,0)</f>
        <v>0</v>
      </c>
      <c r="AC133" s="28">
        <f>IF(AQ133="1",BI133,0)</f>
        <v>0</v>
      </c>
      <c r="AD133" s="28">
        <f>IF(AQ133="7",BH133,0)</f>
        <v>0</v>
      </c>
      <c r="AE133" s="28">
        <f>IF(AQ133="7",BI133,0)</f>
        <v>0</v>
      </c>
      <c r="AF133" s="28">
        <f>IF(AQ133="2",BH133,0)</f>
        <v>0</v>
      </c>
      <c r="AG133" s="28">
        <f>IF(AQ133="2",BI133,0)</f>
        <v>0</v>
      </c>
      <c r="AH133" s="28">
        <f>IF(AQ133="0",BJ133,0)</f>
        <v>0</v>
      </c>
      <c r="AI133" s="10" t="s">
        <v>50</v>
      </c>
      <c r="AJ133" s="28">
        <f>IF(AN133=0,J133,0)</f>
        <v>0</v>
      </c>
      <c r="AK133" s="28">
        <f>IF(AN133=12,J133,0)</f>
        <v>0</v>
      </c>
      <c r="AL133" s="28">
        <f>IF(AN133=21,J133,0)</f>
        <v>0</v>
      </c>
      <c r="AN133" s="28">
        <v>12</v>
      </c>
      <c r="AO133" s="28">
        <f>G133*0.008166667</f>
        <v>0</v>
      </c>
      <c r="AP133" s="28">
        <f>G133*(1-0.008166667)</f>
        <v>0</v>
      </c>
      <c r="AQ133" s="29" t="s">
        <v>81</v>
      </c>
      <c r="AV133" s="28">
        <f>AW133+AX133</f>
        <v>0</v>
      </c>
      <c r="AW133" s="28">
        <f>F133*AO133</f>
        <v>0</v>
      </c>
      <c r="AX133" s="28">
        <f>F133*AP133</f>
        <v>0</v>
      </c>
      <c r="AY133" s="29" t="s">
        <v>383</v>
      </c>
      <c r="AZ133" s="29" t="s">
        <v>182</v>
      </c>
      <c r="BA133" s="10" t="s">
        <v>60</v>
      </c>
      <c r="BC133" s="28">
        <f>AW133+AX133</f>
        <v>0</v>
      </c>
      <c r="BD133" s="28">
        <f>G133/(100-BE133)*100</f>
        <v>0</v>
      </c>
      <c r="BE133" s="28">
        <v>0</v>
      </c>
      <c r="BF133" s="28">
        <f>133</f>
        <v>133</v>
      </c>
      <c r="BH133" s="28">
        <f>F133*AO133</f>
        <v>0</v>
      </c>
      <c r="BI133" s="28">
        <f>F133*AP133</f>
        <v>0</v>
      </c>
      <c r="BJ133" s="28">
        <f>F133*G133</f>
        <v>0</v>
      </c>
      <c r="BK133" s="28"/>
      <c r="BL133" s="28">
        <v>728</v>
      </c>
      <c r="BW133" s="28">
        <v>12</v>
      </c>
      <c r="BX133" s="4" t="s">
        <v>391</v>
      </c>
    </row>
    <row r="134" spans="1:76" ht="13.5" customHeight="1" x14ac:dyDescent="0.25">
      <c r="A134" s="34"/>
      <c r="B134" s="35" t="s">
        <v>65</v>
      </c>
      <c r="C134" s="117" t="s">
        <v>392</v>
      </c>
      <c r="D134" s="118"/>
      <c r="E134" s="118"/>
      <c r="F134" s="118"/>
      <c r="G134" s="118"/>
      <c r="H134" s="118"/>
      <c r="I134" s="118"/>
      <c r="J134" s="118"/>
      <c r="K134" s="119"/>
    </row>
    <row r="135" spans="1:76" x14ac:dyDescent="0.25">
      <c r="A135" s="24" t="s">
        <v>393</v>
      </c>
      <c r="B135" s="25" t="s">
        <v>394</v>
      </c>
      <c r="C135" s="113" t="s">
        <v>395</v>
      </c>
      <c r="D135" s="114"/>
      <c r="E135" s="25" t="s">
        <v>77</v>
      </c>
      <c r="F135" s="26">
        <v>3.5</v>
      </c>
      <c r="G135" s="26">
        <v>0</v>
      </c>
      <c r="H135" s="26">
        <f t="shared" ref="H135:H142" si="176">F135*AO135</f>
        <v>0</v>
      </c>
      <c r="I135" s="26">
        <f t="shared" ref="I135:I142" si="177">F135*AP135</f>
        <v>0</v>
      </c>
      <c r="J135" s="26">
        <f t="shared" ref="J135:J142" si="178">F135*G135</f>
        <v>0</v>
      </c>
      <c r="K135" s="27" t="s">
        <v>57</v>
      </c>
      <c r="Z135" s="28">
        <f t="shared" ref="Z135:Z142" si="179">IF(AQ135="5",BJ135,0)</f>
        <v>0</v>
      </c>
      <c r="AB135" s="28">
        <f t="shared" ref="AB135:AB142" si="180">IF(AQ135="1",BH135,0)</f>
        <v>0</v>
      </c>
      <c r="AC135" s="28">
        <f t="shared" ref="AC135:AC142" si="181">IF(AQ135="1",BI135,0)</f>
        <v>0</v>
      </c>
      <c r="AD135" s="28">
        <f t="shared" ref="AD135:AD142" si="182">IF(AQ135="7",BH135,0)</f>
        <v>0</v>
      </c>
      <c r="AE135" s="28">
        <f t="shared" ref="AE135:AE142" si="183">IF(AQ135="7",BI135,0)</f>
        <v>0</v>
      </c>
      <c r="AF135" s="28">
        <f t="shared" ref="AF135:AF142" si="184">IF(AQ135="2",BH135,0)</f>
        <v>0</v>
      </c>
      <c r="AG135" s="28">
        <f t="shared" ref="AG135:AG142" si="185">IF(AQ135="2",BI135,0)</f>
        <v>0</v>
      </c>
      <c r="AH135" s="28">
        <f t="shared" ref="AH135:AH142" si="186">IF(AQ135="0",BJ135,0)</f>
        <v>0</v>
      </c>
      <c r="AI135" s="10" t="s">
        <v>50</v>
      </c>
      <c r="AJ135" s="28">
        <f t="shared" ref="AJ135:AJ142" si="187">IF(AN135=0,J135,0)</f>
        <v>0</v>
      </c>
      <c r="AK135" s="28">
        <f t="shared" ref="AK135:AK142" si="188">IF(AN135=12,J135,0)</f>
        <v>0</v>
      </c>
      <c r="AL135" s="28">
        <f t="shared" ref="AL135:AL142" si="189">IF(AN135=21,J135,0)</f>
        <v>0</v>
      </c>
      <c r="AN135" s="28">
        <v>12</v>
      </c>
      <c r="AO135" s="28">
        <f>G135*0.389767442</f>
        <v>0</v>
      </c>
      <c r="AP135" s="28">
        <f>G135*(1-0.389767442)</f>
        <v>0</v>
      </c>
      <c r="AQ135" s="29" t="s">
        <v>81</v>
      </c>
      <c r="AV135" s="28">
        <f t="shared" ref="AV135:AV142" si="190">AW135+AX135</f>
        <v>0</v>
      </c>
      <c r="AW135" s="28">
        <f t="shared" ref="AW135:AW142" si="191">F135*AO135</f>
        <v>0</v>
      </c>
      <c r="AX135" s="28">
        <f t="shared" ref="AX135:AX142" si="192">F135*AP135</f>
        <v>0</v>
      </c>
      <c r="AY135" s="29" t="s">
        <v>383</v>
      </c>
      <c r="AZ135" s="29" t="s">
        <v>182</v>
      </c>
      <c r="BA135" s="10" t="s">
        <v>60</v>
      </c>
      <c r="BC135" s="28">
        <f t="shared" ref="BC135:BC142" si="193">AW135+AX135</f>
        <v>0</v>
      </c>
      <c r="BD135" s="28">
        <f t="shared" ref="BD135:BD142" si="194">G135/(100-BE135)*100</f>
        <v>0</v>
      </c>
      <c r="BE135" s="28">
        <v>0</v>
      </c>
      <c r="BF135" s="28">
        <f>135</f>
        <v>135</v>
      </c>
      <c r="BH135" s="28">
        <f t="shared" ref="BH135:BH142" si="195">F135*AO135</f>
        <v>0</v>
      </c>
      <c r="BI135" s="28">
        <f t="shared" ref="BI135:BI142" si="196">F135*AP135</f>
        <v>0</v>
      </c>
      <c r="BJ135" s="28">
        <f t="shared" ref="BJ135:BJ142" si="197">F135*G135</f>
        <v>0</v>
      </c>
      <c r="BK135" s="28"/>
      <c r="BL135" s="28">
        <v>728</v>
      </c>
      <c r="BW135" s="28">
        <v>12</v>
      </c>
      <c r="BX135" s="4" t="s">
        <v>395</v>
      </c>
    </row>
    <row r="136" spans="1:76" x14ac:dyDescent="0.25">
      <c r="A136" s="30" t="s">
        <v>396</v>
      </c>
      <c r="B136" s="31" t="s">
        <v>397</v>
      </c>
      <c r="C136" s="115" t="s">
        <v>398</v>
      </c>
      <c r="D136" s="116"/>
      <c r="E136" s="31" t="s">
        <v>56</v>
      </c>
      <c r="F136" s="32">
        <v>1</v>
      </c>
      <c r="G136" s="32">
        <v>0</v>
      </c>
      <c r="H136" s="32">
        <f t="shared" si="176"/>
        <v>0</v>
      </c>
      <c r="I136" s="32">
        <f t="shared" si="177"/>
        <v>0</v>
      </c>
      <c r="J136" s="32">
        <f t="shared" si="178"/>
        <v>0</v>
      </c>
      <c r="K136" s="33" t="s">
        <v>57</v>
      </c>
      <c r="Z136" s="28">
        <f t="shared" si="179"/>
        <v>0</v>
      </c>
      <c r="AB136" s="28">
        <f t="shared" si="180"/>
        <v>0</v>
      </c>
      <c r="AC136" s="28">
        <f t="shared" si="181"/>
        <v>0</v>
      </c>
      <c r="AD136" s="28">
        <f t="shared" si="182"/>
        <v>0</v>
      </c>
      <c r="AE136" s="28">
        <f t="shared" si="183"/>
        <v>0</v>
      </c>
      <c r="AF136" s="28">
        <f t="shared" si="184"/>
        <v>0</v>
      </c>
      <c r="AG136" s="28">
        <f t="shared" si="185"/>
        <v>0</v>
      </c>
      <c r="AH136" s="28">
        <f t="shared" si="186"/>
        <v>0</v>
      </c>
      <c r="AI136" s="10" t="s">
        <v>50</v>
      </c>
      <c r="AJ136" s="28">
        <f t="shared" si="187"/>
        <v>0</v>
      </c>
      <c r="AK136" s="28">
        <f t="shared" si="188"/>
        <v>0</v>
      </c>
      <c r="AL136" s="28">
        <f t="shared" si="189"/>
        <v>0</v>
      </c>
      <c r="AN136" s="28">
        <v>12</v>
      </c>
      <c r="AO136" s="28">
        <f>G136*0</f>
        <v>0</v>
      </c>
      <c r="AP136" s="28">
        <f>G136*(1-0)</f>
        <v>0</v>
      </c>
      <c r="AQ136" s="29" t="s">
        <v>81</v>
      </c>
      <c r="AV136" s="28">
        <f t="shared" si="190"/>
        <v>0</v>
      </c>
      <c r="AW136" s="28">
        <f t="shared" si="191"/>
        <v>0</v>
      </c>
      <c r="AX136" s="28">
        <f t="shared" si="192"/>
        <v>0</v>
      </c>
      <c r="AY136" s="29" t="s">
        <v>383</v>
      </c>
      <c r="AZ136" s="29" t="s">
        <v>182</v>
      </c>
      <c r="BA136" s="10" t="s">
        <v>60</v>
      </c>
      <c r="BC136" s="28">
        <f t="shared" si="193"/>
        <v>0</v>
      </c>
      <c r="BD136" s="28">
        <f t="shared" si="194"/>
        <v>0</v>
      </c>
      <c r="BE136" s="28">
        <v>0</v>
      </c>
      <c r="BF136" s="28">
        <f>136</f>
        <v>136</v>
      </c>
      <c r="BH136" s="28">
        <f t="shared" si="195"/>
        <v>0</v>
      </c>
      <c r="BI136" s="28">
        <f t="shared" si="196"/>
        <v>0</v>
      </c>
      <c r="BJ136" s="28">
        <f t="shared" si="197"/>
        <v>0</v>
      </c>
      <c r="BK136" s="28"/>
      <c r="BL136" s="28">
        <v>728</v>
      </c>
      <c r="BW136" s="28">
        <v>12</v>
      </c>
      <c r="BX136" s="4" t="s">
        <v>398</v>
      </c>
    </row>
    <row r="137" spans="1:76" x14ac:dyDescent="0.25">
      <c r="A137" s="30" t="s">
        <v>399</v>
      </c>
      <c r="B137" s="31" t="s">
        <v>400</v>
      </c>
      <c r="C137" s="115" t="s">
        <v>401</v>
      </c>
      <c r="D137" s="116"/>
      <c r="E137" s="31" t="s">
        <v>56</v>
      </c>
      <c r="F137" s="32">
        <v>1</v>
      </c>
      <c r="G137" s="32">
        <v>0</v>
      </c>
      <c r="H137" s="32">
        <f t="shared" si="176"/>
        <v>0</v>
      </c>
      <c r="I137" s="32">
        <f t="shared" si="177"/>
        <v>0</v>
      </c>
      <c r="J137" s="32">
        <f t="shared" si="178"/>
        <v>0</v>
      </c>
      <c r="K137" s="33" t="s">
        <v>57</v>
      </c>
      <c r="Z137" s="28">
        <f t="shared" si="179"/>
        <v>0</v>
      </c>
      <c r="AB137" s="28">
        <f t="shared" si="180"/>
        <v>0</v>
      </c>
      <c r="AC137" s="28">
        <f t="shared" si="181"/>
        <v>0</v>
      </c>
      <c r="AD137" s="28">
        <f t="shared" si="182"/>
        <v>0</v>
      </c>
      <c r="AE137" s="28">
        <f t="shared" si="183"/>
        <v>0</v>
      </c>
      <c r="AF137" s="28">
        <f t="shared" si="184"/>
        <v>0</v>
      </c>
      <c r="AG137" s="28">
        <f t="shared" si="185"/>
        <v>0</v>
      </c>
      <c r="AH137" s="28">
        <f t="shared" si="186"/>
        <v>0</v>
      </c>
      <c r="AI137" s="10" t="s">
        <v>50</v>
      </c>
      <c r="AJ137" s="28">
        <f t="shared" si="187"/>
        <v>0</v>
      </c>
      <c r="AK137" s="28">
        <f t="shared" si="188"/>
        <v>0</v>
      </c>
      <c r="AL137" s="28">
        <f t="shared" si="189"/>
        <v>0</v>
      </c>
      <c r="AN137" s="28">
        <v>12</v>
      </c>
      <c r="AO137" s="28">
        <f>G137*1</f>
        <v>0</v>
      </c>
      <c r="AP137" s="28">
        <f>G137*(1-1)</f>
        <v>0</v>
      </c>
      <c r="AQ137" s="29" t="s">
        <v>81</v>
      </c>
      <c r="AV137" s="28">
        <f t="shared" si="190"/>
        <v>0</v>
      </c>
      <c r="AW137" s="28">
        <f t="shared" si="191"/>
        <v>0</v>
      </c>
      <c r="AX137" s="28">
        <f t="shared" si="192"/>
        <v>0</v>
      </c>
      <c r="AY137" s="29" t="s">
        <v>383</v>
      </c>
      <c r="AZ137" s="29" t="s">
        <v>182</v>
      </c>
      <c r="BA137" s="10" t="s">
        <v>60</v>
      </c>
      <c r="BC137" s="28">
        <f t="shared" si="193"/>
        <v>0</v>
      </c>
      <c r="BD137" s="28">
        <f t="shared" si="194"/>
        <v>0</v>
      </c>
      <c r="BE137" s="28">
        <v>0</v>
      </c>
      <c r="BF137" s="28">
        <f>137</f>
        <v>137</v>
      </c>
      <c r="BH137" s="28">
        <f t="shared" si="195"/>
        <v>0</v>
      </c>
      <c r="BI137" s="28">
        <f t="shared" si="196"/>
        <v>0</v>
      </c>
      <c r="BJ137" s="28">
        <f t="shared" si="197"/>
        <v>0</v>
      </c>
      <c r="BK137" s="28"/>
      <c r="BL137" s="28">
        <v>728</v>
      </c>
      <c r="BW137" s="28">
        <v>12</v>
      </c>
      <c r="BX137" s="4" t="s">
        <v>401</v>
      </c>
    </row>
    <row r="138" spans="1:76" x14ac:dyDescent="0.25">
      <c r="A138" s="30" t="s">
        <v>402</v>
      </c>
      <c r="B138" s="31" t="s">
        <v>403</v>
      </c>
      <c r="C138" s="115" t="s">
        <v>404</v>
      </c>
      <c r="D138" s="116"/>
      <c r="E138" s="31" t="s">
        <v>56</v>
      </c>
      <c r="F138" s="32">
        <v>1</v>
      </c>
      <c r="G138" s="32">
        <v>0</v>
      </c>
      <c r="H138" s="32">
        <f t="shared" si="176"/>
        <v>0</v>
      </c>
      <c r="I138" s="32">
        <f t="shared" si="177"/>
        <v>0</v>
      </c>
      <c r="J138" s="32">
        <f t="shared" si="178"/>
        <v>0</v>
      </c>
      <c r="K138" s="33" t="s">
        <v>57</v>
      </c>
      <c r="Z138" s="28">
        <f t="shared" si="179"/>
        <v>0</v>
      </c>
      <c r="AB138" s="28">
        <f t="shared" si="180"/>
        <v>0</v>
      </c>
      <c r="AC138" s="28">
        <f t="shared" si="181"/>
        <v>0</v>
      </c>
      <c r="AD138" s="28">
        <f t="shared" si="182"/>
        <v>0</v>
      </c>
      <c r="AE138" s="28">
        <f t="shared" si="183"/>
        <v>0</v>
      </c>
      <c r="AF138" s="28">
        <f t="shared" si="184"/>
        <v>0</v>
      </c>
      <c r="AG138" s="28">
        <f t="shared" si="185"/>
        <v>0</v>
      </c>
      <c r="AH138" s="28">
        <f t="shared" si="186"/>
        <v>0</v>
      </c>
      <c r="AI138" s="10" t="s">
        <v>50</v>
      </c>
      <c r="AJ138" s="28">
        <f t="shared" si="187"/>
        <v>0</v>
      </c>
      <c r="AK138" s="28">
        <f t="shared" si="188"/>
        <v>0</v>
      </c>
      <c r="AL138" s="28">
        <f t="shared" si="189"/>
        <v>0</v>
      </c>
      <c r="AN138" s="28">
        <v>12</v>
      </c>
      <c r="AO138" s="28">
        <f>G138*0</f>
        <v>0</v>
      </c>
      <c r="AP138" s="28">
        <f>G138*(1-0)</f>
        <v>0</v>
      </c>
      <c r="AQ138" s="29" t="s">
        <v>81</v>
      </c>
      <c r="AV138" s="28">
        <f t="shared" si="190"/>
        <v>0</v>
      </c>
      <c r="AW138" s="28">
        <f t="shared" si="191"/>
        <v>0</v>
      </c>
      <c r="AX138" s="28">
        <f t="shared" si="192"/>
        <v>0</v>
      </c>
      <c r="AY138" s="29" t="s">
        <v>383</v>
      </c>
      <c r="AZ138" s="29" t="s">
        <v>182</v>
      </c>
      <c r="BA138" s="10" t="s">
        <v>60</v>
      </c>
      <c r="BC138" s="28">
        <f t="shared" si="193"/>
        <v>0</v>
      </c>
      <c r="BD138" s="28">
        <f t="shared" si="194"/>
        <v>0</v>
      </c>
      <c r="BE138" s="28">
        <v>0</v>
      </c>
      <c r="BF138" s="28">
        <f>138</f>
        <v>138</v>
      </c>
      <c r="BH138" s="28">
        <f t="shared" si="195"/>
        <v>0</v>
      </c>
      <c r="BI138" s="28">
        <f t="shared" si="196"/>
        <v>0</v>
      </c>
      <c r="BJ138" s="28">
        <f t="shared" si="197"/>
        <v>0</v>
      </c>
      <c r="BK138" s="28"/>
      <c r="BL138" s="28">
        <v>728</v>
      </c>
      <c r="BW138" s="28">
        <v>12</v>
      </c>
      <c r="BX138" s="4" t="s">
        <v>404</v>
      </c>
    </row>
    <row r="139" spans="1:76" x14ac:dyDescent="0.25">
      <c r="A139" s="30" t="s">
        <v>405</v>
      </c>
      <c r="B139" s="31" t="s">
        <v>406</v>
      </c>
      <c r="C139" s="115" t="s">
        <v>407</v>
      </c>
      <c r="D139" s="116"/>
      <c r="E139" s="31" t="s">
        <v>56</v>
      </c>
      <c r="F139" s="32">
        <v>1</v>
      </c>
      <c r="G139" s="32">
        <v>0</v>
      </c>
      <c r="H139" s="32">
        <f t="shared" si="176"/>
        <v>0</v>
      </c>
      <c r="I139" s="32">
        <f t="shared" si="177"/>
        <v>0</v>
      </c>
      <c r="J139" s="32">
        <f t="shared" si="178"/>
        <v>0</v>
      </c>
      <c r="K139" s="33" t="s">
        <v>57</v>
      </c>
      <c r="Z139" s="28">
        <f t="shared" si="179"/>
        <v>0</v>
      </c>
      <c r="AB139" s="28">
        <f t="shared" si="180"/>
        <v>0</v>
      </c>
      <c r="AC139" s="28">
        <f t="shared" si="181"/>
        <v>0</v>
      </c>
      <c r="AD139" s="28">
        <f t="shared" si="182"/>
        <v>0</v>
      </c>
      <c r="AE139" s="28">
        <f t="shared" si="183"/>
        <v>0</v>
      </c>
      <c r="AF139" s="28">
        <f t="shared" si="184"/>
        <v>0</v>
      </c>
      <c r="AG139" s="28">
        <f t="shared" si="185"/>
        <v>0</v>
      </c>
      <c r="AH139" s="28">
        <f t="shared" si="186"/>
        <v>0</v>
      </c>
      <c r="AI139" s="10" t="s">
        <v>50</v>
      </c>
      <c r="AJ139" s="28">
        <f t="shared" si="187"/>
        <v>0</v>
      </c>
      <c r="AK139" s="28">
        <f t="shared" si="188"/>
        <v>0</v>
      </c>
      <c r="AL139" s="28">
        <f t="shared" si="189"/>
        <v>0</v>
      </c>
      <c r="AN139" s="28">
        <v>12</v>
      </c>
      <c r="AO139" s="28">
        <f>G139*1</f>
        <v>0</v>
      </c>
      <c r="AP139" s="28">
        <f>G139*(1-1)</f>
        <v>0</v>
      </c>
      <c r="AQ139" s="29" t="s">
        <v>81</v>
      </c>
      <c r="AV139" s="28">
        <f t="shared" si="190"/>
        <v>0</v>
      </c>
      <c r="AW139" s="28">
        <f t="shared" si="191"/>
        <v>0</v>
      </c>
      <c r="AX139" s="28">
        <f t="shared" si="192"/>
        <v>0</v>
      </c>
      <c r="AY139" s="29" t="s">
        <v>383</v>
      </c>
      <c r="AZ139" s="29" t="s">
        <v>182</v>
      </c>
      <c r="BA139" s="10" t="s">
        <v>60</v>
      </c>
      <c r="BC139" s="28">
        <f t="shared" si="193"/>
        <v>0</v>
      </c>
      <c r="BD139" s="28">
        <f t="shared" si="194"/>
        <v>0</v>
      </c>
      <c r="BE139" s="28">
        <v>0</v>
      </c>
      <c r="BF139" s="28">
        <f>139</f>
        <v>139</v>
      </c>
      <c r="BH139" s="28">
        <f t="shared" si="195"/>
        <v>0</v>
      </c>
      <c r="BI139" s="28">
        <f t="shared" si="196"/>
        <v>0</v>
      </c>
      <c r="BJ139" s="28">
        <f t="shared" si="197"/>
        <v>0</v>
      </c>
      <c r="BK139" s="28"/>
      <c r="BL139" s="28">
        <v>728</v>
      </c>
      <c r="BW139" s="28">
        <v>12</v>
      </c>
      <c r="BX139" s="4" t="s">
        <v>407</v>
      </c>
    </row>
    <row r="140" spans="1:76" x14ac:dyDescent="0.25">
      <c r="A140" s="30" t="s">
        <v>408</v>
      </c>
      <c r="B140" s="31" t="s">
        <v>409</v>
      </c>
      <c r="C140" s="115" t="s">
        <v>410</v>
      </c>
      <c r="D140" s="116"/>
      <c r="E140" s="31" t="s">
        <v>56</v>
      </c>
      <c r="F140" s="32">
        <v>2</v>
      </c>
      <c r="G140" s="32">
        <v>0</v>
      </c>
      <c r="H140" s="32">
        <f t="shared" si="176"/>
        <v>0</v>
      </c>
      <c r="I140" s="32">
        <f t="shared" si="177"/>
        <v>0</v>
      </c>
      <c r="J140" s="32">
        <f t="shared" si="178"/>
        <v>0</v>
      </c>
      <c r="K140" s="33" t="s">
        <v>57</v>
      </c>
      <c r="Z140" s="28">
        <f t="shared" si="179"/>
        <v>0</v>
      </c>
      <c r="AB140" s="28">
        <f t="shared" si="180"/>
        <v>0</v>
      </c>
      <c r="AC140" s="28">
        <f t="shared" si="181"/>
        <v>0</v>
      </c>
      <c r="AD140" s="28">
        <f t="shared" si="182"/>
        <v>0</v>
      </c>
      <c r="AE140" s="28">
        <f t="shared" si="183"/>
        <v>0</v>
      </c>
      <c r="AF140" s="28">
        <f t="shared" si="184"/>
        <v>0</v>
      </c>
      <c r="AG140" s="28">
        <f t="shared" si="185"/>
        <v>0</v>
      </c>
      <c r="AH140" s="28">
        <f t="shared" si="186"/>
        <v>0</v>
      </c>
      <c r="AI140" s="10" t="s">
        <v>50</v>
      </c>
      <c r="AJ140" s="28">
        <f t="shared" si="187"/>
        <v>0</v>
      </c>
      <c r="AK140" s="28">
        <f t="shared" si="188"/>
        <v>0</v>
      </c>
      <c r="AL140" s="28">
        <f t="shared" si="189"/>
        <v>0</v>
      </c>
      <c r="AN140" s="28">
        <v>12</v>
      </c>
      <c r="AO140" s="28">
        <f>G140*0</f>
        <v>0</v>
      </c>
      <c r="AP140" s="28">
        <f>G140*(1-0)</f>
        <v>0</v>
      </c>
      <c r="AQ140" s="29" t="s">
        <v>81</v>
      </c>
      <c r="AV140" s="28">
        <f t="shared" si="190"/>
        <v>0</v>
      </c>
      <c r="AW140" s="28">
        <f t="shared" si="191"/>
        <v>0</v>
      </c>
      <c r="AX140" s="28">
        <f t="shared" si="192"/>
        <v>0</v>
      </c>
      <c r="AY140" s="29" t="s">
        <v>383</v>
      </c>
      <c r="AZ140" s="29" t="s">
        <v>182</v>
      </c>
      <c r="BA140" s="10" t="s">
        <v>60</v>
      </c>
      <c r="BC140" s="28">
        <f t="shared" si="193"/>
        <v>0</v>
      </c>
      <c r="BD140" s="28">
        <f t="shared" si="194"/>
        <v>0</v>
      </c>
      <c r="BE140" s="28">
        <v>0</v>
      </c>
      <c r="BF140" s="28">
        <f>140</f>
        <v>140</v>
      </c>
      <c r="BH140" s="28">
        <f t="shared" si="195"/>
        <v>0</v>
      </c>
      <c r="BI140" s="28">
        <f t="shared" si="196"/>
        <v>0</v>
      </c>
      <c r="BJ140" s="28">
        <f t="shared" si="197"/>
        <v>0</v>
      </c>
      <c r="BK140" s="28"/>
      <c r="BL140" s="28">
        <v>728</v>
      </c>
      <c r="BW140" s="28">
        <v>12</v>
      </c>
      <c r="BX140" s="4" t="s">
        <v>410</v>
      </c>
    </row>
    <row r="141" spans="1:76" x14ac:dyDescent="0.25">
      <c r="A141" s="30" t="s">
        <v>411</v>
      </c>
      <c r="B141" s="31" t="s">
        <v>412</v>
      </c>
      <c r="C141" s="115" t="s">
        <v>413</v>
      </c>
      <c r="D141" s="116"/>
      <c r="E141" s="31" t="s">
        <v>56</v>
      </c>
      <c r="F141" s="32">
        <v>2</v>
      </c>
      <c r="G141" s="32">
        <v>0</v>
      </c>
      <c r="H141" s="32">
        <f t="shared" si="176"/>
        <v>0</v>
      </c>
      <c r="I141" s="32">
        <f t="shared" si="177"/>
        <v>0</v>
      </c>
      <c r="J141" s="32">
        <f t="shared" si="178"/>
        <v>0</v>
      </c>
      <c r="K141" s="33" t="s">
        <v>57</v>
      </c>
      <c r="Z141" s="28">
        <f t="shared" si="179"/>
        <v>0</v>
      </c>
      <c r="AB141" s="28">
        <f t="shared" si="180"/>
        <v>0</v>
      </c>
      <c r="AC141" s="28">
        <f t="shared" si="181"/>
        <v>0</v>
      </c>
      <c r="AD141" s="28">
        <f t="shared" si="182"/>
        <v>0</v>
      </c>
      <c r="AE141" s="28">
        <f t="shared" si="183"/>
        <v>0</v>
      </c>
      <c r="AF141" s="28">
        <f t="shared" si="184"/>
        <v>0</v>
      </c>
      <c r="AG141" s="28">
        <f t="shared" si="185"/>
        <v>0</v>
      </c>
      <c r="AH141" s="28">
        <f t="shared" si="186"/>
        <v>0</v>
      </c>
      <c r="AI141" s="10" t="s">
        <v>50</v>
      </c>
      <c r="AJ141" s="28">
        <f t="shared" si="187"/>
        <v>0</v>
      </c>
      <c r="AK141" s="28">
        <f t="shared" si="188"/>
        <v>0</v>
      </c>
      <c r="AL141" s="28">
        <f t="shared" si="189"/>
        <v>0</v>
      </c>
      <c r="AN141" s="28">
        <v>12</v>
      </c>
      <c r="AO141" s="28">
        <f>G141*1</f>
        <v>0</v>
      </c>
      <c r="AP141" s="28">
        <f>G141*(1-1)</f>
        <v>0</v>
      </c>
      <c r="AQ141" s="29" t="s">
        <v>81</v>
      </c>
      <c r="AV141" s="28">
        <f t="shared" si="190"/>
        <v>0</v>
      </c>
      <c r="AW141" s="28">
        <f t="shared" si="191"/>
        <v>0</v>
      </c>
      <c r="AX141" s="28">
        <f t="shared" si="192"/>
        <v>0</v>
      </c>
      <c r="AY141" s="29" t="s">
        <v>383</v>
      </c>
      <c r="AZ141" s="29" t="s">
        <v>182</v>
      </c>
      <c r="BA141" s="10" t="s">
        <v>60</v>
      </c>
      <c r="BC141" s="28">
        <f t="shared" si="193"/>
        <v>0</v>
      </c>
      <c r="BD141" s="28">
        <f t="shared" si="194"/>
        <v>0</v>
      </c>
      <c r="BE141" s="28">
        <v>0</v>
      </c>
      <c r="BF141" s="28">
        <f>141</f>
        <v>141</v>
      </c>
      <c r="BH141" s="28">
        <f t="shared" si="195"/>
        <v>0</v>
      </c>
      <c r="BI141" s="28">
        <f t="shared" si="196"/>
        <v>0</v>
      </c>
      <c r="BJ141" s="28">
        <f t="shared" si="197"/>
        <v>0</v>
      </c>
      <c r="BK141" s="28"/>
      <c r="BL141" s="28">
        <v>728</v>
      </c>
      <c r="BW141" s="28">
        <v>12</v>
      </c>
      <c r="BX141" s="4" t="s">
        <v>413</v>
      </c>
    </row>
    <row r="142" spans="1:76" x14ac:dyDescent="0.25">
      <c r="A142" s="30" t="s">
        <v>414</v>
      </c>
      <c r="B142" s="31" t="s">
        <v>415</v>
      </c>
      <c r="C142" s="115" t="s">
        <v>416</v>
      </c>
      <c r="D142" s="116"/>
      <c r="E142" s="31" t="s">
        <v>87</v>
      </c>
      <c r="F142" s="32">
        <v>1.5100000000000001E-2</v>
      </c>
      <c r="G142" s="32">
        <v>0</v>
      </c>
      <c r="H142" s="32">
        <f t="shared" si="176"/>
        <v>0</v>
      </c>
      <c r="I142" s="32">
        <f t="shared" si="177"/>
        <v>0</v>
      </c>
      <c r="J142" s="32">
        <f t="shared" si="178"/>
        <v>0</v>
      </c>
      <c r="K142" s="33" t="s">
        <v>57</v>
      </c>
      <c r="Z142" s="28">
        <f t="shared" si="179"/>
        <v>0</v>
      </c>
      <c r="AB142" s="28">
        <f t="shared" si="180"/>
        <v>0</v>
      </c>
      <c r="AC142" s="28">
        <f t="shared" si="181"/>
        <v>0</v>
      </c>
      <c r="AD142" s="28">
        <f t="shared" si="182"/>
        <v>0</v>
      </c>
      <c r="AE142" s="28">
        <f t="shared" si="183"/>
        <v>0</v>
      </c>
      <c r="AF142" s="28">
        <f t="shared" si="184"/>
        <v>0</v>
      </c>
      <c r="AG142" s="28">
        <f t="shared" si="185"/>
        <v>0</v>
      </c>
      <c r="AH142" s="28">
        <f t="shared" si="186"/>
        <v>0</v>
      </c>
      <c r="AI142" s="10" t="s">
        <v>50</v>
      </c>
      <c r="AJ142" s="28">
        <f t="shared" si="187"/>
        <v>0</v>
      </c>
      <c r="AK142" s="28">
        <f t="shared" si="188"/>
        <v>0</v>
      </c>
      <c r="AL142" s="28">
        <f t="shared" si="189"/>
        <v>0</v>
      </c>
      <c r="AN142" s="28">
        <v>12</v>
      </c>
      <c r="AO142" s="28">
        <f>G142*0</f>
        <v>0</v>
      </c>
      <c r="AP142" s="28">
        <f>G142*(1-0)</f>
        <v>0</v>
      </c>
      <c r="AQ142" s="29" t="s">
        <v>74</v>
      </c>
      <c r="AV142" s="28">
        <f t="shared" si="190"/>
        <v>0</v>
      </c>
      <c r="AW142" s="28">
        <f t="shared" si="191"/>
        <v>0</v>
      </c>
      <c r="AX142" s="28">
        <f t="shared" si="192"/>
        <v>0</v>
      </c>
      <c r="AY142" s="29" t="s">
        <v>383</v>
      </c>
      <c r="AZ142" s="29" t="s">
        <v>182</v>
      </c>
      <c r="BA142" s="10" t="s">
        <v>60</v>
      </c>
      <c r="BC142" s="28">
        <f t="shared" si="193"/>
        <v>0</v>
      </c>
      <c r="BD142" s="28">
        <f t="shared" si="194"/>
        <v>0</v>
      </c>
      <c r="BE142" s="28">
        <v>0</v>
      </c>
      <c r="BF142" s="28">
        <f>142</f>
        <v>142</v>
      </c>
      <c r="BH142" s="28">
        <f t="shared" si="195"/>
        <v>0</v>
      </c>
      <c r="BI142" s="28">
        <f t="shared" si="196"/>
        <v>0</v>
      </c>
      <c r="BJ142" s="28">
        <f t="shared" si="197"/>
        <v>0</v>
      </c>
      <c r="BK142" s="28"/>
      <c r="BL142" s="28">
        <v>728</v>
      </c>
      <c r="BW142" s="28">
        <v>12</v>
      </c>
      <c r="BX142" s="4" t="s">
        <v>416</v>
      </c>
    </row>
    <row r="143" spans="1:76" x14ac:dyDescent="0.25">
      <c r="A143" s="36" t="s">
        <v>50</v>
      </c>
      <c r="B143" s="37" t="s">
        <v>417</v>
      </c>
      <c r="C143" s="120" t="s">
        <v>418</v>
      </c>
      <c r="D143" s="121"/>
      <c r="E143" s="38" t="s">
        <v>4</v>
      </c>
      <c r="F143" s="38" t="s">
        <v>4</v>
      </c>
      <c r="G143" s="38" t="s">
        <v>4</v>
      </c>
      <c r="H143" s="39">
        <f>SUM(H144:H150)</f>
        <v>0</v>
      </c>
      <c r="I143" s="39">
        <f>SUM(I144:I150)</f>
        <v>0</v>
      </c>
      <c r="J143" s="39">
        <f>SUM(J144:J150)</f>
        <v>0</v>
      </c>
      <c r="K143" s="40" t="s">
        <v>50</v>
      </c>
      <c r="AI143" s="10" t="s">
        <v>50</v>
      </c>
      <c r="AS143" s="1">
        <f>SUM(AJ144:AJ150)</f>
        <v>0</v>
      </c>
      <c r="AT143" s="1">
        <f>SUM(AK144:AK150)</f>
        <v>0</v>
      </c>
      <c r="AU143" s="1">
        <f>SUM(AL144:AL150)</f>
        <v>0</v>
      </c>
    </row>
    <row r="144" spans="1:76" x14ac:dyDescent="0.25">
      <c r="A144" s="24" t="s">
        <v>419</v>
      </c>
      <c r="B144" s="25" t="s">
        <v>420</v>
      </c>
      <c r="C144" s="113" t="s">
        <v>421</v>
      </c>
      <c r="D144" s="114"/>
      <c r="E144" s="25" t="s">
        <v>287</v>
      </c>
      <c r="F144" s="26">
        <v>1</v>
      </c>
      <c r="G144" s="26">
        <v>0</v>
      </c>
      <c r="H144" s="26">
        <f t="shared" ref="H144:H150" si="198">F144*AO144</f>
        <v>0</v>
      </c>
      <c r="I144" s="26">
        <f t="shared" ref="I144:I150" si="199">F144*AP144</f>
        <v>0</v>
      </c>
      <c r="J144" s="26">
        <f t="shared" ref="J144:J150" si="200">F144*G144</f>
        <v>0</v>
      </c>
      <c r="K144" s="27" t="s">
        <v>57</v>
      </c>
      <c r="Z144" s="28">
        <f t="shared" ref="Z144:Z150" si="201">IF(AQ144="5",BJ144,0)</f>
        <v>0</v>
      </c>
      <c r="AB144" s="28">
        <f t="shared" ref="AB144:AB150" si="202">IF(AQ144="1",BH144,0)</f>
        <v>0</v>
      </c>
      <c r="AC144" s="28">
        <f t="shared" ref="AC144:AC150" si="203">IF(AQ144="1",BI144,0)</f>
        <v>0</v>
      </c>
      <c r="AD144" s="28">
        <f t="shared" ref="AD144:AD150" si="204">IF(AQ144="7",BH144,0)</f>
        <v>0</v>
      </c>
      <c r="AE144" s="28">
        <f t="shared" ref="AE144:AE150" si="205">IF(AQ144="7",BI144,0)</f>
        <v>0</v>
      </c>
      <c r="AF144" s="28">
        <f t="shared" ref="AF144:AF150" si="206">IF(AQ144="2",BH144,0)</f>
        <v>0</v>
      </c>
      <c r="AG144" s="28">
        <f t="shared" ref="AG144:AG150" si="207">IF(AQ144="2",BI144,0)</f>
        <v>0</v>
      </c>
      <c r="AH144" s="28">
        <f t="shared" ref="AH144:AH150" si="208">IF(AQ144="0",BJ144,0)</f>
        <v>0</v>
      </c>
      <c r="AI144" s="10" t="s">
        <v>50</v>
      </c>
      <c r="AJ144" s="28">
        <f t="shared" ref="AJ144:AJ150" si="209">IF(AN144=0,J144,0)</f>
        <v>0</v>
      </c>
      <c r="AK144" s="28">
        <f t="shared" ref="AK144:AK150" si="210">IF(AN144=12,J144,0)</f>
        <v>0</v>
      </c>
      <c r="AL144" s="28">
        <f t="shared" ref="AL144:AL150" si="211">IF(AN144=21,J144,0)</f>
        <v>0</v>
      </c>
      <c r="AN144" s="28">
        <v>12</v>
      </c>
      <c r="AO144" s="28">
        <f>G144*0.052733837</f>
        <v>0</v>
      </c>
      <c r="AP144" s="28">
        <f>G144*(1-0.052733837)</f>
        <v>0</v>
      </c>
      <c r="AQ144" s="29" t="s">
        <v>81</v>
      </c>
      <c r="AV144" s="28">
        <f t="shared" ref="AV144:AV150" si="212">AW144+AX144</f>
        <v>0</v>
      </c>
      <c r="AW144" s="28">
        <f t="shared" ref="AW144:AW150" si="213">F144*AO144</f>
        <v>0</v>
      </c>
      <c r="AX144" s="28">
        <f t="shared" ref="AX144:AX150" si="214">F144*AP144</f>
        <v>0</v>
      </c>
      <c r="AY144" s="29" t="s">
        <v>422</v>
      </c>
      <c r="AZ144" s="29" t="s">
        <v>423</v>
      </c>
      <c r="BA144" s="10" t="s">
        <v>60</v>
      </c>
      <c r="BC144" s="28">
        <f t="shared" ref="BC144:BC150" si="215">AW144+AX144</f>
        <v>0</v>
      </c>
      <c r="BD144" s="28">
        <f t="shared" ref="BD144:BD150" si="216">G144/(100-BE144)*100</f>
        <v>0</v>
      </c>
      <c r="BE144" s="28">
        <v>0</v>
      </c>
      <c r="BF144" s="28">
        <f>144</f>
        <v>144</v>
      </c>
      <c r="BH144" s="28">
        <f t="shared" ref="BH144:BH150" si="217">F144*AO144</f>
        <v>0</v>
      </c>
      <c r="BI144" s="28">
        <f t="shared" ref="BI144:BI150" si="218">F144*AP144</f>
        <v>0</v>
      </c>
      <c r="BJ144" s="28">
        <f t="shared" ref="BJ144:BJ150" si="219">F144*G144</f>
        <v>0</v>
      </c>
      <c r="BK144" s="28"/>
      <c r="BL144" s="28">
        <v>731</v>
      </c>
      <c r="BW144" s="28">
        <v>12</v>
      </c>
      <c r="BX144" s="4" t="s">
        <v>421</v>
      </c>
    </row>
    <row r="145" spans="1:76" x14ac:dyDescent="0.25">
      <c r="A145" s="30" t="s">
        <v>424</v>
      </c>
      <c r="B145" s="31" t="s">
        <v>425</v>
      </c>
      <c r="C145" s="115" t="s">
        <v>426</v>
      </c>
      <c r="D145" s="116"/>
      <c r="E145" s="31" t="s">
        <v>56</v>
      </c>
      <c r="F145" s="32">
        <v>1</v>
      </c>
      <c r="G145" s="32">
        <v>0</v>
      </c>
      <c r="H145" s="32">
        <f t="shared" si="198"/>
        <v>0</v>
      </c>
      <c r="I145" s="32">
        <f t="shared" si="199"/>
        <v>0</v>
      </c>
      <c r="J145" s="32">
        <f t="shared" si="200"/>
        <v>0</v>
      </c>
      <c r="K145" s="33" t="s">
        <v>57</v>
      </c>
      <c r="Z145" s="28">
        <f t="shared" si="201"/>
        <v>0</v>
      </c>
      <c r="AB145" s="28">
        <f t="shared" si="202"/>
        <v>0</v>
      </c>
      <c r="AC145" s="28">
        <f t="shared" si="203"/>
        <v>0</v>
      </c>
      <c r="AD145" s="28">
        <f t="shared" si="204"/>
        <v>0</v>
      </c>
      <c r="AE145" s="28">
        <f t="shared" si="205"/>
        <v>0</v>
      </c>
      <c r="AF145" s="28">
        <f t="shared" si="206"/>
        <v>0</v>
      </c>
      <c r="AG145" s="28">
        <f t="shared" si="207"/>
        <v>0</v>
      </c>
      <c r="AH145" s="28">
        <f t="shared" si="208"/>
        <v>0</v>
      </c>
      <c r="AI145" s="10" t="s">
        <v>50</v>
      </c>
      <c r="AJ145" s="28">
        <f t="shared" si="209"/>
        <v>0</v>
      </c>
      <c r="AK145" s="28">
        <f t="shared" si="210"/>
        <v>0</v>
      </c>
      <c r="AL145" s="28">
        <f t="shared" si="211"/>
        <v>0</v>
      </c>
      <c r="AN145" s="28">
        <v>12</v>
      </c>
      <c r="AO145" s="28">
        <f>G145*1</f>
        <v>0</v>
      </c>
      <c r="AP145" s="28">
        <f>G145*(1-1)</f>
        <v>0</v>
      </c>
      <c r="AQ145" s="29" t="s">
        <v>81</v>
      </c>
      <c r="AV145" s="28">
        <f t="shared" si="212"/>
        <v>0</v>
      </c>
      <c r="AW145" s="28">
        <f t="shared" si="213"/>
        <v>0</v>
      </c>
      <c r="AX145" s="28">
        <f t="shared" si="214"/>
        <v>0</v>
      </c>
      <c r="AY145" s="29" t="s">
        <v>422</v>
      </c>
      <c r="AZ145" s="29" t="s">
        <v>423</v>
      </c>
      <c r="BA145" s="10" t="s">
        <v>60</v>
      </c>
      <c r="BC145" s="28">
        <f t="shared" si="215"/>
        <v>0</v>
      </c>
      <c r="BD145" s="28">
        <f t="shared" si="216"/>
        <v>0</v>
      </c>
      <c r="BE145" s="28">
        <v>0</v>
      </c>
      <c r="BF145" s="28">
        <f>145</f>
        <v>145</v>
      </c>
      <c r="BH145" s="28">
        <f t="shared" si="217"/>
        <v>0</v>
      </c>
      <c r="BI145" s="28">
        <f t="shared" si="218"/>
        <v>0</v>
      </c>
      <c r="BJ145" s="28">
        <f t="shared" si="219"/>
        <v>0</v>
      </c>
      <c r="BK145" s="28"/>
      <c r="BL145" s="28">
        <v>731</v>
      </c>
      <c r="BW145" s="28">
        <v>12</v>
      </c>
      <c r="BX145" s="4" t="s">
        <v>426</v>
      </c>
    </row>
    <row r="146" spans="1:76" x14ac:dyDescent="0.25">
      <c r="A146" s="30" t="s">
        <v>427</v>
      </c>
      <c r="B146" s="31" t="s">
        <v>428</v>
      </c>
      <c r="C146" s="115" t="s">
        <v>429</v>
      </c>
      <c r="D146" s="116"/>
      <c r="E146" s="31" t="s">
        <v>56</v>
      </c>
      <c r="F146" s="32">
        <v>1</v>
      </c>
      <c r="G146" s="32">
        <v>0</v>
      </c>
      <c r="H146" s="32">
        <f t="shared" si="198"/>
        <v>0</v>
      </c>
      <c r="I146" s="32">
        <f t="shared" si="199"/>
        <v>0</v>
      </c>
      <c r="J146" s="32">
        <f t="shared" si="200"/>
        <v>0</v>
      </c>
      <c r="K146" s="33" t="s">
        <v>57</v>
      </c>
      <c r="Z146" s="28">
        <f t="shared" si="201"/>
        <v>0</v>
      </c>
      <c r="AB146" s="28">
        <f t="shared" si="202"/>
        <v>0</v>
      </c>
      <c r="AC146" s="28">
        <f t="shared" si="203"/>
        <v>0</v>
      </c>
      <c r="AD146" s="28">
        <f t="shared" si="204"/>
        <v>0</v>
      </c>
      <c r="AE146" s="28">
        <f t="shared" si="205"/>
        <v>0</v>
      </c>
      <c r="AF146" s="28">
        <f t="shared" si="206"/>
        <v>0</v>
      </c>
      <c r="AG146" s="28">
        <f t="shared" si="207"/>
        <v>0</v>
      </c>
      <c r="AH146" s="28">
        <f t="shared" si="208"/>
        <v>0</v>
      </c>
      <c r="AI146" s="10" t="s">
        <v>50</v>
      </c>
      <c r="AJ146" s="28">
        <f t="shared" si="209"/>
        <v>0</v>
      </c>
      <c r="AK146" s="28">
        <f t="shared" si="210"/>
        <v>0</v>
      </c>
      <c r="AL146" s="28">
        <f t="shared" si="211"/>
        <v>0</v>
      </c>
      <c r="AN146" s="28">
        <v>12</v>
      </c>
      <c r="AO146" s="28">
        <f>G146*0.886583823</f>
        <v>0</v>
      </c>
      <c r="AP146" s="28">
        <f>G146*(1-0.886583823)</f>
        <v>0</v>
      </c>
      <c r="AQ146" s="29" t="s">
        <v>81</v>
      </c>
      <c r="AV146" s="28">
        <f t="shared" si="212"/>
        <v>0</v>
      </c>
      <c r="AW146" s="28">
        <f t="shared" si="213"/>
        <v>0</v>
      </c>
      <c r="AX146" s="28">
        <f t="shared" si="214"/>
        <v>0</v>
      </c>
      <c r="AY146" s="29" t="s">
        <v>422</v>
      </c>
      <c r="AZ146" s="29" t="s">
        <v>423</v>
      </c>
      <c r="BA146" s="10" t="s">
        <v>60</v>
      </c>
      <c r="BC146" s="28">
        <f t="shared" si="215"/>
        <v>0</v>
      </c>
      <c r="BD146" s="28">
        <f t="shared" si="216"/>
        <v>0</v>
      </c>
      <c r="BE146" s="28">
        <v>0</v>
      </c>
      <c r="BF146" s="28">
        <f>146</f>
        <v>146</v>
      </c>
      <c r="BH146" s="28">
        <f t="shared" si="217"/>
        <v>0</v>
      </c>
      <c r="BI146" s="28">
        <f t="shared" si="218"/>
        <v>0</v>
      </c>
      <c r="BJ146" s="28">
        <f t="shared" si="219"/>
        <v>0</v>
      </c>
      <c r="BK146" s="28"/>
      <c r="BL146" s="28">
        <v>731</v>
      </c>
      <c r="BW146" s="28">
        <v>12</v>
      </c>
      <c r="BX146" s="4" t="s">
        <v>429</v>
      </c>
    </row>
    <row r="147" spans="1:76" x14ac:dyDescent="0.25">
      <c r="A147" s="30" t="s">
        <v>430</v>
      </c>
      <c r="B147" s="31" t="s">
        <v>431</v>
      </c>
      <c r="C147" s="115" t="s">
        <v>432</v>
      </c>
      <c r="D147" s="116"/>
      <c r="E147" s="31" t="s">
        <v>56</v>
      </c>
      <c r="F147" s="32">
        <v>1</v>
      </c>
      <c r="G147" s="32">
        <v>0</v>
      </c>
      <c r="H147" s="32">
        <f t="shared" si="198"/>
        <v>0</v>
      </c>
      <c r="I147" s="32">
        <f t="shared" si="199"/>
        <v>0</v>
      </c>
      <c r="J147" s="32">
        <f t="shared" si="200"/>
        <v>0</v>
      </c>
      <c r="K147" s="33" t="s">
        <v>57</v>
      </c>
      <c r="Z147" s="28">
        <f t="shared" si="201"/>
        <v>0</v>
      </c>
      <c r="AB147" s="28">
        <f t="shared" si="202"/>
        <v>0</v>
      </c>
      <c r="AC147" s="28">
        <f t="shared" si="203"/>
        <v>0</v>
      </c>
      <c r="AD147" s="28">
        <f t="shared" si="204"/>
        <v>0</v>
      </c>
      <c r="AE147" s="28">
        <f t="shared" si="205"/>
        <v>0</v>
      </c>
      <c r="AF147" s="28">
        <f t="shared" si="206"/>
        <v>0</v>
      </c>
      <c r="AG147" s="28">
        <f t="shared" si="207"/>
        <v>0</v>
      </c>
      <c r="AH147" s="28">
        <f t="shared" si="208"/>
        <v>0</v>
      </c>
      <c r="AI147" s="10" t="s">
        <v>50</v>
      </c>
      <c r="AJ147" s="28">
        <f t="shared" si="209"/>
        <v>0</v>
      </c>
      <c r="AK147" s="28">
        <f t="shared" si="210"/>
        <v>0</v>
      </c>
      <c r="AL147" s="28">
        <f t="shared" si="211"/>
        <v>0</v>
      </c>
      <c r="AN147" s="28">
        <v>12</v>
      </c>
      <c r="AO147" s="28">
        <f>G147*0.923240863</f>
        <v>0</v>
      </c>
      <c r="AP147" s="28">
        <f>G147*(1-0.923240863)</f>
        <v>0</v>
      </c>
      <c r="AQ147" s="29" t="s">
        <v>81</v>
      </c>
      <c r="AV147" s="28">
        <f t="shared" si="212"/>
        <v>0</v>
      </c>
      <c r="AW147" s="28">
        <f t="shared" si="213"/>
        <v>0</v>
      </c>
      <c r="AX147" s="28">
        <f t="shared" si="214"/>
        <v>0</v>
      </c>
      <c r="AY147" s="29" t="s">
        <v>422</v>
      </c>
      <c r="AZ147" s="29" t="s">
        <v>423</v>
      </c>
      <c r="BA147" s="10" t="s">
        <v>60</v>
      </c>
      <c r="BC147" s="28">
        <f t="shared" si="215"/>
        <v>0</v>
      </c>
      <c r="BD147" s="28">
        <f t="shared" si="216"/>
        <v>0</v>
      </c>
      <c r="BE147" s="28">
        <v>0</v>
      </c>
      <c r="BF147" s="28">
        <f>147</f>
        <v>147</v>
      </c>
      <c r="BH147" s="28">
        <f t="shared" si="217"/>
        <v>0</v>
      </c>
      <c r="BI147" s="28">
        <f t="shared" si="218"/>
        <v>0</v>
      </c>
      <c r="BJ147" s="28">
        <f t="shared" si="219"/>
        <v>0</v>
      </c>
      <c r="BK147" s="28"/>
      <c r="BL147" s="28">
        <v>731</v>
      </c>
      <c r="BW147" s="28">
        <v>12</v>
      </c>
      <c r="BX147" s="4" t="s">
        <v>432</v>
      </c>
    </row>
    <row r="148" spans="1:76" x14ac:dyDescent="0.25">
      <c r="A148" s="30" t="s">
        <v>433</v>
      </c>
      <c r="B148" s="31" t="s">
        <v>434</v>
      </c>
      <c r="C148" s="115" t="s">
        <v>435</v>
      </c>
      <c r="D148" s="116"/>
      <c r="E148" s="31" t="s">
        <v>436</v>
      </c>
      <c r="F148" s="32">
        <v>1</v>
      </c>
      <c r="G148" s="32">
        <v>0</v>
      </c>
      <c r="H148" s="32">
        <f t="shared" si="198"/>
        <v>0</v>
      </c>
      <c r="I148" s="32">
        <f t="shared" si="199"/>
        <v>0</v>
      </c>
      <c r="J148" s="32">
        <f t="shared" si="200"/>
        <v>0</v>
      </c>
      <c r="K148" s="33" t="s">
        <v>57</v>
      </c>
      <c r="Z148" s="28">
        <f t="shared" si="201"/>
        <v>0</v>
      </c>
      <c r="AB148" s="28">
        <f t="shared" si="202"/>
        <v>0</v>
      </c>
      <c r="AC148" s="28">
        <f t="shared" si="203"/>
        <v>0</v>
      </c>
      <c r="AD148" s="28">
        <f t="shared" si="204"/>
        <v>0</v>
      </c>
      <c r="AE148" s="28">
        <f t="shared" si="205"/>
        <v>0</v>
      </c>
      <c r="AF148" s="28">
        <f t="shared" si="206"/>
        <v>0</v>
      </c>
      <c r="AG148" s="28">
        <f t="shared" si="207"/>
        <v>0</v>
      </c>
      <c r="AH148" s="28">
        <f t="shared" si="208"/>
        <v>0</v>
      </c>
      <c r="AI148" s="10" t="s">
        <v>50</v>
      </c>
      <c r="AJ148" s="28">
        <f t="shared" si="209"/>
        <v>0</v>
      </c>
      <c r="AK148" s="28">
        <f t="shared" si="210"/>
        <v>0</v>
      </c>
      <c r="AL148" s="28">
        <f t="shared" si="211"/>
        <v>0</v>
      </c>
      <c r="AN148" s="28">
        <v>12</v>
      </c>
      <c r="AO148" s="28">
        <f>G148*0.896311637</f>
        <v>0</v>
      </c>
      <c r="AP148" s="28">
        <f>G148*(1-0.896311637)</f>
        <v>0</v>
      </c>
      <c r="AQ148" s="29" t="s">
        <v>81</v>
      </c>
      <c r="AV148" s="28">
        <f t="shared" si="212"/>
        <v>0</v>
      </c>
      <c r="AW148" s="28">
        <f t="shared" si="213"/>
        <v>0</v>
      </c>
      <c r="AX148" s="28">
        <f t="shared" si="214"/>
        <v>0</v>
      </c>
      <c r="AY148" s="29" t="s">
        <v>422</v>
      </c>
      <c r="AZ148" s="29" t="s">
        <v>423</v>
      </c>
      <c r="BA148" s="10" t="s">
        <v>60</v>
      </c>
      <c r="BC148" s="28">
        <f t="shared" si="215"/>
        <v>0</v>
      </c>
      <c r="BD148" s="28">
        <f t="shared" si="216"/>
        <v>0</v>
      </c>
      <c r="BE148" s="28">
        <v>0</v>
      </c>
      <c r="BF148" s="28">
        <f>148</f>
        <v>148</v>
      </c>
      <c r="BH148" s="28">
        <f t="shared" si="217"/>
        <v>0</v>
      </c>
      <c r="BI148" s="28">
        <f t="shared" si="218"/>
        <v>0</v>
      </c>
      <c r="BJ148" s="28">
        <f t="shared" si="219"/>
        <v>0</v>
      </c>
      <c r="BK148" s="28"/>
      <c r="BL148" s="28">
        <v>731</v>
      </c>
      <c r="BW148" s="28">
        <v>12</v>
      </c>
      <c r="BX148" s="4" t="s">
        <v>435</v>
      </c>
    </row>
    <row r="149" spans="1:76" x14ac:dyDescent="0.25">
      <c r="A149" s="30" t="s">
        <v>437</v>
      </c>
      <c r="B149" s="31" t="s">
        <v>438</v>
      </c>
      <c r="C149" s="115" t="s">
        <v>439</v>
      </c>
      <c r="D149" s="116"/>
      <c r="E149" s="31" t="s">
        <v>56</v>
      </c>
      <c r="F149" s="32">
        <v>2</v>
      </c>
      <c r="G149" s="32">
        <v>0</v>
      </c>
      <c r="H149" s="32">
        <f t="shared" si="198"/>
        <v>0</v>
      </c>
      <c r="I149" s="32">
        <f t="shared" si="199"/>
        <v>0</v>
      </c>
      <c r="J149" s="32">
        <f t="shared" si="200"/>
        <v>0</v>
      </c>
      <c r="K149" s="33" t="s">
        <v>57</v>
      </c>
      <c r="Z149" s="28">
        <f t="shared" si="201"/>
        <v>0</v>
      </c>
      <c r="AB149" s="28">
        <f t="shared" si="202"/>
        <v>0</v>
      </c>
      <c r="AC149" s="28">
        <f t="shared" si="203"/>
        <v>0</v>
      </c>
      <c r="AD149" s="28">
        <f t="shared" si="204"/>
        <v>0</v>
      </c>
      <c r="AE149" s="28">
        <f t="shared" si="205"/>
        <v>0</v>
      </c>
      <c r="AF149" s="28">
        <f t="shared" si="206"/>
        <v>0</v>
      </c>
      <c r="AG149" s="28">
        <f t="shared" si="207"/>
        <v>0</v>
      </c>
      <c r="AH149" s="28">
        <f t="shared" si="208"/>
        <v>0</v>
      </c>
      <c r="AI149" s="10" t="s">
        <v>50</v>
      </c>
      <c r="AJ149" s="28">
        <f t="shared" si="209"/>
        <v>0</v>
      </c>
      <c r="AK149" s="28">
        <f t="shared" si="210"/>
        <v>0</v>
      </c>
      <c r="AL149" s="28">
        <f t="shared" si="211"/>
        <v>0</v>
      </c>
      <c r="AN149" s="28">
        <v>12</v>
      </c>
      <c r="AO149" s="28">
        <f>G149*0.944840391</f>
        <v>0</v>
      </c>
      <c r="AP149" s="28">
        <f>G149*(1-0.944840391)</f>
        <v>0</v>
      </c>
      <c r="AQ149" s="29" t="s">
        <v>81</v>
      </c>
      <c r="AV149" s="28">
        <f t="shared" si="212"/>
        <v>0</v>
      </c>
      <c r="AW149" s="28">
        <f t="shared" si="213"/>
        <v>0</v>
      </c>
      <c r="AX149" s="28">
        <f t="shared" si="214"/>
        <v>0</v>
      </c>
      <c r="AY149" s="29" t="s">
        <v>422</v>
      </c>
      <c r="AZ149" s="29" t="s">
        <v>423</v>
      </c>
      <c r="BA149" s="10" t="s">
        <v>60</v>
      </c>
      <c r="BC149" s="28">
        <f t="shared" si="215"/>
        <v>0</v>
      </c>
      <c r="BD149" s="28">
        <f t="shared" si="216"/>
        <v>0</v>
      </c>
      <c r="BE149" s="28">
        <v>0</v>
      </c>
      <c r="BF149" s="28">
        <f>149</f>
        <v>149</v>
      </c>
      <c r="BH149" s="28">
        <f t="shared" si="217"/>
        <v>0</v>
      </c>
      <c r="BI149" s="28">
        <f t="shared" si="218"/>
        <v>0</v>
      </c>
      <c r="BJ149" s="28">
        <f t="shared" si="219"/>
        <v>0</v>
      </c>
      <c r="BK149" s="28"/>
      <c r="BL149" s="28">
        <v>731</v>
      </c>
      <c r="BW149" s="28">
        <v>12</v>
      </c>
      <c r="BX149" s="4" t="s">
        <v>439</v>
      </c>
    </row>
    <row r="150" spans="1:76" x14ac:dyDescent="0.25">
      <c r="A150" s="30" t="s">
        <v>440</v>
      </c>
      <c r="B150" s="31" t="s">
        <v>441</v>
      </c>
      <c r="C150" s="115" t="s">
        <v>442</v>
      </c>
      <c r="D150" s="116"/>
      <c r="E150" s="31" t="s">
        <v>87</v>
      </c>
      <c r="F150" s="32">
        <v>6.5740000000000007E-2</v>
      </c>
      <c r="G150" s="32">
        <v>0</v>
      </c>
      <c r="H150" s="32">
        <f t="shared" si="198"/>
        <v>0</v>
      </c>
      <c r="I150" s="32">
        <f t="shared" si="199"/>
        <v>0</v>
      </c>
      <c r="J150" s="32">
        <f t="shared" si="200"/>
        <v>0</v>
      </c>
      <c r="K150" s="33" t="s">
        <v>57</v>
      </c>
      <c r="Z150" s="28">
        <f t="shared" si="201"/>
        <v>0</v>
      </c>
      <c r="AB150" s="28">
        <f t="shared" si="202"/>
        <v>0</v>
      </c>
      <c r="AC150" s="28">
        <f t="shared" si="203"/>
        <v>0</v>
      </c>
      <c r="AD150" s="28">
        <f t="shared" si="204"/>
        <v>0</v>
      </c>
      <c r="AE150" s="28">
        <f t="shared" si="205"/>
        <v>0</v>
      </c>
      <c r="AF150" s="28">
        <f t="shared" si="206"/>
        <v>0</v>
      </c>
      <c r="AG150" s="28">
        <f t="shared" si="207"/>
        <v>0</v>
      </c>
      <c r="AH150" s="28">
        <f t="shared" si="208"/>
        <v>0</v>
      </c>
      <c r="AI150" s="10" t="s">
        <v>50</v>
      </c>
      <c r="AJ150" s="28">
        <f t="shared" si="209"/>
        <v>0</v>
      </c>
      <c r="AK150" s="28">
        <f t="shared" si="210"/>
        <v>0</v>
      </c>
      <c r="AL150" s="28">
        <f t="shared" si="211"/>
        <v>0</v>
      </c>
      <c r="AN150" s="28">
        <v>12</v>
      </c>
      <c r="AO150" s="28">
        <f>G150*0</f>
        <v>0</v>
      </c>
      <c r="AP150" s="28">
        <f>G150*(1-0)</f>
        <v>0</v>
      </c>
      <c r="AQ150" s="29" t="s">
        <v>74</v>
      </c>
      <c r="AV150" s="28">
        <f t="shared" si="212"/>
        <v>0</v>
      </c>
      <c r="AW150" s="28">
        <f t="shared" si="213"/>
        <v>0</v>
      </c>
      <c r="AX150" s="28">
        <f t="shared" si="214"/>
        <v>0</v>
      </c>
      <c r="AY150" s="29" t="s">
        <v>422</v>
      </c>
      <c r="AZ150" s="29" t="s">
        <v>423</v>
      </c>
      <c r="BA150" s="10" t="s">
        <v>60</v>
      </c>
      <c r="BC150" s="28">
        <f t="shared" si="215"/>
        <v>0</v>
      </c>
      <c r="BD150" s="28">
        <f t="shared" si="216"/>
        <v>0</v>
      </c>
      <c r="BE150" s="28">
        <v>0</v>
      </c>
      <c r="BF150" s="28">
        <f>150</f>
        <v>150</v>
      </c>
      <c r="BH150" s="28">
        <f t="shared" si="217"/>
        <v>0</v>
      </c>
      <c r="BI150" s="28">
        <f t="shared" si="218"/>
        <v>0</v>
      </c>
      <c r="BJ150" s="28">
        <f t="shared" si="219"/>
        <v>0</v>
      </c>
      <c r="BK150" s="28"/>
      <c r="BL150" s="28">
        <v>731</v>
      </c>
      <c r="BW150" s="28">
        <v>12</v>
      </c>
      <c r="BX150" s="4" t="s">
        <v>442</v>
      </c>
    </row>
    <row r="151" spans="1:76" x14ac:dyDescent="0.25">
      <c r="A151" s="36" t="s">
        <v>50</v>
      </c>
      <c r="B151" s="37" t="s">
        <v>443</v>
      </c>
      <c r="C151" s="120" t="s">
        <v>444</v>
      </c>
      <c r="D151" s="121"/>
      <c r="E151" s="38" t="s">
        <v>4</v>
      </c>
      <c r="F151" s="38" t="s">
        <v>4</v>
      </c>
      <c r="G151" s="38" t="s">
        <v>4</v>
      </c>
      <c r="H151" s="39">
        <f>SUM(H152:H152)</f>
        <v>0</v>
      </c>
      <c r="I151" s="39">
        <f>SUM(I152:I152)</f>
        <v>0</v>
      </c>
      <c r="J151" s="39">
        <f>SUM(J152:J152)</f>
        <v>0</v>
      </c>
      <c r="K151" s="40" t="s">
        <v>50</v>
      </c>
      <c r="AI151" s="10" t="s">
        <v>50</v>
      </c>
      <c r="AS151" s="1">
        <f>SUM(AJ152:AJ152)</f>
        <v>0</v>
      </c>
      <c r="AT151" s="1">
        <f>SUM(AK152:AK152)</f>
        <v>0</v>
      </c>
      <c r="AU151" s="1">
        <f>SUM(AL152:AL152)</f>
        <v>0</v>
      </c>
    </row>
    <row r="152" spans="1:76" x14ac:dyDescent="0.25">
      <c r="A152" s="24" t="s">
        <v>445</v>
      </c>
      <c r="B152" s="25" t="s">
        <v>446</v>
      </c>
      <c r="C152" s="113" t="s">
        <v>447</v>
      </c>
      <c r="D152" s="114"/>
      <c r="E152" s="25" t="s">
        <v>287</v>
      </c>
      <c r="F152" s="26">
        <v>1</v>
      </c>
      <c r="G152" s="26">
        <v>0</v>
      </c>
      <c r="H152" s="26">
        <f>F152*AO152</f>
        <v>0</v>
      </c>
      <c r="I152" s="26">
        <f>F152*AP152</f>
        <v>0</v>
      </c>
      <c r="J152" s="26">
        <f>F152*G152</f>
        <v>0</v>
      </c>
      <c r="K152" s="27" t="s">
        <v>57</v>
      </c>
      <c r="Z152" s="28">
        <f>IF(AQ152="5",BJ152,0)</f>
        <v>0</v>
      </c>
      <c r="AB152" s="28">
        <f>IF(AQ152="1",BH152,0)</f>
        <v>0</v>
      </c>
      <c r="AC152" s="28">
        <f>IF(AQ152="1",BI152,0)</f>
        <v>0</v>
      </c>
      <c r="AD152" s="28">
        <f>IF(AQ152="7",BH152,0)</f>
        <v>0</v>
      </c>
      <c r="AE152" s="28">
        <f>IF(AQ152="7",BI152,0)</f>
        <v>0</v>
      </c>
      <c r="AF152" s="28">
        <f>IF(AQ152="2",BH152,0)</f>
        <v>0</v>
      </c>
      <c r="AG152" s="28">
        <f>IF(AQ152="2",BI152,0)</f>
        <v>0</v>
      </c>
      <c r="AH152" s="28">
        <f>IF(AQ152="0",BJ152,0)</f>
        <v>0</v>
      </c>
      <c r="AI152" s="10" t="s">
        <v>50</v>
      </c>
      <c r="AJ152" s="28">
        <f>IF(AN152=0,J152,0)</f>
        <v>0</v>
      </c>
      <c r="AK152" s="28">
        <f>IF(AN152=12,J152,0)</f>
        <v>0</v>
      </c>
      <c r="AL152" s="28">
        <f>IF(AN152=21,J152,0)</f>
        <v>0</v>
      </c>
      <c r="AN152" s="28">
        <v>12</v>
      </c>
      <c r="AO152" s="28">
        <f>G152*0.902083527</f>
        <v>0</v>
      </c>
      <c r="AP152" s="28">
        <f>G152*(1-0.902083527)</f>
        <v>0</v>
      </c>
      <c r="AQ152" s="29" t="s">
        <v>81</v>
      </c>
      <c r="AV152" s="28">
        <f>AW152+AX152</f>
        <v>0</v>
      </c>
      <c r="AW152" s="28">
        <f>F152*AO152</f>
        <v>0</v>
      </c>
      <c r="AX152" s="28">
        <f>F152*AP152</f>
        <v>0</v>
      </c>
      <c r="AY152" s="29" t="s">
        <v>448</v>
      </c>
      <c r="AZ152" s="29" t="s">
        <v>423</v>
      </c>
      <c r="BA152" s="10" t="s">
        <v>60</v>
      </c>
      <c r="BC152" s="28">
        <f>AW152+AX152</f>
        <v>0</v>
      </c>
      <c r="BD152" s="28">
        <f>G152/(100-BE152)*100</f>
        <v>0</v>
      </c>
      <c r="BE152" s="28">
        <v>0</v>
      </c>
      <c r="BF152" s="28">
        <f>152</f>
        <v>152</v>
      </c>
      <c r="BH152" s="28">
        <f>F152*AO152</f>
        <v>0</v>
      </c>
      <c r="BI152" s="28">
        <f>F152*AP152</f>
        <v>0</v>
      </c>
      <c r="BJ152" s="28">
        <f>F152*G152</f>
        <v>0</v>
      </c>
      <c r="BK152" s="28"/>
      <c r="BL152" s="28">
        <v>732</v>
      </c>
      <c r="BW152" s="28">
        <v>12</v>
      </c>
      <c r="BX152" s="4" t="s">
        <v>447</v>
      </c>
    </row>
    <row r="153" spans="1:76" x14ac:dyDescent="0.25">
      <c r="A153" s="36" t="s">
        <v>50</v>
      </c>
      <c r="B153" s="37" t="s">
        <v>449</v>
      </c>
      <c r="C153" s="120" t="s">
        <v>450</v>
      </c>
      <c r="D153" s="121"/>
      <c r="E153" s="38" t="s">
        <v>4</v>
      </c>
      <c r="F153" s="38" t="s">
        <v>4</v>
      </c>
      <c r="G153" s="38" t="s">
        <v>4</v>
      </c>
      <c r="H153" s="39">
        <f>SUM(H154:H161)</f>
        <v>0</v>
      </c>
      <c r="I153" s="39">
        <f>SUM(I154:I161)</f>
        <v>0</v>
      </c>
      <c r="J153" s="39">
        <f>SUM(J154:J161)</f>
        <v>0</v>
      </c>
      <c r="K153" s="40" t="s">
        <v>50</v>
      </c>
      <c r="AI153" s="10" t="s">
        <v>50</v>
      </c>
      <c r="AS153" s="1">
        <f>SUM(AJ154:AJ161)</f>
        <v>0</v>
      </c>
      <c r="AT153" s="1">
        <f>SUM(AK154:AK161)</f>
        <v>0</v>
      </c>
      <c r="AU153" s="1">
        <f>SUM(AL154:AL161)</f>
        <v>0</v>
      </c>
    </row>
    <row r="154" spans="1:76" x14ac:dyDescent="0.25">
      <c r="A154" s="24" t="s">
        <v>451</v>
      </c>
      <c r="B154" s="25" t="s">
        <v>452</v>
      </c>
      <c r="C154" s="113" t="s">
        <v>453</v>
      </c>
      <c r="D154" s="114"/>
      <c r="E154" s="25" t="s">
        <v>77</v>
      </c>
      <c r="F154" s="26">
        <v>9</v>
      </c>
      <c r="G154" s="26">
        <v>0</v>
      </c>
      <c r="H154" s="26">
        <f>F154*AO154</f>
        <v>0</v>
      </c>
      <c r="I154" s="26">
        <f>F154*AP154</f>
        <v>0</v>
      </c>
      <c r="J154" s="26">
        <f>F154*G154</f>
        <v>0</v>
      </c>
      <c r="K154" s="27" t="s">
        <v>57</v>
      </c>
      <c r="Z154" s="28">
        <f>IF(AQ154="5",BJ154,0)</f>
        <v>0</v>
      </c>
      <c r="AB154" s="28">
        <f>IF(AQ154="1",BH154,0)</f>
        <v>0</v>
      </c>
      <c r="AC154" s="28">
        <f>IF(AQ154="1",BI154,0)</f>
        <v>0</v>
      </c>
      <c r="AD154" s="28">
        <f>IF(AQ154="7",BH154,0)</f>
        <v>0</v>
      </c>
      <c r="AE154" s="28">
        <f>IF(AQ154="7",BI154,0)</f>
        <v>0</v>
      </c>
      <c r="AF154" s="28">
        <f>IF(AQ154="2",BH154,0)</f>
        <v>0</v>
      </c>
      <c r="AG154" s="28">
        <f>IF(AQ154="2",BI154,0)</f>
        <v>0</v>
      </c>
      <c r="AH154" s="28">
        <f>IF(AQ154="0",BJ154,0)</f>
        <v>0</v>
      </c>
      <c r="AI154" s="10" t="s">
        <v>50</v>
      </c>
      <c r="AJ154" s="28">
        <f>IF(AN154=0,J154,0)</f>
        <v>0</v>
      </c>
      <c r="AK154" s="28">
        <f>IF(AN154=12,J154,0)</f>
        <v>0</v>
      </c>
      <c r="AL154" s="28">
        <f>IF(AN154=21,J154,0)</f>
        <v>0</v>
      </c>
      <c r="AN154" s="28">
        <v>12</v>
      </c>
      <c r="AO154" s="28">
        <f>G154*0.603939394</f>
        <v>0</v>
      </c>
      <c r="AP154" s="28">
        <f>G154*(1-0.603939394)</f>
        <v>0</v>
      </c>
      <c r="AQ154" s="29" t="s">
        <v>81</v>
      </c>
      <c r="AV154" s="28">
        <f>AW154+AX154</f>
        <v>0</v>
      </c>
      <c r="AW154" s="28">
        <f>F154*AO154</f>
        <v>0</v>
      </c>
      <c r="AX154" s="28">
        <f>F154*AP154</f>
        <v>0</v>
      </c>
      <c r="AY154" s="29" t="s">
        <v>454</v>
      </c>
      <c r="AZ154" s="29" t="s">
        <v>423</v>
      </c>
      <c r="BA154" s="10" t="s">
        <v>60</v>
      </c>
      <c r="BC154" s="28">
        <f>AW154+AX154</f>
        <v>0</v>
      </c>
      <c r="BD154" s="28">
        <f>G154/(100-BE154)*100</f>
        <v>0</v>
      </c>
      <c r="BE154" s="28">
        <v>0</v>
      </c>
      <c r="BF154" s="28">
        <f>154</f>
        <v>154</v>
      </c>
      <c r="BH154" s="28">
        <f>F154*AO154</f>
        <v>0</v>
      </c>
      <c r="BI154" s="28">
        <f>F154*AP154</f>
        <v>0</v>
      </c>
      <c r="BJ154" s="28">
        <f>F154*G154</f>
        <v>0</v>
      </c>
      <c r="BK154" s="28"/>
      <c r="BL154" s="28">
        <v>733</v>
      </c>
      <c r="BW154" s="28">
        <v>12</v>
      </c>
      <c r="BX154" s="4" t="s">
        <v>453</v>
      </c>
    </row>
    <row r="155" spans="1:76" x14ac:dyDescent="0.25">
      <c r="A155" s="30" t="s">
        <v>455</v>
      </c>
      <c r="B155" s="31" t="s">
        <v>456</v>
      </c>
      <c r="C155" s="115" t="s">
        <v>457</v>
      </c>
      <c r="D155" s="116"/>
      <c r="E155" s="31" t="s">
        <v>77</v>
      </c>
      <c r="F155" s="32">
        <v>14</v>
      </c>
      <c r="G155" s="32">
        <v>0</v>
      </c>
      <c r="H155" s="32">
        <f>F155*AO155</f>
        <v>0</v>
      </c>
      <c r="I155" s="32">
        <f>F155*AP155</f>
        <v>0</v>
      </c>
      <c r="J155" s="32">
        <f>F155*G155</f>
        <v>0</v>
      </c>
      <c r="K155" s="33" t="s">
        <v>57</v>
      </c>
      <c r="Z155" s="28">
        <f>IF(AQ155="5",BJ155,0)</f>
        <v>0</v>
      </c>
      <c r="AB155" s="28">
        <f>IF(AQ155="1",BH155,0)</f>
        <v>0</v>
      </c>
      <c r="AC155" s="28">
        <f>IF(AQ155="1",BI155,0)</f>
        <v>0</v>
      </c>
      <c r="AD155" s="28">
        <f>IF(AQ155="7",BH155,0)</f>
        <v>0</v>
      </c>
      <c r="AE155" s="28">
        <f>IF(AQ155="7",BI155,0)</f>
        <v>0</v>
      </c>
      <c r="AF155" s="28">
        <f>IF(AQ155="2",BH155,0)</f>
        <v>0</v>
      </c>
      <c r="AG155" s="28">
        <f>IF(AQ155="2",BI155,0)</f>
        <v>0</v>
      </c>
      <c r="AH155" s="28">
        <f>IF(AQ155="0",BJ155,0)</f>
        <v>0</v>
      </c>
      <c r="AI155" s="10" t="s">
        <v>50</v>
      </c>
      <c r="AJ155" s="28">
        <f>IF(AN155=0,J155,0)</f>
        <v>0</v>
      </c>
      <c r="AK155" s="28">
        <f>IF(AN155=12,J155,0)</f>
        <v>0</v>
      </c>
      <c r="AL155" s="28">
        <f>IF(AN155=21,J155,0)</f>
        <v>0</v>
      </c>
      <c r="AN155" s="28">
        <v>12</v>
      </c>
      <c r="AO155" s="28">
        <f>G155*0.642337284</f>
        <v>0</v>
      </c>
      <c r="AP155" s="28">
        <f>G155*(1-0.642337284)</f>
        <v>0</v>
      </c>
      <c r="AQ155" s="29" t="s">
        <v>81</v>
      </c>
      <c r="AV155" s="28">
        <f>AW155+AX155</f>
        <v>0</v>
      </c>
      <c r="AW155" s="28">
        <f>F155*AO155</f>
        <v>0</v>
      </c>
      <c r="AX155" s="28">
        <f>F155*AP155</f>
        <v>0</v>
      </c>
      <c r="AY155" s="29" t="s">
        <v>454</v>
      </c>
      <c r="AZ155" s="29" t="s">
        <v>423</v>
      </c>
      <c r="BA155" s="10" t="s">
        <v>60</v>
      </c>
      <c r="BC155" s="28">
        <f>AW155+AX155</f>
        <v>0</v>
      </c>
      <c r="BD155" s="28">
        <f>G155/(100-BE155)*100</f>
        <v>0</v>
      </c>
      <c r="BE155" s="28">
        <v>0</v>
      </c>
      <c r="BF155" s="28">
        <f>155</f>
        <v>155</v>
      </c>
      <c r="BH155" s="28">
        <f>F155*AO155</f>
        <v>0</v>
      </c>
      <c r="BI155" s="28">
        <f>F155*AP155</f>
        <v>0</v>
      </c>
      <c r="BJ155" s="28">
        <f>F155*G155</f>
        <v>0</v>
      </c>
      <c r="BK155" s="28"/>
      <c r="BL155" s="28">
        <v>733</v>
      </c>
      <c r="BW155" s="28">
        <v>12</v>
      </c>
      <c r="BX155" s="4" t="s">
        <v>457</v>
      </c>
    </row>
    <row r="156" spans="1:76" x14ac:dyDescent="0.25">
      <c r="A156" s="30" t="s">
        <v>458</v>
      </c>
      <c r="B156" s="31" t="s">
        <v>459</v>
      </c>
      <c r="C156" s="115" t="s">
        <v>460</v>
      </c>
      <c r="D156" s="116"/>
      <c r="E156" s="31" t="s">
        <v>77</v>
      </c>
      <c r="F156" s="32">
        <v>9</v>
      </c>
      <c r="G156" s="32">
        <v>0</v>
      </c>
      <c r="H156" s="32">
        <f>F156*AO156</f>
        <v>0</v>
      </c>
      <c r="I156" s="32">
        <f>F156*AP156</f>
        <v>0</v>
      </c>
      <c r="J156" s="32">
        <f>F156*G156</f>
        <v>0</v>
      </c>
      <c r="K156" s="33" t="s">
        <v>57</v>
      </c>
      <c r="Z156" s="28">
        <f>IF(AQ156="5",BJ156,0)</f>
        <v>0</v>
      </c>
      <c r="AB156" s="28">
        <f>IF(AQ156="1",BH156,0)</f>
        <v>0</v>
      </c>
      <c r="AC156" s="28">
        <f>IF(AQ156="1",BI156,0)</f>
        <v>0</v>
      </c>
      <c r="AD156" s="28">
        <f>IF(AQ156="7",BH156,0)</f>
        <v>0</v>
      </c>
      <c r="AE156" s="28">
        <f>IF(AQ156="7",BI156,0)</f>
        <v>0</v>
      </c>
      <c r="AF156" s="28">
        <f>IF(AQ156="2",BH156,0)</f>
        <v>0</v>
      </c>
      <c r="AG156" s="28">
        <f>IF(AQ156="2",BI156,0)</f>
        <v>0</v>
      </c>
      <c r="AH156" s="28">
        <f>IF(AQ156="0",BJ156,0)</f>
        <v>0</v>
      </c>
      <c r="AI156" s="10" t="s">
        <v>50</v>
      </c>
      <c r="AJ156" s="28">
        <f>IF(AN156=0,J156,0)</f>
        <v>0</v>
      </c>
      <c r="AK156" s="28">
        <f>IF(AN156=12,J156,0)</f>
        <v>0</v>
      </c>
      <c r="AL156" s="28">
        <f>IF(AN156=21,J156,0)</f>
        <v>0</v>
      </c>
      <c r="AN156" s="28">
        <v>12</v>
      </c>
      <c r="AO156" s="28">
        <f>G156*0.209235209</f>
        <v>0</v>
      </c>
      <c r="AP156" s="28">
        <f>G156*(1-0.209235209)</f>
        <v>0</v>
      </c>
      <c r="AQ156" s="29" t="s">
        <v>81</v>
      </c>
      <c r="AV156" s="28">
        <f>AW156+AX156</f>
        <v>0</v>
      </c>
      <c r="AW156" s="28">
        <f>F156*AO156</f>
        <v>0</v>
      </c>
      <c r="AX156" s="28">
        <f>F156*AP156</f>
        <v>0</v>
      </c>
      <c r="AY156" s="29" t="s">
        <v>454</v>
      </c>
      <c r="AZ156" s="29" t="s">
        <v>423</v>
      </c>
      <c r="BA156" s="10" t="s">
        <v>60</v>
      </c>
      <c r="BC156" s="28">
        <f>AW156+AX156</f>
        <v>0</v>
      </c>
      <c r="BD156" s="28">
        <f>G156/(100-BE156)*100</f>
        <v>0</v>
      </c>
      <c r="BE156" s="28">
        <v>0</v>
      </c>
      <c r="BF156" s="28">
        <f>156</f>
        <v>156</v>
      </c>
      <c r="BH156" s="28">
        <f>F156*AO156</f>
        <v>0</v>
      </c>
      <c r="BI156" s="28">
        <f>F156*AP156</f>
        <v>0</v>
      </c>
      <c r="BJ156" s="28">
        <f>F156*G156</f>
        <v>0</v>
      </c>
      <c r="BK156" s="28"/>
      <c r="BL156" s="28">
        <v>733</v>
      </c>
      <c r="BW156" s="28">
        <v>12</v>
      </c>
      <c r="BX156" s="4" t="s">
        <v>460</v>
      </c>
    </row>
    <row r="157" spans="1:76" ht="13.5" customHeight="1" x14ac:dyDescent="0.25">
      <c r="A157" s="34"/>
      <c r="B157" s="35" t="s">
        <v>65</v>
      </c>
      <c r="C157" s="117" t="s">
        <v>461</v>
      </c>
      <c r="D157" s="118"/>
      <c r="E157" s="118"/>
      <c r="F157" s="118"/>
      <c r="G157" s="118"/>
      <c r="H157" s="118"/>
      <c r="I157" s="118"/>
      <c r="J157" s="118"/>
      <c r="K157" s="119"/>
    </row>
    <row r="158" spans="1:76" x14ac:dyDescent="0.25">
      <c r="A158" s="24" t="s">
        <v>462</v>
      </c>
      <c r="B158" s="25" t="s">
        <v>463</v>
      </c>
      <c r="C158" s="113" t="s">
        <v>460</v>
      </c>
      <c r="D158" s="114"/>
      <c r="E158" s="25" t="s">
        <v>77</v>
      </c>
      <c r="F158" s="26">
        <v>14</v>
      </c>
      <c r="G158" s="26">
        <v>0</v>
      </c>
      <c r="H158" s="26">
        <f>F158*AO158</f>
        <v>0</v>
      </c>
      <c r="I158" s="26">
        <f>F158*AP158</f>
        <v>0</v>
      </c>
      <c r="J158" s="26">
        <f>F158*G158</f>
        <v>0</v>
      </c>
      <c r="K158" s="27" t="s">
        <v>57</v>
      </c>
      <c r="Z158" s="28">
        <f>IF(AQ158="5",BJ158,0)</f>
        <v>0</v>
      </c>
      <c r="AB158" s="28">
        <f>IF(AQ158="1",BH158,0)</f>
        <v>0</v>
      </c>
      <c r="AC158" s="28">
        <f>IF(AQ158="1",BI158,0)</f>
        <v>0</v>
      </c>
      <c r="AD158" s="28">
        <f>IF(AQ158="7",BH158,0)</f>
        <v>0</v>
      </c>
      <c r="AE158" s="28">
        <f>IF(AQ158="7",BI158,0)</f>
        <v>0</v>
      </c>
      <c r="AF158" s="28">
        <f>IF(AQ158="2",BH158,0)</f>
        <v>0</v>
      </c>
      <c r="AG158" s="28">
        <f>IF(AQ158="2",BI158,0)</f>
        <v>0</v>
      </c>
      <c r="AH158" s="28">
        <f>IF(AQ158="0",BJ158,0)</f>
        <v>0</v>
      </c>
      <c r="AI158" s="10" t="s">
        <v>50</v>
      </c>
      <c r="AJ158" s="28">
        <f>IF(AN158=0,J158,0)</f>
        <v>0</v>
      </c>
      <c r="AK158" s="28">
        <f>IF(AN158=12,J158,0)</f>
        <v>0</v>
      </c>
      <c r="AL158" s="28">
        <f>IF(AN158=21,J158,0)</f>
        <v>0</v>
      </c>
      <c r="AN158" s="28">
        <v>12</v>
      </c>
      <c r="AO158" s="28">
        <f>G158*0.221444967</f>
        <v>0</v>
      </c>
      <c r="AP158" s="28">
        <f>G158*(1-0.221444967)</f>
        <v>0</v>
      </c>
      <c r="AQ158" s="29" t="s">
        <v>81</v>
      </c>
      <c r="AV158" s="28">
        <f>AW158+AX158</f>
        <v>0</v>
      </c>
      <c r="AW158" s="28">
        <f>F158*AO158</f>
        <v>0</v>
      </c>
      <c r="AX158" s="28">
        <f>F158*AP158</f>
        <v>0</v>
      </c>
      <c r="AY158" s="29" t="s">
        <v>454</v>
      </c>
      <c r="AZ158" s="29" t="s">
        <v>423</v>
      </c>
      <c r="BA158" s="10" t="s">
        <v>60</v>
      </c>
      <c r="BC158" s="28">
        <f>AW158+AX158</f>
        <v>0</v>
      </c>
      <c r="BD158" s="28">
        <f>G158/(100-BE158)*100</f>
        <v>0</v>
      </c>
      <c r="BE158" s="28">
        <v>0</v>
      </c>
      <c r="BF158" s="28">
        <f>158</f>
        <v>158</v>
      </c>
      <c r="BH158" s="28">
        <f>F158*AO158</f>
        <v>0</v>
      </c>
      <c r="BI158" s="28">
        <f>F158*AP158</f>
        <v>0</v>
      </c>
      <c r="BJ158" s="28">
        <f>F158*G158</f>
        <v>0</v>
      </c>
      <c r="BK158" s="28"/>
      <c r="BL158" s="28">
        <v>733</v>
      </c>
      <c r="BW158" s="28">
        <v>12</v>
      </c>
      <c r="BX158" s="4" t="s">
        <v>460</v>
      </c>
    </row>
    <row r="159" spans="1:76" ht="13.5" customHeight="1" x14ac:dyDescent="0.25">
      <c r="A159" s="34"/>
      <c r="B159" s="35" t="s">
        <v>65</v>
      </c>
      <c r="C159" s="117" t="s">
        <v>464</v>
      </c>
      <c r="D159" s="118"/>
      <c r="E159" s="118"/>
      <c r="F159" s="118"/>
      <c r="G159" s="118"/>
      <c r="H159" s="118"/>
      <c r="I159" s="118"/>
      <c r="J159" s="118"/>
      <c r="K159" s="119"/>
    </row>
    <row r="160" spans="1:76" x14ac:dyDescent="0.25">
      <c r="A160" s="24" t="s">
        <v>465</v>
      </c>
      <c r="B160" s="25" t="s">
        <v>466</v>
      </c>
      <c r="C160" s="113" t="s">
        <v>467</v>
      </c>
      <c r="D160" s="114"/>
      <c r="E160" s="25" t="s">
        <v>77</v>
      </c>
      <c r="F160" s="26">
        <v>23</v>
      </c>
      <c r="G160" s="26">
        <v>0</v>
      </c>
      <c r="H160" s="26">
        <f>F160*AO160</f>
        <v>0</v>
      </c>
      <c r="I160" s="26">
        <f>F160*AP160</f>
        <v>0</v>
      </c>
      <c r="J160" s="26">
        <f>F160*G160</f>
        <v>0</v>
      </c>
      <c r="K160" s="27" t="s">
        <v>57</v>
      </c>
      <c r="Z160" s="28">
        <f>IF(AQ160="5",BJ160,0)</f>
        <v>0</v>
      </c>
      <c r="AB160" s="28">
        <f>IF(AQ160="1",BH160,0)</f>
        <v>0</v>
      </c>
      <c r="AC160" s="28">
        <f>IF(AQ160="1",BI160,0)</f>
        <v>0</v>
      </c>
      <c r="AD160" s="28">
        <f>IF(AQ160="7",BH160,0)</f>
        <v>0</v>
      </c>
      <c r="AE160" s="28">
        <f>IF(AQ160="7",BI160,0)</f>
        <v>0</v>
      </c>
      <c r="AF160" s="28">
        <f>IF(AQ160="2",BH160,0)</f>
        <v>0</v>
      </c>
      <c r="AG160" s="28">
        <f>IF(AQ160="2",BI160,0)</f>
        <v>0</v>
      </c>
      <c r="AH160" s="28">
        <f>IF(AQ160="0",BJ160,0)</f>
        <v>0</v>
      </c>
      <c r="AI160" s="10" t="s">
        <v>50</v>
      </c>
      <c r="AJ160" s="28">
        <f>IF(AN160=0,J160,0)</f>
        <v>0</v>
      </c>
      <c r="AK160" s="28">
        <f>IF(AN160=12,J160,0)</f>
        <v>0</v>
      </c>
      <c r="AL160" s="28">
        <f>IF(AN160=21,J160,0)</f>
        <v>0</v>
      </c>
      <c r="AN160" s="28">
        <v>12</v>
      </c>
      <c r="AO160" s="28">
        <f>G160*0.024528302</f>
        <v>0</v>
      </c>
      <c r="AP160" s="28">
        <f>G160*(1-0.024528302)</f>
        <v>0</v>
      </c>
      <c r="AQ160" s="29" t="s">
        <v>81</v>
      </c>
      <c r="AV160" s="28">
        <f>AW160+AX160</f>
        <v>0</v>
      </c>
      <c r="AW160" s="28">
        <f>F160*AO160</f>
        <v>0</v>
      </c>
      <c r="AX160" s="28">
        <f>F160*AP160</f>
        <v>0</v>
      </c>
      <c r="AY160" s="29" t="s">
        <v>454</v>
      </c>
      <c r="AZ160" s="29" t="s">
        <v>423</v>
      </c>
      <c r="BA160" s="10" t="s">
        <v>60</v>
      </c>
      <c r="BC160" s="28">
        <f>AW160+AX160</f>
        <v>0</v>
      </c>
      <c r="BD160" s="28">
        <f>G160/(100-BE160)*100</f>
        <v>0</v>
      </c>
      <c r="BE160" s="28">
        <v>0</v>
      </c>
      <c r="BF160" s="28">
        <f>160</f>
        <v>160</v>
      </c>
      <c r="BH160" s="28">
        <f>F160*AO160</f>
        <v>0</v>
      </c>
      <c r="BI160" s="28">
        <f>F160*AP160</f>
        <v>0</v>
      </c>
      <c r="BJ160" s="28">
        <f>F160*G160</f>
        <v>0</v>
      </c>
      <c r="BK160" s="28"/>
      <c r="BL160" s="28">
        <v>733</v>
      </c>
      <c r="BW160" s="28">
        <v>12</v>
      </c>
      <c r="BX160" s="4" t="s">
        <v>467</v>
      </c>
    </row>
    <row r="161" spans="1:76" x14ac:dyDescent="0.25">
      <c r="A161" s="30" t="s">
        <v>468</v>
      </c>
      <c r="B161" s="31" t="s">
        <v>469</v>
      </c>
      <c r="C161" s="115" t="s">
        <v>470</v>
      </c>
      <c r="D161" s="116"/>
      <c r="E161" s="31" t="s">
        <v>87</v>
      </c>
      <c r="F161" s="32">
        <v>1.9619999999999999E-2</v>
      </c>
      <c r="G161" s="32">
        <v>0</v>
      </c>
      <c r="H161" s="32">
        <f>F161*AO161</f>
        <v>0</v>
      </c>
      <c r="I161" s="32">
        <f>F161*AP161</f>
        <v>0</v>
      </c>
      <c r="J161" s="32">
        <f>F161*G161</f>
        <v>0</v>
      </c>
      <c r="K161" s="33" t="s">
        <v>57</v>
      </c>
      <c r="Z161" s="28">
        <f>IF(AQ161="5",BJ161,0)</f>
        <v>0</v>
      </c>
      <c r="AB161" s="28">
        <f>IF(AQ161="1",BH161,0)</f>
        <v>0</v>
      </c>
      <c r="AC161" s="28">
        <f>IF(AQ161="1",BI161,0)</f>
        <v>0</v>
      </c>
      <c r="AD161" s="28">
        <f>IF(AQ161="7",BH161,0)</f>
        <v>0</v>
      </c>
      <c r="AE161" s="28">
        <f>IF(AQ161="7",BI161,0)</f>
        <v>0</v>
      </c>
      <c r="AF161" s="28">
        <f>IF(AQ161="2",BH161,0)</f>
        <v>0</v>
      </c>
      <c r="AG161" s="28">
        <f>IF(AQ161="2",BI161,0)</f>
        <v>0</v>
      </c>
      <c r="AH161" s="28">
        <f>IF(AQ161="0",BJ161,0)</f>
        <v>0</v>
      </c>
      <c r="AI161" s="10" t="s">
        <v>50</v>
      </c>
      <c r="AJ161" s="28">
        <f>IF(AN161=0,J161,0)</f>
        <v>0</v>
      </c>
      <c r="AK161" s="28">
        <f>IF(AN161=12,J161,0)</f>
        <v>0</v>
      </c>
      <c r="AL161" s="28">
        <f>IF(AN161=21,J161,0)</f>
        <v>0</v>
      </c>
      <c r="AN161" s="28">
        <v>12</v>
      </c>
      <c r="AO161" s="28">
        <f>G161*0</f>
        <v>0</v>
      </c>
      <c r="AP161" s="28">
        <f>G161*(1-0)</f>
        <v>0</v>
      </c>
      <c r="AQ161" s="29" t="s">
        <v>74</v>
      </c>
      <c r="AV161" s="28">
        <f>AW161+AX161</f>
        <v>0</v>
      </c>
      <c r="AW161" s="28">
        <f>F161*AO161</f>
        <v>0</v>
      </c>
      <c r="AX161" s="28">
        <f>F161*AP161</f>
        <v>0</v>
      </c>
      <c r="AY161" s="29" t="s">
        <v>454</v>
      </c>
      <c r="AZ161" s="29" t="s">
        <v>423</v>
      </c>
      <c r="BA161" s="10" t="s">
        <v>60</v>
      </c>
      <c r="BC161" s="28">
        <f>AW161+AX161</f>
        <v>0</v>
      </c>
      <c r="BD161" s="28">
        <f>G161/(100-BE161)*100</f>
        <v>0</v>
      </c>
      <c r="BE161" s="28">
        <v>0</v>
      </c>
      <c r="BF161" s="28">
        <f>161</f>
        <v>161</v>
      </c>
      <c r="BH161" s="28">
        <f>F161*AO161</f>
        <v>0</v>
      </c>
      <c r="BI161" s="28">
        <f>F161*AP161</f>
        <v>0</v>
      </c>
      <c r="BJ161" s="28">
        <f>F161*G161</f>
        <v>0</v>
      </c>
      <c r="BK161" s="28"/>
      <c r="BL161" s="28">
        <v>733</v>
      </c>
      <c r="BW161" s="28">
        <v>12</v>
      </c>
      <c r="BX161" s="4" t="s">
        <v>470</v>
      </c>
    </row>
    <row r="162" spans="1:76" x14ac:dyDescent="0.25">
      <c r="A162" s="36" t="s">
        <v>50</v>
      </c>
      <c r="B162" s="37" t="s">
        <v>471</v>
      </c>
      <c r="C162" s="120" t="s">
        <v>472</v>
      </c>
      <c r="D162" s="121"/>
      <c r="E162" s="38" t="s">
        <v>4</v>
      </c>
      <c r="F162" s="38" t="s">
        <v>4</v>
      </c>
      <c r="G162" s="38" t="s">
        <v>4</v>
      </c>
      <c r="H162" s="39">
        <f>SUM(H163:H171)</f>
        <v>0</v>
      </c>
      <c r="I162" s="39">
        <f>SUM(I163:I171)</f>
        <v>0</v>
      </c>
      <c r="J162" s="39">
        <f>SUM(J163:J171)</f>
        <v>0</v>
      </c>
      <c r="K162" s="40" t="s">
        <v>50</v>
      </c>
      <c r="AI162" s="10" t="s">
        <v>50</v>
      </c>
      <c r="AS162" s="1">
        <f>SUM(AJ163:AJ171)</f>
        <v>0</v>
      </c>
      <c r="AT162" s="1">
        <f>SUM(AK163:AK171)</f>
        <v>0</v>
      </c>
      <c r="AU162" s="1">
        <f>SUM(AL163:AL171)</f>
        <v>0</v>
      </c>
    </row>
    <row r="163" spans="1:76" x14ac:dyDescent="0.25">
      <c r="A163" s="24" t="s">
        <v>473</v>
      </c>
      <c r="B163" s="25" t="s">
        <v>474</v>
      </c>
      <c r="C163" s="113" t="s">
        <v>475</v>
      </c>
      <c r="D163" s="114"/>
      <c r="E163" s="25" t="s">
        <v>56</v>
      </c>
      <c r="F163" s="26">
        <v>3</v>
      </c>
      <c r="G163" s="26">
        <v>0</v>
      </c>
      <c r="H163" s="26">
        <f>F163*AO163</f>
        <v>0</v>
      </c>
      <c r="I163" s="26">
        <f>F163*AP163</f>
        <v>0</v>
      </c>
      <c r="J163" s="26">
        <f>F163*G163</f>
        <v>0</v>
      </c>
      <c r="K163" s="27" t="s">
        <v>57</v>
      </c>
      <c r="Z163" s="28">
        <f>IF(AQ163="5",BJ163,0)</f>
        <v>0</v>
      </c>
      <c r="AB163" s="28">
        <f>IF(AQ163="1",BH163,0)</f>
        <v>0</v>
      </c>
      <c r="AC163" s="28">
        <f>IF(AQ163="1",BI163,0)</f>
        <v>0</v>
      </c>
      <c r="AD163" s="28">
        <f>IF(AQ163="7",BH163,0)</f>
        <v>0</v>
      </c>
      <c r="AE163" s="28">
        <f>IF(AQ163="7",BI163,0)</f>
        <v>0</v>
      </c>
      <c r="AF163" s="28">
        <f>IF(AQ163="2",BH163,0)</f>
        <v>0</v>
      </c>
      <c r="AG163" s="28">
        <f>IF(AQ163="2",BI163,0)</f>
        <v>0</v>
      </c>
      <c r="AH163" s="28">
        <f>IF(AQ163="0",BJ163,0)</f>
        <v>0</v>
      </c>
      <c r="AI163" s="10" t="s">
        <v>50</v>
      </c>
      <c r="AJ163" s="28">
        <f>IF(AN163=0,J163,0)</f>
        <v>0</v>
      </c>
      <c r="AK163" s="28">
        <f>IF(AN163=12,J163,0)</f>
        <v>0</v>
      </c>
      <c r="AL163" s="28">
        <f>IF(AN163=21,J163,0)</f>
        <v>0</v>
      </c>
      <c r="AN163" s="28">
        <v>12</v>
      </c>
      <c r="AO163" s="28">
        <f>G163*0.785112299</f>
        <v>0</v>
      </c>
      <c r="AP163" s="28">
        <f>G163*(1-0.785112299)</f>
        <v>0</v>
      </c>
      <c r="AQ163" s="29" t="s">
        <v>81</v>
      </c>
      <c r="AV163" s="28">
        <f>AW163+AX163</f>
        <v>0</v>
      </c>
      <c r="AW163" s="28">
        <f>F163*AO163</f>
        <v>0</v>
      </c>
      <c r="AX163" s="28">
        <f>F163*AP163</f>
        <v>0</v>
      </c>
      <c r="AY163" s="29" t="s">
        <v>476</v>
      </c>
      <c r="AZ163" s="29" t="s">
        <v>423</v>
      </c>
      <c r="BA163" s="10" t="s">
        <v>60</v>
      </c>
      <c r="BC163" s="28">
        <f>AW163+AX163</f>
        <v>0</v>
      </c>
      <c r="BD163" s="28">
        <f>G163/(100-BE163)*100</f>
        <v>0</v>
      </c>
      <c r="BE163" s="28">
        <v>0</v>
      </c>
      <c r="BF163" s="28">
        <f>163</f>
        <v>163</v>
      </c>
      <c r="BH163" s="28">
        <f>F163*AO163</f>
        <v>0</v>
      </c>
      <c r="BI163" s="28">
        <f>F163*AP163</f>
        <v>0</v>
      </c>
      <c r="BJ163" s="28">
        <f>F163*G163</f>
        <v>0</v>
      </c>
      <c r="BK163" s="28"/>
      <c r="BL163" s="28">
        <v>734</v>
      </c>
      <c r="BW163" s="28">
        <v>12</v>
      </c>
      <c r="BX163" s="4" t="s">
        <v>475</v>
      </c>
    </row>
    <row r="164" spans="1:76" ht="13.5" customHeight="1" x14ac:dyDescent="0.25">
      <c r="A164" s="34"/>
      <c r="B164" s="35" t="s">
        <v>65</v>
      </c>
      <c r="C164" s="117" t="s">
        <v>477</v>
      </c>
      <c r="D164" s="118"/>
      <c r="E164" s="118"/>
      <c r="F164" s="118"/>
      <c r="G164" s="118"/>
      <c r="H164" s="118"/>
      <c r="I164" s="118"/>
      <c r="J164" s="118"/>
      <c r="K164" s="119"/>
    </row>
    <row r="165" spans="1:76" x14ac:dyDescent="0.25">
      <c r="A165" s="24" t="s">
        <v>478</v>
      </c>
      <c r="B165" s="25" t="s">
        <v>479</v>
      </c>
      <c r="C165" s="113" t="s">
        <v>480</v>
      </c>
      <c r="D165" s="114"/>
      <c r="E165" s="25" t="s">
        <v>56</v>
      </c>
      <c r="F165" s="26">
        <v>3</v>
      </c>
      <c r="G165" s="26">
        <v>0</v>
      </c>
      <c r="H165" s="26">
        <f t="shared" ref="H165:H171" si="220">F165*AO165</f>
        <v>0</v>
      </c>
      <c r="I165" s="26">
        <f t="shared" ref="I165:I171" si="221">F165*AP165</f>
        <v>0</v>
      </c>
      <c r="J165" s="26">
        <f t="shared" ref="J165:J171" si="222">F165*G165</f>
        <v>0</v>
      </c>
      <c r="K165" s="27" t="s">
        <v>57</v>
      </c>
      <c r="Z165" s="28">
        <f t="shared" ref="Z165:Z171" si="223">IF(AQ165="5",BJ165,0)</f>
        <v>0</v>
      </c>
      <c r="AB165" s="28">
        <f t="shared" ref="AB165:AB171" si="224">IF(AQ165="1",BH165,0)</f>
        <v>0</v>
      </c>
      <c r="AC165" s="28">
        <f t="shared" ref="AC165:AC171" si="225">IF(AQ165="1",BI165,0)</f>
        <v>0</v>
      </c>
      <c r="AD165" s="28">
        <f t="shared" ref="AD165:AD171" si="226">IF(AQ165="7",BH165,0)</f>
        <v>0</v>
      </c>
      <c r="AE165" s="28">
        <f t="shared" ref="AE165:AE171" si="227">IF(AQ165="7",BI165,0)</f>
        <v>0</v>
      </c>
      <c r="AF165" s="28">
        <f t="shared" ref="AF165:AF171" si="228">IF(AQ165="2",BH165,0)</f>
        <v>0</v>
      </c>
      <c r="AG165" s="28">
        <f t="shared" ref="AG165:AG171" si="229">IF(AQ165="2",BI165,0)</f>
        <v>0</v>
      </c>
      <c r="AH165" s="28">
        <f t="shared" ref="AH165:AH171" si="230">IF(AQ165="0",BJ165,0)</f>
        <v>0</v>
      </c>
      <c r="AI165" s="10" t="s">
        <v>50</v>
      </c>
      <c r="AJ165" s="28">
        <f t="shared" ref="AJ165:AJ171" si="231">IF(AN165=0,J165,0)</f>
        <v>0</v>
      </c>
      <c r="AK165" s="28">
        <f t="shared" ref="AK165:AK171" si="232">IF(AN165=12,J165,0)</f>
        <v>0</v>
      </c>
      <c r="AL165" s="28">
        <f t="shared" ref="AL165:AL171" si="233">IF(AN165=21,J165,0)</f>
        <v>0</v>
      </c>
      <c r="AN165" s="28">
        <v>12</v>
      </c>
      <c r="AO165" s="28">
        <f>G165*0.913556485</f>
        <v>0</v>
      </c>
      <c r="AP165" s="28">
        <f>G165*(1-0.913556485)</f>
        <v>0</v>
      </c>
      <c r="AQ165" s="29" t="s">
        <v>81</v>
      </c>
      <c r="AV165" s="28">
        <f t="shared" ref="AV165:AV171" si="234">AW165+AX165</f>
        <v>0</v>
      </c>
      <c r="AW165" s="28">
        <f t="shared" ref="AW165:AW171" si="235">F165*AO165</f>
        <v>0</v>
      </c>
      <c r="AX165" s="28">
        <f t="shared" ref="AX165:AX171" si="236">F165*AP165</f>
        <v>0</v>
      </c>
      <c r="AY165" s="29" t="s">
        <v>476</v>
      </c>
      <c r="AZ165" s="29" t="s">
        <v>423</v>
      </c>
      <c r="BA165" s="10" t="s">
        <v>60</v>
      </c>
      <c r="BC165" s="28">
        <f t="shared" ref="BC165:BC171" si="237">AW165+AX165</f>
        <v>0</v>
      </c>
      <c r="BD165" s="28">
        <f t="shared" ref="BD165:BD171" si="238">G165/(100-BE165)*100</f>
        <v>0</v>
      </c>
      <c r="BE165" s="28">
        <v>0</v>
      </c>
      <c r="BF165" s="28">
        <f>165</f>
        <v>165</v>
      </c>
      <c r="BH165" s="28">
        <f t="shared" ref="BH165:BH171" si="239">F165*AO165</f>
        <v>0</v>
      </c>
      <c r="BI165" s="28">
        <f t="shared" ref="BI165:BI171" si="240">F165*AP165</f>
        <v>0</v>
      </c>
      <c r="BJ165" s="28">
        <f t="shared" ref="BJ165:BJ171" si="241">F165*G165</f>
        <v>0</v>
      </c>
      <c r="BK165" s="28"/>
      <c r="BL165" s="28">
        <v>734</v>
      </c>
      <c r="BW165" s="28">
        <v>12</v>
      </c>
      <c r="BX165" s="4" t="s">
        <v>480</v>
      </c>
    </row>
    <row r="166" spans="1:76" x14ac:dyDescent="0.25">
      <c r="A166" s="30" t="s">
        <v>481</v>
      </c>
      <c r="B166" s="31" t="s">
        <v>482</v>
      </c>
      <c r="C166" s="115" t="s">
        <v>483</v>
      </c>
      <c r="D166" s="116"/>
      <c r="E166" s="31" t="s">
        <v>56</v>
      </c>
      <c r="F166" s="32">
        <v>1</v>
      </c>
      <c r="G166" s="32">
        <v>0</v>
      </c>
      <c r="H166" s="32">
        <f t="shared" si="220"/>
        <v>0</v>
      </c>
      <c r="I166" s="32">
        <f t="shared" si="221"/>
        <v>0</v>
      </c>
      <c r="J166" s="32">
        <f t="shared" si="222"/>
        <v>0</v>
      </c>
      <c r="K166" s="33" t="s">
        <v>57</v>
      </c>
      <c r="Z166" s="28">
        <f t="shared" si="223"/>
        <v>0</v>
      </c>
      <c r="AB166" s="28">
        <f t="shared" si="224"/>
        <v>0</v>
      </c>
      <c r="AC166" s="28">
        <f t="shared" si="225"/>
        <v>0</v>
      </c>
      <c r="AD166" s="28">
        <f t="shared" si="226"/>
        <v>0</v>
      </c>
      <c r="AE166" s="28">
        <f t="shared" si="227"/>
        <v>0</v>
      </c>
      <c r="AF166" s="28">
        <f t="shared" si="228"/>
        <v>0</v>
      </c>
      <c r="AG166" s="28">
        <f t="shared" si="229"/>
        <v>0</v>
      </c>
      <c r="AH166" s="28">
        <f t="shared" si="230"/>
        <v>0</v>
      </c>
      <c r="AI166" s="10" t="s">
        <v>50</v>
      </c>
      <c r="AJ166" s="28">
        <f t="shared" si="231"/>
        <v>0</v>
      </c>
      <c r="AK166" s="28">
        <f t="shared" si="232"/>
        <v>0</v>
      </c>
      <c r="AL166" s="28">
        <f t="shared" si="233"/>
        <v>0</v>
      </c>
      <c r="AN166" s="28">
        <v>12</v>
      </c>
      <c r="AO166" s="28">
        <f>G166*0.873605684</f>
        <v>0</v>
      </c>
      <c r="AP166" s="28">
        <f>G166*(1-0.873605684)</f>
        <v>0</v>
      </c>
      <c r="AQ166" s="29" t="s">
        <v>81</v>
      </c>
      <c r="AV166" s="28">
        <f t="shared" si="234"/>
        <v>0</v>
      </c>
      <c r="AW166" s="28">
        <f t="shared" si="235"/>
        <v>0</v>
      </c>
      <c r="AX166" s="28">
        <f t="shared" si="236"/>
        <v>0</v>
      </c>
      <c r="AY166" s="29" t="s">
        <v>476</v>
      </c>
      <c r="AZ166" s="29" t="s">
        <v>423</v>
      </c>
      <c r="BA166" s="10" t="s">
        <v>60</v>
      </c>
      <c r="BC166" s="28">
        <f t="shared" si="237"/>
        <v>0</v>
      </c>
      <c r="BD166" s="28">
        <f t="shared" si="238"/>
        <v>0</v>
      </c>
      <c r="BE166" s="28">
        <v>0</v>
      </c>
      <c r="BF166" s="28">
        <f>166</f>
        <v>166</v>
      </c>
      <c r="BH166" s="28">
        <f t="shared" si="239"/>
        <v>0</v>
      </c>
      <c r="BI166" s="28">
        <f t="shared" si="240"/>
        <v>0</v>
      </c>
      <c r="BJ166" s="28">
        <f t="shared" si="241"/>
        <v>0</v>
      </c>
      <c r="BK166" s="28"/>
      <c r="BL166" s="28">
        <v>734</v>
      </c>
      <c r="BW166" s="28">
        <v>12</v>
      </c>
      <c r="BX166" s="4" t="s">
        <v>483</v>
      </c>
    </row>
    <row r="167" spans="1:76" x14ac:dyDescent="0.25">
      <c r="A167" s="30" t="s">
        <v>484</v>
      </c>
      <c r="B167" s="31" t="s">
        <v>485</v>
      </c>
      <c r="C167" s="115" t="s">
        <v>486</v>
      </c>
      <c r="D167" s="116"/>
      <c r="E167" s="31" t="s">
        <v>56</v>
      </c>
      <c r="F167" s="32">
        <v>2</v>
      </c>
      <c r="G167" s="32">
        <v>0</v>
      </c>
      <c r="H167" s="32">
        <f t="shared" si="220"/>
        <v>0</v>
      </c>
      <c r="I167" s="32">
        <f t="shared" si="221"/>
        <v>0</v>
      </c>
      <c r="J167" s="32">
        <f t="shared" si="222"/>
        <v>0</v>
      </c>
      <c r="K167" s="33" t="s">
        <v>57</v>
      </c>
      <c r="Z167" s="28">
        <f t="shared" si="223"/>
        <v>0</v>
      </c>
      <c r="AB167" s="28">
        <f t="shared" si="224"/>
        <v>0</v>
      </c>
      <c r="AC167" s="28">
        <f t="shared" si="225"/>
        <v>0</v>
      </c>
      <c r="AD167" s="28">
        <f t="shared" si="226"/>
        <v>0</v>
      </c>
      <c r="AE167" s="28">
        <f t="shared" si="227"/>
        <v>0</v>
      </c>
      <c r="AF167" s="28">
        <f t="shared" si="228"/>
        <v>0</v>
      </c>
      <c r="AG167" s="28">
        <f t="shared" si="229"/>
        <v>0</v>
      </c>
      <c r="AH167" s="28">
        <f t="shared" si="230"/>
        <v>0</v>
      </c>
      <c r="AI167" s="10" t="s">
        <v>50</v>
      </c>
      <c r="AJ167" s="28">
        <f t="shared" si="231"/>
        <v>0</v>
      </c>
      <c r="AK167" s="28">
        <f t="shared" si="232"/>
        <v>0</v>
      </c>
      <c r="AL167" s="28">
        <f t="shared" si="233"/>
        <v>0</v>
      </c>
      <c r="AN167" s="28">
        <v>12</v>
      </c>
      <c r="AO167" s="28">
        <f>G167*0.672672176</f>
        <v>0</v>
      </c>
      <c r="AP167" s="28">
        <f>G167*(1-0.672672176)</f>
        <v>0</v>
      </c>
      <c r="AQ167" s="29" t="s">
        <v>81</v>
      </c>
      <c r="AV167" s="28">
        <f t="shared" si="234"/>
        <v>0</v>
      </c>
      <c r="AW167" s="28">
        <f t="shared" si="235"/>
        <v>0</v>
      </c>
      <c r="AX167" s="28">
        <f t="shared" si="236"/>
        <v>0</v>
      </c>
      <c r="AY167" s="29" t="s">
        <v>476</v>
      </c>
      <c r="AZ167" s="29" t="s">
        <v>423</v>
      </c>
      <c r="BA167" s="10" t="s">
        <v>60</v>
      </c>
      <c r="BC167" s="28">
        <f t="shared" si="237"/>
        <v>0</v>
      </c>
      <c r="BD167" s="28">
        <f t="shared" si="238"/>
        <v>0</v>
      </c>
      <c r="BE167" s="28">
        <v>0</v>
      </c>
      <c r="BF167" s="28">
        <f>167</f>
        <v>167</v>
      </c>
      <c r="BH167" s="28">
        <f t="shared" si="239"/>
        <v>0</v>
      </c>
      <c r="BI167" s="28">
        <f t="shared" si="240"/>
        <v>0</v>
      </c>
      <c r="BJ167" s="28">
        <f t="shared" si="241"/>
        <v>0</v>
      </c>
      <c r="BK167" s="28"/>
      <c r="BL167" s="28">
        <v>734</v>
      </c>
      <c r="BW167" s="28">
        <v>12</v>
      </c>
      <c r="BX167" s="4" t="s">
        <v>486</v>
      </c>
    </row>
    <row r="168" spans="1:76" x14ac:dyDescent="0.25">
      <c r="A168" s="30" t="s">
        <v>487</v>
      </c>
      <c r="B168" s="31" t="s">
        <v>488</v>
      </c>
      <c r="C168" s="115" t="s">
        <v>489</v>
      </c>
      <c r="D168" s="116"/>
      <c r="E168" s="31" t="s">
        <v>56</v>
      </c>
      <c r="F168" s="32">
        <v>1</v>
      </c>
      <c r="G168" s="32">
        <v>0</v>
      </c>
      <c r="H168" s="32">
        <f t="shared" si="220"/>
        <v>0</v>
      </c>
      <c r="I168" s="32">
        <f t="shared" si="221"/>
        <v>0</v>
      </c>
      <c r="J168" s="32">
        <f t="shared" si="222"/>
        <v>0</v>
      </c>
      <c r="K168" s="33" t="s">
        <v>57</v>
      </c>
      <c r="Z168" s="28">
        <f t="shared" si="223"/>
        <v>0</v>
      </c>
      <c r="AB168" s="28">
        <f t="shared" si="224"/>
        <v>0</v>
      </c>
      <c r="AC168" s="28">
        <f t="shared" si="225"/>
        <v>0</v>
      </c>
      <c r="AD168" s="28">
        <f t="shared" si="226"/>
        <v>0</v>
      </c>
      <c r="AE168" s="28">
        <f t="shared" si="227"/>
        <v>0</v>
      </c>
      <c r="AF168" s="28">
        <f t="shared" si="228"/>
        <v>0</v>
      </c>
      <c r="AG168" s="28">
        <f t="shared" si="229"/>
        <v>0</v>
      </c>
      <c r="AH168" s="28">
        <f t="shared" si="230"/>
        <v>0</v>
      </c>
      <c r="AI168" s="10" t="s">
        <v>50</v>
      </c>
      <c r="AJ168" s="28">
        <f t="shared" si="231"/>
        <v>0</v>
      </c>
      <c r="AK168" s="28">
        <f t="shared" si="232"/>
        <v>0</v>
      </c>
      <c r="AL168" s="28">
        <f t="shared" si="233"/>
        <v>0</v>
      </c>
      <c r="AN168" s="28">
        <v>12</v>
      </c>
      <c r="AO168" s="28">
        <f>G168*0.694415584</f>
        <v>0</v>
      </c>
      <c r="AP168" s="28">
        <f>G168*(1-0.694415584)</f>
        <v>0</v>
      </c>
      <c r="AQ168" s="29" t="s">
        <v>81</v>
      </c>
      <c r="AV168" s="28">
        <f t="shared" si="234"/>
        <v>0</v>
      </c>
      <c r="AW168" s="28">
        <f t="shared" si="235"/>
        <v>0</v>
      </c>
      <c r="AX168" s="28">
        <f t="shared" si="236"/>
        <v>0</v>
      </c>
      <c r="AY168" s="29" t="s">
        <v>476</v>
      </c>
      <c r="AZ168" s="29" t="s">
        <v>423</v>
      </c>
      <c r="BA168" s="10" t="s">
        <v>60</v>
      </c>
      <c r="BC168" s="28">
        <f t="shared" si="237"/>
        <v>0</v>
      </c>
      <c r="BD168" s="28">
        <f t="shared" si="238"/>
        <v>0</v>
      </c>
      <c r="BE168" s="28">
        <v>0</v>
      </c>
      <c r="BF168" s="28">
        <f>168</f>
        <v>168</v>
      </c>
      <c r="BH168" s="28">
        <f t="shared" si="239"/>
        <v>0</v>
      </c>
      <c r="BI168" s="28">
        <f t="shared" si="240"/>
        <v>0</v>
      </c>
      <c r="BJ168" s="28">
        <f t="shared" si="241"/>
        <v>0</v>
      </c>
      <c r="BK168" s="28"/>
      <c r="BL168" s="28">
        <v>734</v>
      </c>
      <c r="BW168" s="28">
        <v>12</v>
      </c>
      <c r="BX168" s="4" t="s">
        <v>489</v>
      </c>
    </row>
    <row r="169" spans="1:76" x14ac:dyDescent="0.25">
      <c r="A169" s="30" t="s">
        <v>490</v>
      </c>
      <c r="B169" s="31" t="s">
        <v>491</v>
      </c>
      <c r="C169" s="115" t="s">
        <v>492</v>
      </c>
      <c r="D169" s="116"/>
      <c r="E169" s="31" t="s">
        <v>56</v>
      </c>
      <c r="F169" s="32">
        <v>1</v>
      </c>
      <c r="G169" s="32">
        <v>0</v>
      </c>
      <c r="H169" s="32">
        <f t="shared" si="220"/>
        <v>0</v>
      </c>
      <c r="I169" s="32">
        <f t="shared" si="221"/>
        <v>0</v>
      </c>
      <c r="J169" s="32">
        <f t="shared" si="222"/>
        <v>0</v>
      </c>
      <c r="K169" s="33" t="s">
        <v>57</v>
      </c>
      <c r="Z169" s="28">
        <f t="shared" si="223"/>
        <v>0</v>
      </c>
      <c r="AB169" s="28">
        <f t="shared" si="224"/>
        <v>0</v>
      </c>
      <c r="AC169" s="28">
        <f t="shared" si="225"/>
        <v>0</v>
      </c>
      <c r="AD169" s="28">
        <f t="shared" si="226"/>
        <v>0</v>
      </c>
      <c r="AE169" s="28">
        <f t="shared" si="227"/>
        <v>0</v>
      </c>
      <c r="AF169" s="28">
        <f t="shared" si="228"/>
        <v>0</v>
      </c>
      <c r="AG169" s="28">
        <f t="shared" si="229"/>
        <v>0</v>
      </c>
      <c r="AH169" s="28">
        <f t="shared" si="230"/>
        <v>0</v>
      </c>
      <c r="AI169" s="10" t="s">
        <v>50</v>
      </c>
      <c r="AJ169" s="28">
        <f t="shared" si="231"/>
        <v>0</v>
      </c>
      <c r="AK169" s="28">
        <f t="shared" si="232"/>
        <v>0</v>
      </c>
      <c r="AL169" s="28">
        <f t="shared" si="233"/>
        <v>0</v>
      </c>
      <c r="AN169" s="28">
        <v>12</v>
      </c>
      <c r="AO169" s="28">
        <f>G169*0.961180328</f>
        <v>0</v>
      </c>
      <c r="AP169" s="28">
        <f>G169*(1-0.961180328)</f>
        <v>0</v>
      </c>
      <c r="AQ169" s="29" t="s">
        <v>81</v>
      </c>
      <c r="AV169" s="28">
        <f t="shared" si="234"/>
        <v>0</v>
      </c>
      <c r="AW169" s="28">
        <f t="shared" si="235"/>
        <v>0</v>
      </c>
      <c r="AX169" s="28">
        <f t="shared" si="236"/>
        <v>0</v>
      </c>
      <c r="AY169" s="29" t="s">
        <v>476</v>
      </c>
      <c r="AZ169" s="29" t="s">
        <v>423</v>
      </c>
      <c r="BA169" s="10" t="s">
        <v>60</v>
      </c>
      <c r="BC169" s="28">
        <f t="shared" si="237"/>
        <v>0</v>
      </c>
      <c r="BD169" s="28">
        <f t="shared" si="238"/>
        <v>0</v>
      </c>
      <c r="BE169" s="28">
        <v>0</v>
      </c>
      <c r="BF169" s="28">
        <f>169</f>
        <v>169</v>
      </c>
      <c r="BH169" s="28">
        <f t="shared" si="239"/>
        <v>0</v>
      </c>
      <c r="BI169" s="28">
        <f t="shared" si="240"/>
        <v>0</v>
      </c>
      <c r="BJ169" s="28">
        <f t="shared" si="241"/>
        <v>0</v>
      </c>
      <c r="BK169" s="28"/>
      <c r="BL169" s="28">
        <v>734</v>
      </c>
      <c r="BW169" s="28">
        <v>12</v>
      </c>
      <c r="BX169" s="4" t="s">
        <v>492</v>
      </c>
    </row>
    <row r="170" spans="1:76" x14ac:dyDescent="0.25">
      <c r="A170" s="30" t="s">
        <v>493</v>
      </c>
      <c r="B170" s="31" t="s">
        <v>494</v>
      </c>
      <c r="C170" s="115" t="s">
        <v>495</v>
      </c>
      <c r="D170" s="116"/>
      <c r="E170" s="31" t="s">
        <v>56</v>
      </c>
      <c r="F170" s="32">
        <v>3</v>
      </c>
      <c r="G170" s="32">
        <v>0</v>
      </c>
      <c r="H170" s="32">
        <f t="shared" si="220"/>
        <v>0</v>
      </c>
      <c r="I170" s="32">
        <f t="shared" si="221"/>
        <v>0</v>
      </c>
      <c r="J170" s="32">
        <f t="shared" si="222"/>
        <v>0</v>
      </c>
      <c r="K170" s="33" t="s">
        <v>57</v>
      </c>
      <c r="Z170" s="28">
        <f t="shared" si="223"/>
        <v>0</v>
      </c>
      <c r="AB170" s="28">
        <f t="shared" si="224"/>
        <v>0</v>
      </c>
      <c r="AC170" s="28">
        <f t="shared" si="225"/>
        <v>0</v>
      </c>
      <c r="AD170" s="28">
        <f t="shared" si="226"/>
        <v>0</v>
      </c>
      <c r="AE170" s="28">
        <f t="shared" si="227"/>
        <v>0</v>
      </c>
      <c r="AF170" s="28">
        <f t="shared" si="228"/>
        <v>0</v>
      </c>
      <c r="AG170" s="28">
        <f t="shared" si="229"/>
        <v>0</v>
      </c>
      <c r="AH170" s="28">
        <f t="shared" si="230"/>
        <v>0</v>
      </c>
      <c r="AI170" s="10" t="s">
        <v>50</v>
      </c>
      <c r="AJ170" s="28">
        <f t="shared" si="231"/>
        <v>0</v>
      </c>
      <c r="AK170" s="28">
        <f t="shared" si="232"/>
        <v>0</v>
      </c>
      <c r="AL170" s="28">
        <f t="shared" si="233"/>
        <v>0</v>
      </c>
      <c r="AN170" s="28">
        <v>12</v>
      </c>
      <c r="AO170" s="28">
        <f>G170*0.039716312</f>
        <v>0</v>
      </c>
      <c r="AP170" s="28">
        <f>G170*(1-0.039716312)</f>
        <v>0</v>
      </c>
      <c r="AQ170" s="29" t="s">
        <v>81</v>
      </c>
      <c r="AV170" s="28">
        <f t="shared" si="234"/>
        <v>0</v>
      </c>
      <c r="AW170" s="28">
        <f t="shared" si="235"/>
        <v>0</v>
      </c>
      <c r="AX170" s="28">
        <f t="shared" si="236"/>
        <v>0</v>
      </c>
      <c r="AY170" s="29" t="s">
        <v>476</v>
      </c>
      <c r="AZ170" s="29" t="s">
        <v>423</v>
      </c>
      <c r="BA170" s="10" t="s">
        <v>60</v>
      </c>
      <c r="BC170" s="28">
        <f t="shared" si="237"/>
        <v>0</v>
      </c>
      <c r="BD170" s="28">
        <f t="shared" si="238"/>
        <v>0</v>
      </c>
      <c r="BE170" s="28">
        <v>0</v>
      </c>
      <c r="BF170" s="28">
        <f>170</f>
        <v>170</v>
      </c>
      <c r="BH170" s="28">
        <f t="shared" si="239"/>
        <v>0</v>
      </c>
      <c r="BI170" s="28">
        <f t="shared" si="240"/>
        <v>0</v>
      </c>
      <c r="BJ170" s="28">
        <f t="shared" si="241"/>
        <v>0</v>
      </c>
      <c r="BK170" s="28"/>
      <c r="BL170" s="28">
        <v>734</v>
      </c>
      <c r="BW170" s="28">
        <v>12</v>
      </c>
      <c r="BX170" s="4" t="s">
        <v>495</v>
      </c>
    </row>
    <row r="171" spans="1:76" x14ac:dyDescent="0.25">
      <c r="A171" s="30" t="s">
        <v>496</v>
      </c>
      <c r="B171" s="31" t="s">
        <v>497</v>
      </c>
      <c r="C171" s="115" t="s">
        <v>498</v>
      </c>
      <c r="D171" s="116"/>
      <c r="E171" s="31" t="s">
        <v>87</v>
      </c>
      <c r="F171" s="32">
        <v>4.3699999999999998E-3</v>
      </c>
      <c r="G171" s="32">
        <v>0</v>
      </c>
      <c r="H171" s="32">
        <f t="shared" si="220"/>
        <v>0</v>
      </c>
      <c r="I171" s="32">
        <f t="shared" si="221"/>
        <v>0</v>
      </c>
      <c r="J171" s="32">
        <f t="shared" si="222"/>
        <v>0</v>
      </c>
      <c r="K171" s="33" t="s">
        <v>57</v>
      </c>
      <c r="Z171" s="28">
        <f t="shared" si="223"/>
        <v>0</v>
      </c>
      <c r="AB171" s="28">
        <f t="shared" si="224"/>
        <v>0</v>
      </c>
      <c r="AC171" s="28">
        <f t="shared" si="225"/>
        <v>0</v>
      </c>
      <c r="AD171" s="28">
        <f t="shared" si="226"/>
        <v>0</v>
      </c>
      <c r="AE171" s="28">
        <f t="shared" si="227"/>
        <v>0</v>
      </c>
      <c r="AF171" s="28">
        <f t="shared" si="228"/>
        <v>0</v>
      </c>
      <c r="AG171" s="28">
        <f t="shared" si="229"/>
        <v>0</v>
      </c>
      <c r="AH171" s="28">
        <f t="shared" si="230"/>
        <v>0</v>
      </c>
      <c r="AI171" s="10" t="s">
        <v>50</v>
      </c>
      <c r="AJ171" s="28">
        <f t="shared" si="231"/>
        <v>0</v>
      </c>
      <c r="AK171" s="28">
        <f t="shared" si="232"/>
        <v>0</v>
      </c>
      <c r="AL171" s="28">
        <f t="shared" si="233"/>
        <v>0</v>
      </c>
      <c r="AN171" s="28">
        <v>12</v>
      </c>
      <c r="AO171" s="28">
        <f>G171*0</f>
        <v>0</v>
      </c>
      <c r="AP171" s="28">
        <f>G171*(1-0)</f>
        <v>0</v>
      </c>
      <c r="AQ171" s="29" t="s">
        <v>74</v>
      </c>
      <c r="AV171" s="28">
        <f t="shared" si="234"/>
        <v>0</v>
      </c>
      <c r="AW171" s="28">
        <f t="shared" si="235"/>
        <v>0</v>
      </c>
      <c r="AX171" s="28">
        <f t="shared" si="236"/>
        <v>0</v>
      </c>
      <c r="AY171" s="29" t="s">
        <v>476</v>
      </c>
      <c r="AZ171" s="29" t="s">
        <v>423</v>
      </c>
      <c r="BA171" s="10" t="s">
        <v>60</v>
      </c>
      <c r="BC171" s="28">
        <f t="shared" si="237"/>
        <v>0</v>
      </c>
      <c r="BD171" s="28">
        <f t="shared" si="238"/>
        <v>0</v>
      </c>
      <c r="BE171" s="28">
        <v>0</v>
      </c>
      <c r="BF171" s="28">
        <f>171</f>
        <v>171</v>
      </c>
      <c r="BH171" s="28">
        <f t="shared" si="239"/>
        <v>0</v>
      </c>
      <c r="BI171" s="28">
        <f t="shared" si="240"/>
        <v>0</v>
      </c>
      <c r="BJ171" s="28">
        <f t="shared" si="241"/>
        <v>0</v>
      </c>
      <c r="BK171" s="28"/>
      <c r="BL171" s="28">
        <v>734</v>
      </c>
      <c r="BW171" s="28">
        <v>12</v>
      </c>
      <c r="BX171" s="4" t="s">
        <v>498</v>
      </c>
    </row>
    <row r="172" spans="1:76" x14ac:dyDescent="0.25">
      <c r="A172" s="36" t="s">
        <v>50</v>
      </c>
      <c r="B172" s="37" t="s">
        <v>499</v>
      </c>
      <c r="C172" s="120" t="s">
        <v>500</v>
      </c>
      <c r="D172" s="121"/>
      <c r="E172" s="38" t="s">
        <v>4</v>
      </c>
      <c r="F172" s="38" t="s">
        <v>4</v>
      </c>
      <c r="G172" s="38" t="s">
        <v>4</v>
      </c>
      <c r="H172" s="39">
        <f>SUM(H173:H175)</f>
        <v>0</v>
      </c>
      <c r="I172" s="39">
        <f>SUM(I173:I175)</f>
        <v>0</v>
      </c>
      <c r="J172" s="39">
        <f>SUM(J173:J175)</f>
        <v>0</v>
      </c>
      <c r="K172" s="40" t="s">
        <v>50</v>
      </c>
      <c r="AI172" s="10" t="s">
        <v>50</v>
      </c>
      <c r="AS172" s="1">
        <f>SUM(AJ173:AJ175)</f>
        <v>0</v>
      </c>
      <c r="AT172" s="1">
        <f>SUM(AK173:AK175)</f>
        <v>0</v>
      </c>
      <c r="AU172" s="1">
        <f>SUM(AL173:AL175)</f>
        <v>0</v>
      </c>
    </row>
    <row r="173" spans="1:76" x14ac:dyDescent="0.25">
      <c r="A173" s="24" t="s">
        <v>501</v>
      </c>
      <c r="B173" s="25" t="s">
        <v>502</v>
      </c>
      <c r="C173" s="113" t="s">
        <v>503</v>
      </c>
      <c r="D173" s="114"/>
      <c r="E173" s="25" t="s">
        <v>56</v>
      </c>
      <c r="F173" s="26">
        <v>1</v>
      </c>
      <c r="G173" s="26">
        <v>0</v>
      </c>
      <c r="H173" s="26">
        <f>F173*AO173</f>
        <v>0</v>
      </c>
      <c r="I173" s="26">
        <f>F173*AP173</f>
        <v>0</v>
      </c>
      <c r="J173" s="26">
        <f>F173*G173</f>
        <v>0</v>
      </c>
      <c r="K173" s="27" t="s">
        <v>57</v>
      </c>
      <c r="Z173" s="28">
        <f>IF(AQ173="5",BJ173,0)</f>
        <v>0</v>
      </c>
      <c r="AB173" s="28">
        <f>IF(AQ173="1",BH173,0)</f>
        <v>0</v>
      </c>
      <c r="AC173" s="28">
        <f>IF(AQ173="1",BI173,0)</f>
        <v>0</v>
      </c>
      <c r="AD173" s="28">
        <f>IF(AQ173="7",BH173,0)</f>
        <v>0</v>
      </c>
      <c r="AE173" s="28">
        <f>IF(AQ173="7",BI173,0)</f>
        <v>0</v>
      </c>
      <c r="AF173" s="28">
        <f>IF(AQ173="2",BH173,0)</f>
        <v>0</v>
      </c>
      <c r="AG173" s="28">
        <f>IF(AQ173="2",BI173,0)</f>
        <v>0</v>
      </c>
      <c r="AH173" s="28">
        <f>IF(AQ173="0",BJ173,0)</f>
        <v>0</v>
      </c>
      <c r="AI173" s="10" t="s">
        <v>50</v>
      </c>
      <c r="AJ173" s="28">
        <f>IF(AN173=0,J173,0)</f>
        <v>0</v>
      </c>
      <c r="AK173" s="28">
        <f>IF(AN173=12,J173,0)</f>
        <v>0</v>
      </c>
      <c r="AL173" s="28">
        <f>IF(AN173=21,J173,0)</f>
        <v>0</v>
      </c>
      <c r="AN173" s="28">
        <v>12</v>
      </c>
      <c r="AO173" s="28">
        <f>G173*0.921590032</f>
        <v>0</v>
      </c>
      <c r="AP173" s="28">
        <f>G173*(1-0.921590032)</f>
        <v>0</v>
      </c>
      <c r="AQ173" s="29" t="s">
        <v>81</v>
      </c>
      <c r="AV173" s="28">
        <f>AW173+AX173</f>
        <v>0</v>
      </c>
      <c r="AW173" s="28">
        <f>F173*AO173</f>
        <v>0</v>
      </c>
      <c r="AX173" s="28">
        <f>F173*AP173</f>
        <v>0</v>
      </c>
      <c r="AY173" s="29" t="s">
        <v>504</v>
      </c>
      <c r="AZ173" s="29" t="s">
        <v>423</v>
      </c>
      <c r="BA173" s="10" t="s">
        <v>60</v>
      </c>
      <c r="BC173" s="28">
        <f>AW173+AX173</f>
        <v>0</v>
      </c>
      <c r="BD173" s="28">
        <f>G173/(100-BE173)*100</f>
        <v>0</v>
      </c>
      <c r="BE173" s="28">
        <v>0</v>
      </c>
      <c r="BF173" s="28">
        <f>173</f>
        <v>173</v>
      </c>
      <c r="BH173" s="28">
        <f>F173*AO173</f>
        <v>0</v>
      </c>
      <c r="BI173" s="28">
        <f>F173*AP173</f>
        <v>0</v>
      </c>
      <c r="BJ173" s="28">
        <f>F173*G173</f>
        <v>0</v>
      </c>
      <c r="BK173" s="28"/>
      <c r="BL173" s="28">
        <v>735</v>
      </c>
      <c r="BW173" s="28">
        <v>12</v>
      </c>
      <c r="BX173" s="4" t="s">
        <v>503</v>
      </c>
    </row>
    <row r="174" spans="1:76" x14ac:dyDescent="0.25">
      <c r="A174" s="30" t="s">
        <v>505</v>
      </c>
      <c r="B174" s="31" t="s">
        <v>506</v>
      </c>
      <c r="C174" s="115" t="s">
        <v>507</v>
      </c>
      <c r="D174" s="116"/>
      <c r="E174" s="31" t="s">
        <v>56</v>
      </c>
      <c r="F174" s="32">
        <v>2</v>
      </c>
      <c r="G174" s="32">
        <v>0</v>
      </c>
      <c r="H174" s="32">
        <f>F174*AO174</f>
        <v>0</v>
      </c>
      <c r="I174" s="32">
        <f>F174*AP174</f>
        <v>0</v>
      </c>
      <c r="J174" s="32">
        <f>F174*G174</f>
        <v>0</v>
      </c>
      <c r="K174" s="33" t="s">
        <v>57</v>
      </c>
      <c r="Z174" s="28">
        <f>IF(AQ174="5",BJ174,0)</f>
        <v>0</v>
      </c>
      <c r="AB174" s="28">
        <f>IF(AQ174="1",BH174,0)</f>
        <v>0</v>
      </c>
      <c r="AC174" s="28">
        <f>IF(AQ174="1",BI174,0)</f>
        <v>0</v>
      </c>
      <c r="AD174" s="28">
        <f>IF(AQ174="7",BH174,0)</f>
        <v>0</v>
      </c>
      <c r="AE174" s="28">
        <f>IF(AQ174="7",BI174,0)</f>
        <v>0</v>
      </c>
      <c r="AF174" s="28">
        <f>IF(AQ174="2",BH174,0)</f>
        <v>0</v>
      </c>
      <c r="AG174" s="28">
        <f>IF(AQ174="2",BI174,0)</f>
        <v>0</v>
      </c>
      <c r="AH174" s="28">
        <f>IF(AQ174="0",BJ174,0)</f>
        <v>0</v>
      </c>
      <c r="AI174" s="10" t="s">
        <v>50</v>
      </c>
      <c r="AJ174" s="28">
        <f>IF(AN174=0,J174,0)</f>
        <v>0</v>
      </c>
      <c r="AK174" s="28">
        <f>IF(AN174=12,J174,0)</f>
        <v>0</v>
      </c>
      <c r="AL174" s="28">
        <f>IF(AN174=21,J174,0)</f>
        <v>0</v>
      </c>
      <c r="AN174" s="28">
        <v>12</v>
      </c>
      <c r="AO174" s="28">
        <f>G174*0.923065187</f>
        <v>0</v>
      </c>
      <c r="AP174" s="28">
        <f>G174*(1-0.923065187)</f>
        <v>0</v>
      </c>
      <c r="AQ174" s="29" t="s">
        <v>81</v>
      </c>
      <c r="AV174" s="28">
        <f>AW174+AX174</f>
        <v>0</v>
      </c>
      <c r="AW174" s="28">
        <f>F174*AO174</f>
        <v>0</v>
      </c>
      <c r="AX174" s="28">
        <f>F174*AP174</f>
        <v>0</v>
      </c>
      <c r="AY174" s="29" t="s">
        <v>504</v>
      </c>
      <c r="AZ174" s="29" t="s">
        <v>423</v>
      </c>
      <c r="BA174" s="10" t="s">
        <v>60</v>
      </c>
      <c r="BC174" s="28">
        <f>AW174+AX174</f>
        <v>0</v>
      </c>
      <c r="BD174" s="28">
        <f>G174/(100-BE174)*100</f>
        <v>0</v>
      </c>
      <c r="BE174" s="28">
        <v>0</v>
      </c>
      <c r="BF174" s="28">
        <f>174</f>
        <v>174</v>
      </c>
      <c r="BH174" s="28">
        <f>F174*AO174</f>
        <v>0</v>
      </c>
      <c r="BI174" s="28">
        <f>F174*AP174</f>
        <v>0</v>
      </c>
      <c r="BJ174" s="28">
        <f>F174*G174</f>
        <v>0</v>
      </c>
      <c r="BK174" s="28"/>
      <c r="BL174" s="28">
        <v>735</v>
      </c>
      <c r="BW174" s="28">
        <v>12</v>
      </c>
      <c r="BX174" s="4" t="s">
        <v>507</v>
      </c>
    </row>
    <row r="175" spans="1:76" x14ac:dyDescent="0.25">
      <c r="A175" s="30" t="s">
        <v>508</v>
      </c>
      <c r="B175" s="31" t="s">
        <v>509</v>
      </c>
      <c r="C175" s="115" t="s">
        <v>510</v>
      </c>
      <c r="D175" s="116"/>
      <c r="E175" s="31" t="s">
        <v>87</v>
      </c>
      <c r="F175" s="32">
        <v>4.2000000000000002E-4</v>
      </c>
      <c r="G175" s="32">
        <v>0</v>
      </c>
      <c r="H175" s="32">
        <f>F175*AO175</f>
        <v>0</v>
      </c>
      <c r="I175" s="32">
        <f>F175*AP175</f>
        <v>0</v>
      </c>
      <c r="J175" s="32">
        <f>F175*G175</f>
        <v>0</v>
      </c>
      <c r="K175" s="33" t="s">
        <v>57</v>
      </c>
      <c r="Z175" s="28">
        <f>IF(AQ175="5",BJ175,0)</f>
        <v>0</v>
      </c>
      <c r="AB175" s="28">
        <f>IF(AQ175="1",BH175,0)</f>
        <v>0</v>
      </c>
      <c r="AC175" s="28">
        <f>IF(AQ175="1",BI175,0)</f>
        <v>0</v>
      </c>
      <c r="AD175" s="28">
        <f>IF(AQ175="7",BH175,0)</f>
        <v>0</v>
      </c>
      <c r="AE175" s="28">
        <f>IF(AQ175="7",BI175,0)</f>
        <v>0</v>
      </c>
      <c r="AF175" s="28">
        <f>IF(AQ175="2",BH175,0)</f>
        <v>0</v>
      </c>
      <c r="AG175" s="28">
        <f>IF(AQ175="2",BI175,0)</f>
        <v>0</v>
      </c>
      <c r="AH175" s="28">
        <f>IF(AQ175="0",BJ175,0)</f>
        <v>0</v>
      </c>
      <c r="AI175" s="10" t="s">
        <v>50</v>
      </c>
      <c r="AJ175" s="28">
        <f>IF(AN175=0,J175,0)</f>
        <v>0</v>
      </c>
      <c r="AK175" s="28">
        <f>IF(AN175=12,J175,0)</f>
        <v>0</v>
      </c>
      <c r="AL175" s="28">
        <f>IF(AN175=21,J175,0)</f>
        <v>0</v>
      </c>
      <c r="AN175" s="28">
        <v>12</v>
      </c>
      <c r="AO175" s="28">
        <f>G175*0</f>
        <v>0</v>
      </c>
      <c r="AP175" s="28">
        <f>G175*(1-0)</f>
        <v>0</v>
      </c>
      <c r="AQ175" s="29" t="s">
        <v>74</v>
      </c>
      <c r="AV175" s="28">
        <f>AW175+AX175</f>
        <v>0</v>
      </c>
      <c r="AW175" s="28">
        <f>F175*AO175</f>
        <v>0</v>
      </c>
      <c r="AX175" s="28">
        <f>F175*AP175</f>
        <v>0</v>
      </c>
      <c r="AY175" s="29" t="s">
        <v>504</v>
      </c>
      <c r="AZ175" s="29" t="s">
        <v>423</v>
      </c>
      <c r="BA175" s="10" t="s">
        <v>60</v>
      </c>
      <c r="BC175" s="28">
        <f>AW175+AX175</f>
        <v>0</v>
      </c>
      <c r="BD175" s="28">
        <f>G175/(100-BE175)*100</f>
        <v>0</v>
      </c>
      <c r="BE175" s="28">
        <v>0</v>
      </c>
      <c r="BF175" s="28">
        <f>175</f>
        <v>175</v>
      </c>
      <c r="BH175" s="28">
        <f>F175*AO175</f>
        <v>0</v>
      </c>
      <c r="BI175" s="28">
        <f>F175*AP175</f>
        <v>0</v>
      </c>
      <c r="BJ175" s="28">
        <f>F175*G175</f>
        <v>0</v>
      </c>
      <c r="BK175" s="28"/>
      <c r="BL175" s="28">
        <v>735</v>
      </c>
      <c r="BW175" s="28">
        <v>12</v>
      </c>
      <c r="BX175" s="4" t="s">
        <v>510</v>
      </c>
    </row>
    <row r="176" spans="1:76" x14ac:dyDescent="0.25">
      <c r="A176" s="36" t="s">
        <v>50</v>
      </c>
      <c r="B176" s="37" t="s">
        <v>511</v>
      </c>
      <c r="C176" s="120" t="s">
        <v>512</v>
      </c>
      <c r="D176" s="121"/>
      <c r="E176" s="38" t="s">
        <v>4</v>
      </c>
      <c r="F176" s="38" t="s">
        <v>4</v>
      </c>
      <c r="G176" s="38" t="s">
        <v>4</v>
      </c>
      <c r="H176" s="39">
        <f>SUM(H177:H180)</f>
        <v>0</v>
      </c>
      <c r="I176" s="39">
        <f>SUM(I177:I180)</f>
        <v>0</v>
      </c>
      <c r="J176" s="39">
        <f>SUM(J177:J180)</f>
        <v>0</v>
      </c>
      <c r="K176" s="40" t="s">
        <v>50</v>
      </c>
      <c r="AI176" s="10" t="s">
        <v>50</v>
      </c>
      <c r="AS176" s="1">
        <f>SUM(AJ177:AJ180)</f>
        <v>0</v>
      </c>
      <c r="AT176" s="1">
        <f>SUM(AK177:AK180)</f>
        <v>0</v>
      </c>
      <c r="AU176" s="1">
        <f>SUM(AL177:AL180)</f>
        <v>0</v>
      </c>
    </row>
    <row r="177" spans="1:76" x14ac:dyDescent="0.25">
      <c r="A177" s="24" t="s">
        <v>513</v>
      </c>
      <c r="B177" s="25" t="s">
        <v>514</v>
      </c>
      <c r="C177" s="113" t="s">
        <v>515</v>
      </c>
      <c r="D177" s="114"/>
      <c r="E177" s="25" t="s">
        <v>64</v>
      </c>
      <c r="F177" s="26">
        <v>4.3</v>
      </c>
      <c r="G177" s="26">
        <v>0</v>
      </c>
      <c r="H177" s="26">
        <f>F177*AO177</f>
        <v>0</v>
      </c>
      <c r="I177" s="26">
        <f>F177*AP177</f>
        <v>0</v>
      </c>
      <c r="J177" s="26">
        <f>F177*G177</f>
        <v>0</v>
      </c>
      <c r="K177" s="27" t="s">
        <v>57</v>
      </c>
      <c r="Z177" s="28">
        <f>IF(AQ177="5",BJ177,0)</f>
        <v>0</v>
      </c>
      <c r="AB177" s="28">
        <f>IF(AQ177="1",BH177,0)</f>
        <v>0</v>
      </c>
      <c r="AC177" s="28">
        <f>IF(AQ177="1",BI177,0)</f>
        <v>0</v>
      </c>
      <c r="AD177" s="28">
        <f>IF(AQ177="7",BH177,0)</f>
        <v>0</v>
      </c>
      <c r="AE177" s="28">
        <f>IF(AQ177="7",BI177,0)</f>
        <v>0</v>
      </c>
      <c r="AF177" s="28">
        <f>IF(AQ177="2",BH177,0)</f>
        <v>0</v>
      </c>
      <c r="AG177" s="28">
        <f>IF(AQ177="2",BI177,0)</f>
        <v>0</v>
      </c>
      <c r="AH177" s="28">
        <f>IF(AQ177="0",BJ177,0)</f>
        <v>0</v>
      </c>
      <c r="AI177" s="10" t="s">
        <v>50</v>
      </c>
      <c r="AJ177" s="28">
        <f>IF(AN177=0,J177,0)</f>
        <v>0</v>
      </c>
      <c r="AK177" s="28">
        <f>IF(AN177=12,J177,0)</f>
        <v>0</v>
      </c>
      <c r="AL177" s="28">
        <f>IF(AN177=21,J177,0)</f>
        <v>0</v>
      </c>
      <c r="AN177" s="28">
        <v>12</v>
      </c>
      <c r="AO177" s="28">
        <f>G177*0</f>
        <v>0</v>
      </c>
      <c r="AP177" s="28">
        <f>G177*(1-0)</f>
        <v>0</v>
      </c>
      <c r="AQ177" s="29" t="s">
        <v>81</v>
      </c>
      <c r="AV177" s="28">
        <f>AW177+AX177</f>
        <v>0</v>
      </c>
      <c r="AW177" s="28">
        <f>F177*AO177</f>
        <v>0</v>
      </c>
      <c r="AX177" s="28">
        <f>F177*AP177</f>
        <v>0</v>
      </c>
      <c r="AY177" s="29" t="s">
        <v>516</v>
      </c>
      <c r="AZ177" s="29" t="s">
        <v>517</v>
      </c>
      <c r="BA177" s="10" t="s">
        <v>60</v>
      </c>
      <c r="BC177" s="28">
        <f>AW177+AX177</f>
        <v>0</v>
      </c>
      <c r="BD177" s="28">
        <f>G177/(100-BE177)*100</f>
        <v>0</v>
      </c>
      <c r="BE177" s="28">
        <v>0</v>
      </c>
      <c r="BF177" s="28">
        <f>177</f>
        <v>177</v>
      </c>
      <c r="BH177" s="28">
        <f>F177*AO177</f>
        <v>0</v>
      </c>
      <c r="BI177" s="28">
        <f>F177*AP177</f>
        <v>0</v>
      </c>
      <c r="BJ177" s="28">
        <f>F177*G177</f>
        <v>0</v>
      </c>
      <c r="BK177" s="28"/>
      <c r="BL177" s="28">
        <v>762</v>
      </c>
      <c r="BW177" s="28">
        <v>12</v>
      </c>
      <c r="BX177" s="4" t="s">
        <v>515</v>
      </c>
    </row>
    <row r="178" spans="1:76" x14ac:dyDescent="0.25">
      <c r="A178" s="30" t="s">
        <v>518</v>
      </c>
      <c r="B178" s="31" t="s">
        <v>519</v>
      </c>
      <c r="C178" s="115" t="s">
        <v>520</v>
      </c>
      <c r="D178" s="116"/>
      <c r="E178" s="31" t="s">
        <v>64</v>
      </c>
      <c r="F178" s="32">
        <v>4.3</v>
      </c>
      <c r="G178" s="32">
        <v>0</v>
      </c>
      <c r="H178" s="32">
        <f>F178*AO178</f>
        <v>0</v>
      </c>
      <c r="I178" s="32">
        <f>F178*AP178</f>
        <v>0</v>
      </c>
      <c r="J178" s="32">
        <f>F178*G178</f>
        <v>0</v>
      </c>
      <c r="K178" s="33" t="s">
        <v>57</v>
      </c>
      <c r="Z178" s="28">
        <f>IF(AQ178="5",BJ178,0)</f>
        <v>0</v>
      </c>
      <c r="AB178" s="28">
        <f>IF(AQ178="1",BH178,0)</f>
        <v>0</v>
      </c>
      <c r="AC178" s="28">
        <f>IF(AQ178="1",BI178,0)</f>
        <v>0</v>
      </c>
      <c r="AD178" s="28">
        <f>IF(AQ178="7",BH178,0)</f>
        <v>0</v>
      </c>
      <c r="AE178" s="28">
        <f>IF(AQ178="7",BI178,0)</f>
        <v>0</v>
      </c>
      <c r="AF178" s="28">
        <f>IF(AQ178="2",BH178,0)</f>
        <v>0</v>
      </c>
      <c r="AG178" s="28">
        <f>IF(AQ178="2",BI178,0)</f>
        <v>0</v>
      </c>
      <c r="AH178" s="28">
        <f>IF(AQ178="0",BJ178,0)</f>
        <v>0</v>
      </c>
      <c r="AI178" s="10" t="s">
        <v>50</v>
      </c>
      <c r="AJ178" s="28">
        <f>IF(AN178=0,J178,0)</f>
        <v>0</v>
      </c>
      <c r="AK178" s="28">
        <f>IF(AN178=12,J178,0)</f>
        <v>0</v>
      </c>
      <c r="AL178" s="28">
        <f>IF(AN178=21,J178,0)</f>
        <v>0</v>
      </c>
      <c r="AN178" s="28">
        <v>12</v>
      </c>
      <c r="AO178" s="28">
        <f>G178*0.716490872</f>
        <v>0</v>
      </c>
      <c r="AP178" s="28">
        <f>G178*(1-0.716490872)</f>
        <v>0</v>
      </c>
      <c r="AQ178" s="29" t="s">
        <v>81</v>
      </c>
      <c r="AV178" s="28">
        <f>AW178+AX178</f>
        <v>0</v>
      </c>
      <c r="AW178" s="28">
        <f>F178*AO178</f>
        <v>0</v>
      </c>
      <c r="AX178" s="28">
        <f>F178*AP178</f>
        <v>0</v>
      </c>
      <c r="AY178" s="29" t="s">
        <v>516</v>
      </c>
      <c r="AZ178" s="29" t="s">
        <v>517</v>
      </c>
      <c r="BA178" s="10" t="s">
        <v>60</v>
      </c>
      <c r="BC178" s="28">
        <f>AW178+AX178</f>
        <v>0</v>
      </c>
      <c r="BD178" s="28">
        <f>G178/(100-BE178)*100</f>
        <v>0</v>
      </c>
      <c r="BE178" s="28">
        <v>0</v>
      </c>
      <c r="BF178" s="28">
        <f>178</f>
        <v>178</v>
      </c>
      <c r="BH178" s="28">
        <f>F178*AO178</f>
        <v>0</v>
      </c>
      <c r="BI178" s="28">
        <f>F178*AP178</f>
        <v>0</v>
      </c>
      <c r="BJ178" s="28">
        <f>F178*G178</f>
        <v>0</v>
      </c>
      <c r="BK178" s="28"/>
      <c r="BL178" s="28">
        <v>762</v>
      </c>
      <c r="BW178" s="28">
        <v>12</v>
      </c>
      <c r="BX178" s="4" t="s">
        <v>520</v>
      </c>
    </row>
    <row r="179" spans="1:76" ht="13.5" customHeight="1" x14ac:dyDescent="0.25">
      <c r="A179" s="34"/>
      <c r="B179" s="35" t="s">
        <v>65</v>
      </c>
      <c r="C179" s="117" t="s">
        <v>521</v>
      </c>
      <c r="D179" s="118"/>
      <c r="E179" s="118"/>
      <c r="F179" s="118"/>
      <c r="G179" s="118"/>
      <c r="H179" s="118"/>
      <c r="I179" s="118"/>
      <c r="J179" s="118"/>
      <c r="K179" s="119"/>
    </row>
    <row r="180" spans="1:76" x14ac:dyDescent="0.25">
      <c r="A180" s="24" t="s">
        <v>522</v>
      </c>
      <c r="B180" s="25" t="s">
        <v>523</v>
      </c>
      <c r="C180" s="113" t="s">
        <v>524</v>
      </c>
      <c r="D180" s="114"/>
      <c r="E180" s="25" t="s">
        <v>87</v>
      </c>
      <c r="F180" s="26">
        <v>0.12152</v>
      </c>
      <c r="G180" s="26">
        <v>0</v>
      </c>
      <c r="H180" s="26">
        <f>F180*AO180</f>
        <v>0</v>
      </c>
      <c r="I180" s="26">
        <f>F180*AP180</f>
        <v>0</v>
      </c>
      <c r="J180" s="26">
        <f>F180*G180</f>
        <v>0</v>
      </c>
      <c r="K180" s="27" t="s">
        <v>57</v>
      </c>
      <c r="Z180" s="28">
        <f>IF(AQ180="5",BJ180,0)</f>
        <v>0</v>
      </c>
      <c r="AB180" s="28">
        <f>IF(AQ180="1",BH180,0)</f>
        <v>0</v>
      </c>
      <c r="AC180" s="28">
        <f>IF(AQ180="1",BI180,0)</f>
        <v>0</v>
      </c>
      <c r="AD180" s="28">
        <f>IF(AQ180="7",BH180,0)</f>
        <v>0</v>
      </c>
      <c r="AE180" s="28">
        <f>IF(AQ180="7",BI180,0)</f>
        <v>0</v>
      </c>
      <c r="AF180" s="28">
        <f>IF(AQ180="2",BH180,0)</f>
        <v>0</v>
      </c>
      <c r="AG180" s="28">
        <f>IF(AQ180="2",BI180,0)</f>
        <v>0</v>
      </c>
      <c r="AH180" s="28">
        <f>IF(AQ180="0",BJ180,0)</f>
        <v>0</v>
      </c>
      <c r="AI180" s="10" t="s">
        <v>50</v>
      </c>
      <c r="AJ180" s="28">
        <f>IF(AN180=0,J180,0)</f>
        <v>0</v>
      </c>
      <c r="AK180" s="28">
        <f>IF(AN180=12,J180,0)</f>
        <v>0</v>
      </c>
      <c r="AL180" s="28">
        <f>IF(AN180=21,J180,0)</f>
        <v>0</v>
      </c>
      <c r="AN180" s="28">
        <v>12</v>
      </c>
      <c r="AO180" s="28">
        <f>G180*0</f>
        <v>0</v>
      </c>
      <c r="AP180" s="28">
        <f>G180*(1-0)</f>
        <v>0</v>
      </c>
      <c r="AQ180" s="29" t="s">
        <v>74</v>
      </c>
      <c r="AV180" s="28">
        <f>AW180+AX180</f>
        <v>0</v>
      </c>
      <c r="AW180" s="28">
        <f>F180*AO180</f>
        <v>0</v>
      </c>
      <c r="AX180" s="28">
        <f>F180*AP180</f>
        <v>0</v>
      </c>
      <c r="AY180" s="29" t="s">
        <v>516</v>
      </c>
      <c r="AZ180" s="29" t="s">
        <v>517</v>
      </c>
      <c r="BA180" s="10" t="s">
        <v>60</v>
      </c>
      <c r="BC180" s="28">
        <f>AW180+AX180</f>
        <v>0</v>
      </c>
      <c r="BD180" s="28">
        <f>G180/(100-BE180)*100</f>
        <v>0</v>
      </c>
      <c r="BE180" s="28">
        <v>0</v>
      </c>
      <c r="BF180" s="28">
        <f>180</f>
        <v>180</v>
      </c>
      <c r="BH180" s="28">
        <f>F180*AO180</f>
        <v>0</v>
      </c>
      <c r="BI180" s="28">
        <f>F180*AP180</f>
        <v>0</v>
      </c>
      <c r="BJ180" s="28">
        <f>F180*G180</f>
        <v>0</v>
      </c>
      <c r="BK180" s="28"/>
      <c r="BL180" s="28">
        <v>762</v>
      </c>
      <c r="BW180" s="28">
        <v>12</v>
      </c>
      <c r="BX180" s="4" t="s">
        <v>524</v>
      </c>
    </row>
    <row r="181" spans="1:76" x14ac:dyDescent="0.25">
      <c r="A181" s="36" t="s">
        <v>50</v>
      </c>
      <c r="B181" s="37" t="s">
        <v>525</v>
      </c>
      <c r="C181" s="120" t="s">
        <v>526</v>
      </c>
      <c r="D181" s="121"/>
      <c r="E181" s="38" t="s">
        <v>4</v>
      </c>
      <c r="F181" s="38" t="s">
        <v>4</v>
      </c>
      <c r="G181" s="38" t="s">
        <v>4</v>
      </c>
      <c r="H181" s="39">
        <f>SUM(H182:H188)</f>
        <v>0</v>
      </c>
      <c r="I181" s="39">
        <f>SUM(I182:I188)</f>
        <v>0</v>
      </c>
      <c r="J181" s="39">
        <f>SUM(J182:J188)</f>
        <v>0</v>
      </c>
      <c r="K181" s="40" t="s">
        <v>50</v>
      </c>
      <c r="AI181" s="10" t="s">
        <v>50</v>
      </c>
      <c r="AS181" s="1">
        <f>SUM(AJ182:AJ188)</f>
        <v>0</v>
      </c>
      <c r="AT181" s="1">
        <f>SUM(AK182:AK188)</f>
        <v>0</v>
      </c>
      <c r="AU181" s="1">
        <f>SUM(AL182:AL188)</f>
        <v>0</v>
      </c>
    </row>
    <row r="182" spans="1:76" x14ac:dyDescent="0.25">
      <c r="A182" s="24" t="s">
        <v>527</v>
      </c>
      <c r="B182" s="25" t="s">
        <v>528</v>
      </c>
      <c r="C182" s="113" t="s">
        <v>529</v>
      </c>
      <c r="D182" s="114"/>
      <c r="E182" s="25" t="s">
        <v>56</v>
      </c>
      <c r="F182" s="26">
        <v>1</v>
      </c>
      <c r="G182" s="26">
        <v>0</v>
      </c>
      <c r="H182" s="26">
        <f>F182*AO182</f>
        <v>0</v>
      </c>
      <c r="I182" s="26">
        <f>F182*AP182</f>
        <v>0</v>
      </c>
      <c r="J182" s="26">
        <f>F182*G182</f>
        <v>0</v>
      </c>
      <c r="K182" s="27" t="s">
        <v>57</v>
      </c>
      <c r="Z182" s="28">
        <f>IF(AQ182="5",BJ182,0)</f>
        <v>0</v>
      </c>
      <c r="AB182" s="28">
        <f>IF(AQ182="1",BH182,0)</f>
        <v>0</v>
      </c>
      <c r="AC182" s="28">
        <f>IF(AQ182="1",BI182,0)</f>
        <v>0</v>
      </c>
      <c r="AD182" s="28">
        <f>IF(AQ182="7",BH182,0)</f>
        <v>0</v>
      </c>
      <c r="AE182" s="28">
        <f>IF(AQ182="7",BI182,0)</f>
        <v>0</v>
      </c>
      <c r="AF182" s="28">
        <f>IF(AQ182="2",BH182,0)</f>
        <v>0</v>
      </c>
      <c r="AG182" s="28">
        <f>IF(AQ182="2",BI182,0)</f>
        <v>0</v>
      </c>
      <c r="AH182" s="28">
        <f>IF(AQ182="0",BJ182,0)</f>
        <v>0</v>
      </c>
      <c r="AI182" s="10" t="s">
        <v>50</v>
      </c>
      <c r="AJ182" s="28">
        <f>IF(AN182=0,J182,0)</f>
        <v>0</v>
      </c>
      <c r="AK182" s="28">
        <f>IF(AN182=12,J182,0)</f>
        <v>0</v>
      </c>
      <c r="AL182" s="28">
        <f>IF(AN182=21,J182,0)</f>
        <v>0</v>
      </c>
      <c r="AN182" s="28">
        <v>12</v>
      </c>
      <c r="AO182" s="28">
        <f>G182*0</f>
        <v>0</v>
      </c>
      <c r="AP182" s="28">
        <f>G182*(1-0)</f>
        <v>0</v>
      </c>
      <c r="AQ182" s="29" t="s">
        <v>81</v>
      </c>
      <c r="AV182" s="28">
        <f>AW182+AX182</f>
        <v>0</v>
      </c>
      <c r="AW182" s="28">
        <f>F182*AO182</f>
        <v>0</v>
      </c>
      <c r="AX182" s="28">
        <f>F182*AP182</f>
        <v>0</v>
      </c>
      <c r="AY182" s="29" t="s">
        <v>530</v>
      </c>
      <c r="AZ182" s="29" t="s">
        <v>517</v>
      </c>
      <c r="BA182" s="10" t="s">
        <v>60</v>
      </c>
      <c r="BC182" s="28">
        <f>AW182+AX182</f>
        <v>0</v>
      </c>
      <c r="BD182" s="28">
        <f>G182/(100-BE182)*100</f>
        <v>0</v>
      </c>
      <c r="BE182" s="28">
        <v>0</v>
      </c>
      <c r="BF182" s="28">
        <f>182</f>
        <v>182</v>
      </c>
      <c r="BH182" s="28">
        <f>F182*AO182</f>
        <v>0</v>
      </c>
      <c r="BI182" s="28">
        <f>F182*AP182</f>
        <v>0</v>
      </c>
      <c r="BJ182" s="28">
        <f>F182*G182</f>
        <v>0</v>
      </c>
      <c r="BK182" s="28"/>
      <c r="BL182" s="28">
        <v>766</v>
      </c>
      <c r="BW182" s="28">
        <v>12</v>
      </c>
      <c r="BX182" s="4" t="s">
        <v>529</v>
      </c>
    </row>
    <row r="183" spans="1:76" x14ac:dyDescent="0.25">
      <c r="A183" s="30" t="s">
        <v>531</v>
      </c>
      <c r="B183" s="31" t="s">
        <v>532</v>
      </c>
      <c r="C183" s="115" t="s">
        <v>533</v>
      </c>
      <c r="D183" s="116"/>
      <c r="E183" s="31" t="s">
        <v>56</v>
      </c>
      <c r="F183" s="32">
        <v>1</v>
      </c>
      <c r="G183" s="32">
        <v>0</v>
      </c>
      <c r="H183" s="32">
        <f>F183*AO183</f>
        <v>0</v>
      </c>
      <c r="I183" s="32">
        <f>F183*AP183</f>
        <v>0</v>
      </c>
      <c r="J183" s="32">
        <f>F183*G183</f>
        <v>0</v>
      </c>
      <c r="K183" s="33" t="s">
        <v>57</v>
      </c>
      <c r="Z183" s="28">
        <f>IF(AQ183="5",BJ183,0)</f>
        <v>0</v>
      </c>
      <c r="AB183" s="28">
        <f>IF(AQ183="1",BH183,0)</f>
        <v>0</v>
      </c>
      <c r="AC183" s="28">
        <f>IF(AQ183="1",BI183,0)</f>
        <v>0</v>
      </c>
      <c r="AD183" s="28">
        <f>IF(AQ183="7",BH183,0)</f>
        <v>0</v>
      </c>
      <c r="AE183" s="28">
        <f>IF(AQ183="7",BI183,0)</f>
        <v>0</v>
      </c>
      <c r="AF183" s="28">
        <f>IF(AQ183="2",BH183,0)</f>
        <v>0</v>
      </c>
      <c r="AG183" s="28">
        <f>IF(AQ183="2",BI183,0)</f>
        <v>0</v>
      </c>
      <c r="AH183" s="28">
        <f>IF(AQ183="0",BJ183,0)</f>
        <v>0</v>
      </c>
      <c r="AI183" s="10" t="s">
        <v>50</v>
      </c>
      <c r="AJ183" s="28">
        <f>IF(AN183=0,J183,0)</f>
        <v>0</v>
      </c>
      <c r="AK183" s="28">
        <f>IF(AN183=12,J183,0)</f>
        <v>0</v>
      </c>
      <c r="AL183" s="28">
        <f>IF(AN183=21,J183,0)</f>
        <v>0</v>
      </c>
      <c r="AN183" s="28">
        <v>12</v>
      </c>
      <c r="AO183" s="28">
        <f>G183*0.864497362</f>
        <v>0</v>
      </c>
      <c r="AP183" s="28">
        <f>G183*(1-0.864497362)</f>
        <v>0</v>
      </c>
      <c r="AQ183" s="29" t="s">
        <v>81</v>
      </c>
      <c r="AV183" s="28">
        <f>AW183+AX183</f>
        <v>0</v>
      </c>
      <c r="AW183" s="28">
        <f>F183*AO183</f>
        <v>0</v>
      </c>
      <c r="AX183" s="28">
        <f>F183*AP183</f>
        <v>0</v>
      </c>
      <c r="AY183" s="29" t="s">
        <v>530</v>
      </c>
      <c r="AZ183" s="29" t="s">
        <v>517</v>
      </c>
      <c r="BA183" s="10" t="s">
        <v>60</v>
      </c>
      <c r="BC183" s="28">
        <f>AW183+AX183</f>
        <v>0</v>
      </c>
      <c r="BD183" s="28">
        <f>G183/(100-BE183)*100</f>
        <v>0</v>
      </c>
      <c r="BE183" s="28">
        <v>0</v>
      </c>
      <c r="BF183" s="28">
        <f>183</f>
        <v>183</v>
      </c>
      <c r="BH183" s="28">
        <f>F183*AO183</f>
        <v>0</v>
      </c>
      <c r="BI183" s="28">
        <f>F183*AP183</f>
        <v>0</v>
      </c>
      <c r="BJ183" s="28">
        <f>F183*G183</f>
        <v>0</v>
      </c>
      <c r="BK183" s="28"/>
      <c r="BL183" s="28">
        <v>766</v>
      </c>
      <c r="BW183" s="28">
        <v>12</v>
      </c>
      <c r="BX183" s="4" t="s">
        <v>533</v>
      </c>
    </row>
    <row r="184" spans="1:76" ht="13.5" customHeight="1" x14ac:dyDescent="0.25">
      <c r="A184" s="34"/>
      <c r="B184" s="35" t="s">
        <v>65</v>
      </c>
      <c r="C184" s="117" t="s">
        <v>534</v>
      </c>
      <c r="D184" s="118"/>
      <c r="E184" s="118"/>
      <c r="F184" s="118"/>
      <c r="G184" s="118"/>
      <c r="H184" s="118"/>
      <c r="I184" s="118"/>
      <c r="J184" s="118"/>
      <c r="K184" s="119"/>
    </row>
    <row r="185" spans="1:76" x14ac:dyDescent="0.25">
      <c r="A185" s="24" t="s">
        <v>535</v>
      </c>
      <c r="B185" s="25" t="s">
        <v>536</v>
      </c>
      <c r="C185" s="113" t="s">
        <v>537</v>
      </c>
      <c r="D185" s="114"/>
      <c r="E185" s="25" t="s">
        <v>56</v>
      </c>
      <c r="F185" s="26">
        <v>1</v>
      </c>
      <c r="G185" s="26">
        <v>0</v>
      </c>
      <c r="H185" s="26">
        <f>F185*AO185</f>
        <v>0</v>
      </c>
      <c r="I185" s="26">
        <f>F185*AP185</f>
        <v>0</v>
      </c>
      <c r="J185" s="26">
        <f>F185*G185</f>
        <v>0</v>
      </c>
      <c r="K185" s="27" t="s">
        <v>57</v>
      </c>
      <c r="Z185" s="28">
        <f>IF(AQ185="5",BJ185,0)</f>
        <v>0</v>
      </c>
      <c r="AB185" s="28">
        <f>IF(AQ185="1",BH185,0)</f>
        <v>0</v>
      </c>
      <c r="AC185" s="28">
        <f>IF(AQ185="1",BI185,0)</f>
        <v>0</v>
      </c>
      <c r="AD185" s="28">
        <f>IF(AQ185="7",BH185,0)</f>
        <v>0</v>
      </c>
      <c r="AE185" s="28">
        <f>IF(AQ185="7",BI185,0)</f>
        <v>0</v>
      </c>
      <c r="AF185" s="28">
        <f>IF(AQ185="2",BH185,0)</f>
        <v>0</v>
      </c>
      <c r="AG185" s="28">
        <f>IF(AQ185="2",BI185,0)</f>
        <v>0</v>
      </c>
      <c r="AH185" s="28">
        <f>IF(AQ185="0",BJ185,0)</f>
        <v>0</v>
      </c>
      <c r="AI185" s="10" t="s">
        <v>50</v>
      </c>
      <c r="AJ185" s="28">
        <f>IF(AN185=0,J185,0)</f>
        <v>0</v>
      </c>
      <c r="AK185" s="28">
        <f>IF(AN185=12,J185,0)</f>
        <v>0</v>
      </c>
      <c r="AL185" s="28">
        <f>IF(AN185=21,J185,0)</f>
        <v>0</v>
      </c>
      <c r="AN185" s="28">
        <v>12</v>
      </c>
      <c r="AO185" s="28">
        <f>G185*0</f>
        <v>0</v>
      </c>
      <c r="AP185" s="28">
        <f>G185*(1-0)</f>
        <v>0</v>
      </c>
      <c r="AQ185" s="29" t="s">
        <v>81</v>
      </c>
      <c r="AV185" s="28">
        <f>AW185+AX185</f>
        <v>0</v>
      </c>
      <c r="AW185" s="28">
        <f>F185*AO185</f>
        <v>0</v>
      </c>
      <c r="AX185" s="28">
        <f>F185*AP185</f>
        <v>0</v>
      </c>
      <c r="AY185" s="29" t="s">
        <v>530</v>
      </c>
      <c r="AZ185" s="29" t="s">
        <v>517</v>
      </c>
      <c r="BA185" s="10" t="s">
        <v>60</v>
      </c>
      <c r="BC185" s="28">
        <f>AW185+AX185</f>
        <v>0</v>
      </c>
      <c r="BD185" s="28">
        <f>G185/(100-BE185)*100</f>
        <v>0</v>
      </c>
      <c r="BE185" s="28">
        <v>0</v>
      </c>
      <c r="BF185" s="28">
        <f>185</f>
        <v>185</v>
      </c>
      <c r="BH185" s="28">
        <f>F185*AO185</f>
        <v>0</v>
      </c>
      <c r="BI185" s="28">
        <f>F185*AP185</f>
        <v>0</v>
      </c>
      <c r="BJ185" s="28">
        <f>F185*G185</f>
        <v>0</v>
      </c>
      <c r="BK185" s="28"/>
      <c r="BL185" s="28">
        <v>766</v>
      </c>
      <c r="BW185" s="28">
        <v>12</v>
      </c>
      <c r="BX185" s="4" t="s">
        <v>537</v>
      </c>
    </row>
    <row r="186" spans="1:76" x14ac:dyDescent="0.25">
      <c r="A186" s="30" t="s">
        <v>538</v>
      </c>
      <c r="B186" s="31" t="s">
        <v>539</v>
      </c>
      <c r="C186" s="115" t="s">
        <v>540</v>
      </c>
      <c r="D186" s="116"/>
      <c r="E186" s="31" t="s">
        <v>56</v>
      </c>
      <c r="F186" s="32">
        <v>4</v>
      </c>
      <c r="G186" s="32">
        <v>0</v>
      </c>
      <c r="H186" s="32">
        <f>F186*AO186</f>
        <v>0</v>
      </c>
      <c r="I186" s="32">
        <f>F186*AP186</f>
        <v>0</v>
      </c>
      <c r="J186" s="32">
        <f>F186*G186</f>
        <v>0</v>
      </c>
      <c r="K186" s="33" t="s">
        <v>57</v>
      </c>
      <c r="Z186" s="28">
        <f>IF(AQ186="5",BJ186,0)</f>
        <v>0</v>
      </c>
      <c r="AB186" s="28">
        <f>IF(AQ186="1",BH186,0)</f>
        <v>0</v>
      </c>
      <c r="AC186" s="28">
        <f>IF(AQ186="1",BI186,0)</f>
        <v>0</v>
      </c>
      <c r="AD186" s="28">
        <f>IF(AQ186="7",BH186,0)</f>
        <v>0</v>
      </c>
      <c r="AE186" s="28">
        <f>IF(AQ186="7",BI186,0)</f>
        <v>0</v>
      </c>
      <c r="AF186" s="28">
        <f>IF(AQ186="2",BH186,0)</f>
        <v>0</v>
      </c>
      <c r="AG186" s="28">
        <f>IF(AQ186="2",BI186,0)</f>
        <v>0</v>
      </c>
      <c r="AH186" s="28">
        <f>IF(AQ186="0",BJ186,0)</f>
        <v>0</v>
      </c>
      <c r="AI186" s="10" t="s">
        <v>50</v>
      </c>
      <c r="AJ186" s="28">
        <f>IF(AN186=0,J186,0)</f>
        <v>0</v>
      </c>
      <c r="AK186" s="28">
        <f>IF(AN186=12,J186,0)</f>
        <v>0</v>
      </c>
      <c r="AL186" s="28">
        <f>IF(AN186=21,J186,0)</f>
        <v>0</v>
      </c>
      <c r="AN186" s="28">
        <v>12</v>
      </c>
      <c r="AO186" s="28">
        <f>G186*0.005076923</f>
        <v>0</v>
      </c>
      <c r="AP186" s="28">
        <f>G186*(1-0.005076923)</f>
        <v>0</v>
      </c>
      <c r="AQ186" s="29" t="s">
        <v>81</v>
      </c>
      <c r="AV186" s="28">
        <f>AW186+AX186</f>
        <v>0</v>
      </c>
      <c r="AW186" s="28">
        <f>F186*AO186</f>
        <v>0</v>
      </c>
      <c r="AX186" s="28">
        <f>F186*AP186</f>
        <v>0</v>
      </c>
      <c r="AY186" s="29" t="s">
        <v>530</v>
      </c>
      <c r="AZ186" s="29" t="s">
        <v>517</v>
      </c>
      <c r="BA186" s="10" t="s">
        <v>60</v>
      </c>
      <c r="BC186" s="28">
        <f>AW186+AX186</f>
        <v>0</v>
      </c>
      <c r="BD186" s="28">
        <f>G186/(100-BE186)*100</f>
        <v>0</v>
      </c>
      <c r="BE186" s="28">
        <v>0</v>
      </c>
      <c r="BF186" s="28">
        <f>186</f>
        <v>186</v>
      </c>
      <c r="BH186" s="28">
        <f>F186*AO186</f>
        <v>0</v>
      </c>
      <c r="BI186" s="28">
        <f>F186*AP186</f>
        <v>0</v>
      </c>
      <c r="BJ186" s="28">
        <f>F186*G186</f>
        <v>0</v>
      </c>
      <c r="BK186" s="28"/>
      <c r="BL186" s="28">
        <v>766</v>
      </c>
      <c r="BW186" s="28">
        <v>12</v>
      </c>
      <c r="BX186" s="4" t="s">
        <v>540</v>
      </c>
    </row>
    <row r="187" spans="1:76" x14ac:dyDescent="0.25">
      <c r="A187" s="30" t="s">
        <v>541</v>
      </c>
      <c r="B187" s="31" t="s">
        <v>542</v>
      </c>
      <c r="C187" s="115" t="s">
        <v>543</v>
      </c>
      <c r="D187" s="116"/>
      <c r="E187" s="31" t="s">
        <v>56</v>
      </c>
      <c r="F187" s="32">
        <v>4</v>
      </c>
      <c r="G187" s="32">
        <v>0</v>
      </c>
      <c r="H187" s="32">
        <f>F187*AO187</f>
        <v>0</v>
      </c>
      <c r="I187" s="32">
        <f>F187*AP187</f>
        <v>0</v>
      </c>
      <c r="J187" s="32">
        <f>F187*G187</f>
        <v>0</v>
      </c>
      <c r="K187" s="33" t="s">
        <v>57</v>
      </c>
      <c r="Z187" s="28">
        <f>IF(AQ187="5",BJ187,0)</f>
        <v>0</v>
      </c>
      <c r="AB187" s="28">
        <f>IF(AQ187="1",BH187,0)</f>
        <v>0</v>
      </c>
      <c r="AC187" s="28">
        <f>IF(AQ187="1",BI187,0)</f>
        <v>0</v>
      </c>
      <c r="AD187" s="28">
        <f>IF(AQ187="7",BH187,0)</f>
        <v>0</v>
      </c>
      <c r="AE187" s="28">
        <f>IF(AQ187="7",BI187,0)</f>
        <v>0</v>
      </c>
      <c r="AF187" s="28">
        <f>IF(AQ187="2",BH187,0)</f>
        <v>0</v>
      </c>
      <c r="AG187" s="28">
        <f>IF(AQ187="2",BI187,0)</f>
        <v>0</v>
      </c>
      <c r="AH187" s="28">
        <f>IF(AQ187="0",BJ187,0)</f>
        <v>0</v>
      </c>
      <c r="AI187" s="10" t="s">
        <v>50</v>
      </c>
      <c r="AJ187" s="28">
        <f>IF(AN187=0,J187,0)</f>
        <v>0</v>
      </c>
      <c r="AK187" s="28">
        <f>IF(AN187=12,J187,0)</f>
        <v>0</v>
      </c>
      <c r="AL187" s="28">
        <f>IF(AN187=21,J187,0)</f>
        <v>0</v>
      </c>
      <c r="AN187" s="28">
        <v>12</v>
      </c>
      <c r="AO187" s="28">
        <f>G187*1</f>
        <v>0</v>
      </c>
      <c r="AP187" s="28">
        <f>G187*(1-1)</f>
        <v>0</v>
      </c>
      <c r="AQ187" s="29" t="s">
        <v>81</v>
      </c>
      <c r="AV187" s="28">
        <f>AW187+AX187</f>
        <v>0</v>
      </c>
      <c r="AW187" s="28">
        <f>F187*AO187</f>
        <v>0</v>
      </c>
      <c r="AX187" s="28">
        <f>F187*AP187</f>
        <v>0</v>
      </c>
      <c r="AY187" s="29" t="s">
        <v>530</v>
      </c>
      <c r="AZ187" s="29" t="s">
        <v>517</v>
      </c>
      <c r="BA187" s="10" t="s">
        <v>60</v>
      </c>
      <c r="BC187" s="28">
        <f>AW187+AX187</f>
        <v>0</v>
      </c>
      <c r="BD187" s="28">
        <f>G187/(100-BE187)*100</f>
        <v>0</v>
      </c>
      <c r="BE187" s="28">
        <v>0</v>
      </c>
      <c r="BF187" s="28">
        <f>187</f>
        <v>187</v>
      </c>
      <c r="BH187" s="28">
        <f>F187*AO187</f>
        <v>0</v>
      </c>
      <c r="BI187" s="28">
        <f>F187*AP187</f>
        <v>0</v>
      </c>
      <c r="BJ187" s="28">
        <f>F187*G187</f>
        <v>0</v>
      </c>
      <c r="BK187" s="28"/>
      <c r="BL187" s="28">
        <v>766</v>
      </c>
      <c r="BW187" s="28">
        <v>12</v>
      </c>
      <c r="BX187" s="4" t="s">
        <v>543</v>
      </c>
    </row>
    <row r="188" spans="1:76" x14ac:dyDescent="0.25">
      <c r="A188" s="30" t="s">
        <v>544</v>
      </c>
      <c r="B188" s="31" t="s">
        <v>545</v>
      </c>
      <c r="C188" s="115" t="s">
        <v>546</v>
      </c>
      <c r="D188" s="116"/>
      <c r="E188" s="31" t="s">
        <v>87</v>
      </c>
      <c r="F188" s="32">
        <v>0.28955999999999998</v>
      </c>
      <c r="G188" s="32">
        <v>0</v>
      </c>
      <c r="H188" s="32">
        <f>F188*AO188</f>
        <v>0</v>
      </c>
      <c r="I188" s="32">
        <f>F188*AP188</f>
        <v>0</v>
      </c>
      <c r="J188" s="32">
        <f>F188*G188</f>
        <v>0</v>
      </c>
      <c r="K188" s="33" t="s">
        <v>57</v>
      </c>
      <c r="Z188" s="28">
        <f>IF(AQ188="5",BJ188,0)</f>
        <v>0</v>
      </c>
      <c r="AB188" s="28">
        <f>IF(AQ188="1",BH188,0)</f>
        <v>0</v>
      </c>
      <c r="AC188" s="28">
        <f>IF(AQ188="1",BI188,0)</f>
        <v>0</v>
      </c>
      <c r="AD188" s="28">
        <f>IF(AQ188="7",BH188,0)</f>
        <v>0</v>
      </c>
      <c r="AE188" s="28">
        <f>IF(AQ188="7",BI188,0)</f>
        <v>0</v>
      </c>
      <c r="AF188" s="28">
        <f>IF(AQ188="2",BH188,0)</f>
        <v>0</v>
      </c>
      <c r="AG188" s="28">
        <f>IF(AQ188="2",BI188,0)</f>
        <v>0</v>
      </c>
      <c r="AH188" s="28">
        <f>IF(AQ188="0",BJ188,0)</f>
        <v>0</v>
      </c>
      <c r="AI188" s="10" t="s">
        <v>50</v>
      </c>
      <c r="AJ188" s="28">
        <f>IF(AN188=0,J188,0)</f>
        <v>0</v>
      </c>
      <c r="AK188" s="28">
        <f>IF(AN188=12,J188,0)</f>
        <v>0</v>
      </c>
      <c r="AL188" s="28">
        <f>IF(AN188=21,J188,0)</f>
        <v>0</v>
      </c>
      <c r="AN188" s="28">
        <v>12</v>
      </c>
      <c r="AO188" s="28">
        <f>G188*0</f>
        <v>0</v>
      </c>
      <c r="AP188" s="28">
        <f>G188*(1-0)</f>
        <v>0</v>
      </c>
      <c r="AQ188" s="29" t="s">
        <v>74</v>
      </c>
      <c r="AV188" s="28">
        <f>AW188+AX188</f>
        <v>0</v>
      </c>
      <c r="AW188" s="28">
        <f>F188*AO188</f>
        <v>0</v>
      </c>
      <c r="AX188" s="28">
        <f>F188*AP188</f>
        <v>0</v>
      </c>
      <c r="AY188" s="29" t="s">
        <v>530</v>
      </c>
      <c r="AZ188" s="29" t="s">
        <v>517</v>
      </c>
      <c r="BA188" s="10" t="s">
        <v>60</v>
      </c>
      <c r="BC188" s="28">
        <f>AW188+AX188</f>
        <v>0</v>
      </c>
      <c r="BD188" s="28">
        <f>G188/(100-BE188)*100</f>
        <v>0</v>
      </c>
      <c r="BE188" s="28">
        <v>0</v>
      </c>
      <c r="BF188" s="28">
        <f>188</f>
        <v>188</v>
      </c>
      <c r="BH188" s="28">
        <f>F188*AO188</f>
        <v>0</v>
      </c>
      <c r="BI188" s="28">
        <f>F188*AP188</f>
        <v>0</v>
      </c>
      <c r="BJ188" s="28">
        <f>F188*G188</f>
        <v>0</v>
      </c>
      <c r="BK188" s="28"/>
      <c r="BL188" s="28">
        <v>766</v>
      </c>
      <c r="BW188" s="28">
        <v>12</v>
      </c>
      <c r="BX188" s="4" t="s">
        <v>546</v>
      </c>
    </row>
    <row r="189" spans="1:76" x14ac:dyDescent="0.25">
      <c r="A189" s="36" t="s">
        <v>50</v>
      </c>
      <c r="B189" s="37" t="s">
        <v>547</v>
      </c>
      <c r="C189" s="120" t="s">
        <v>548</v>
      </c>
      <c r="D189" s="121"/>
      <c r="E189" s="38" t="s">
        <v>4</v>
      </c>
      <c r="F189" s="38" t="s">
        <v>4</v>
      </c>
      <c r="G189" s="38" t="s">
        <v>4</v>
      </c>
      <c r="H189" s="39">
        <f>SUM(H190:H211)</f>
        <v>0</v>
      </c>
      <c r="I189" s="39">
        <f>SUM(I190:I211)</f>
        <v>0</v>
      </c>
      <c r="J189" s="39">
        <f>SUM(J190:J211)</f>
        <v>0</v>
      </c>
      <c r="K189" s="40" t="s">
        <v>50</v>
      </c>
      <c r="AI189" s="10" t="s">
        <v>50</v>
      </c>
      <c r="AS189" s="1">
        <f>SUM(AJ190:AJ211)</f>
        <v>0</v>
      </c>
      <c r="AT189" s="1">
        <f>SUM(AK190:AK211)</f>
        <v>0</v>
      </c>
      <c r="AU189" s="1">
        <f>SUM(AL190:AL211)</f>
        <v>0</v>
      </c>
    </row>
    <row r="190" spans="1:76" x14ac:dyDescent="0.25">
      <c r="A190" s="24" t="s">
        <v>549</v>
      </c>
      <c r="B190" s="25" t="s">
        <v>550</v>
      </c>
      <c r="C190" s="113" t="s">
        <v>551</v>
      </c>
      <c r="D190" s="114"/>
      <c r="E190" s="25" t="s">
        <v>64</v>
      </c>
      <c r="F190" s="26">
        <v>3.99</v>
      </c>
      <c r="G190" s="26">
        <v>0</v>
      </c>
      <c r="H190" s="26">
        <f t="shared" ref="H190:H195" si="242">F190*AO190</f>
        <v>0</v>
      </c>
      <c r="I190" s="26">
        <f t="shared" ref="I190:I195" si="243">F190*AP190</f>
        <v>0</v>
      </c>
      <c r="J190" s="26">
        <f t="shared" ref="J190:J195" si="244">F190*G190</f>
        <v>0</v>
      </c>
      <c r="K190" s="27" t="s">
        <v>57</v>
      </c>
      <c r="Z190" s="28">
        <f t="shared" ref="Z190:Z195" si="245">IF(AQ190="5",BJ190,0)</f>
        <v>0</v>
      </c>
      <c r="AB190" s="28">
        <f t="shared" ref="AB190:AB195" si="246">IF(AQ190="1",BH190,0)</f>
        <v>0</v>
      </c>
      <c r="AC190" s="28">
        <f t="shared" ref="AC190:AC195" si="247">IF(AQ190="1",BI190,0)</f>
        <v>0</v>
      </c>
      <c r="AD190" s="28">
        <f t="shared" ref="AD190:AD195" si="248">IF(AQ190="7",BH190,0)</f>
        <v>0</v>
      </c>
      <c r="AE190" s="28">
        <f t="shared" ref="AE190:AE195" si="249">IF(AQ190="7",BI190,0)</f>
        <v>0</v>
      </c>
      <c r="AF190" s="28">
        <f t="shared" ref="AF190:AF195" si="250">IF(AQ190="2",BH190,0)</f>
        <v>0</v>
      </c>
      <c r="AG190" s="28">
        <f t="shared" ref="AG190:AG195" si="251">IF(AQ190="2",BI190,0)</f>
        <v>0</v>
      </c>
      <c r="AH190" s="28">
        <f t="shared" ref="AH190:AH195" si="252">IF(AQ190="0",BJ190,0)</f>
        <v>0</v>
      </c>
      <c r="AI190" s="10" t="s">
        <v>50</v>
      </c>
      <c r="AJ190" s="28">
        <f t="shared" ref="AJ190:AJ195" si="253">IF(AN190=0,J190,0)</f>
        <v>0</v>
      </c>
      <c r="AK190" s="28">
        <f t="shared" ref="AK190:AK195" si="254">IF(AN190=12,J190,0)</f>
        <v>0</v>
      </c>
      <c r="AL190" s="28">
        <f t="shared" ref="AL190:AL195" si="255">IF(AN190=21,J190,0)</f>
        <v>0</v>
      </c>
      <c r="AN190" s="28">
        <v>12</v>
      </c>
      <c r="AO190" s="28">
        <f>G190*0</f>
        <v>0</v>
      </c>
      <c r="AP190" s="28">
        <f>G190*(1-0)</f>
        <v>0</v>
      </c>
      <c r="AQ190" s="29" t="s">
        <v>81</v>
      </c>
      <c r="AV190" s="28">
        <f t="shared" ref="AV190:AV195" si="256">AW190+AX190</f>
        <v>0</v>
      </c>
      <c r="AW190" s="28">
        <f t="shared" ref="AW190:AW195" si="257">F190*AO190</f>
        <v>0</v>
      </c>
      <c r="AX190" s="28">
        <f t="shared" ref="AX190:AX195" si="258">F190*AP190</f>
        <v>0</v>
      </c>
      <c r="AY190" s="29" t="s">
        <v>552</v>
      </c>
      <c r="AZ190" s="29" t="s">
        <v>553</v>
      </c>
      <c r="BA190" s="10" t="s">
        <v>60</v>
      </c>
      <c r="BC190" s="28">
        <f t="shared" ref="BC190:BC195" si="259">AW190+AX190</f>
        <v>0</v>
      </c>
      <c r="BD190" s="28">
        <f t="shared" ref="BD190:BD195" si="260">G190/(100-BE190)*100</f>
        <v>0</v>
      </c>
      <c r="BE190" s="28">
        <v>0</v>
      </c>
      <c r="BF190" s="28">
        <f>190</f>
        <v>190</v>
      </c>
      <c r="BH190" s="28">
        <f t="shared" ref="BH190:BH195" si="261">F190*AO190</f>
        <v>0</v>
      </c>
      <c r="BI190" s="28">
        <f t="shared" ref="BI190:BI195" si="262">F190*AP190</f>
        <v>0</v>
      </c>
      <c r="BJ190" s="28">
        <f t="shared" ref="BJ190:BJ195" si="263">F190*G190</f>
        <v>0</v>
      </c>
      <c r="BK190" s="28"/>
      <c r="BL190" s="28">
        <v>771</v>
      </c>
      <c r="BW190" s="28">
        <v>12</v>
      </c>
      <c r="BX190" s="4" t="s">
        <v>551</v>
      </c>
    </row>
    <row r="191" spans="1:76" x14ac:dyDescent="0.25">
      <c r="A191" s="30" t="s">
        <v>554</v>
      </c>
      <c r="B191" s="31" t="s">
        <v>555</v>
      </c>
      <c r="C191" s="115" t="s">
        <v>556</v>
      </c>
      <c r="D191" s="116"/>
      <c r="E191" s="31" t="s">
        <v>557</v>
      </c>
      <c r="F191" s="32">
        <v>0.59850000000000003</v>
      </c>
      <c r="G191" s="32">
        <v>0</v>
      </c>
      <c r="H191" s="32">
        <f t="shared" si="242"/>
        <v>0</v>
      </c>
      <c r="I191" s="32">
        <f t="shared" si="243"/>
        <v>0</v>
      </c>
      <c r="J191" s="32">
        <f t="shared" si="244"/>
        <v>0</v>
      </c>
      <c r="K191" s="33" t="s">
        <v>57</v>
      </c>
      <c r="Z191" s="28">
        <f t="shared" si="245"/>
        <v>0</v>
      </c>
      <c r="AB191" s="28">
        <f t="shared" si="246"/>
        <v>0</v>
      </c>
      <c r="AC191" s="28">
        <f t="shared" si="247"/>
        <v>0</v>
      </c>
      <c r="AD191" s="28">
        <f t="shared" si="248"/>
        <v>0</v>
      </c>
      <c r="AE191" s="28">
        <f t="shared" si="249"/>
        <v>0</v>
      </c>
      <c r="AF191" s="28">
        <f t="shared" si="250"/>
        <v>0</v>
      </c>
      <c r="AG191" s="28">
        <f t="shared" si="251"/>
        <v>0</v>
      </c>
      <c r="AH191" s="28">
        <f t="shared" si="252"/>
        <v>0</v>
      </c>
      <c r="AI191" s="10" t="s">
        <v>50</v>
      </c>
      <c r="AJ191" s="28">
        <f t="shared" si="253"/>
        <v>0</v>
      </c>
      <c r="AK191" s="28">
        <f t="shared" si="254"/>
        <v>0</v>
      </c>
      <c r="AL191" s="28">
        <f t="shared" si="255"/>
        <v>0</v>
      </c>
      <c r="AN191" s="28">
        <v>12</v>
      </c>
      <c r="AO191" s="28">
        <f>G191*0</f>
        <v>0</v>
      </c>
      <c r="AP191" s="28">
        <f>G191*(1-0)</f>
        <v>0</v>
      </c>
      <c r="AQ191" s="29" t="s">
        <v>81</v>
      </c>
      <c r="AV191" s="28">
        <f t="shared" si="256"/>
        <v>0</v>
      </c>
      <c r="AW191" s="28">
        <f t="shared" si="257"/>
        <v>0</v>
      </c>
      <c r="AX191" s="28">
        <f t="shared" si="258"/>
        <v>0</v>
      </c>
      <c r="AY191" s="29" t="s">
        <v>552</v>
      </c>
      <c r="AZ191" s="29" t="s">
        <v>553</v>
      </c>
      <c r="BA191" s="10" t="s">
        <v>60</v>
      </c>
      <c r="BC191" s="28">
        <f t="shared" si="259"/>
        <v>0</v>
      </c>
      <c r="BD191" s="28">
        <f t="shared" si="260"/>
        <v>0</v>
      </c>
      <c r="BE191" s="28">
        <v>0</v>
      </c>
      <c r="BF191" s="28">
        <f>191</f>
        <v>191</v>
      </c>
      <c r="BH191" s="28">
        <f t="shared" si="261"/>
        <v>0</v>
      </c>
      <c r="BI191" s="28">
        <f t="shared" si="262"/>
        <v>0</v>
      </c>
      <c r="BJ191" s="28">
        <f t="shared" si="263"/>
        <v>0</v>
      </c>
      <c r="BK191" s="28"/>
      <c r="BL191" s="28">
        <v>771</v>
      </c>
      <c r="BW191" s="28">
        <v>12</v>
      </c>
      <c r="BX191" s="4" t="s">
        <v>556</v>
      </c>
    </row>
    <row r="192" spans="1:76" x14ac:dyDescent="0.25">
      <c r="A192" s="30" t="s">
        <v>558</v>
      </c>
      <c r="B192" s="31" t="s">
        <v>85</v>
      </c>
      <c r="C192" s="115" t="s">
        <v>86</v>
      </c>
      <c r="D192" s="116"/>
      <c r="E192" s="31" t="s">
        <v>87</v>
      </c>
      <c r="F192" s="32">
        <v>1.57605</v>
      </c>
      <c r="G192" s="32">
        <v>0</v>
      </c>
      <c r="H192" s="32">
        <f t="shared" si="242"/>
        <v>0</v>
      </c>
      <c r="I192" s="32">
        <f t="shared" si="243"/>
        <v>0</v>
      </c>
      <c r="J192" s="32">
        <f t="shared" si="244"/>
        <v>0</v>
      </c>
      <c r="K192" s="33" t="s">
        <v>57</v>
      </c>
      <c r="Z192" s="28">
        <f t="shared" si="245"/>
        <v>0</v>
      </c>
      <c r="AB192" s="28">
        <f t="shared" si="246"/>
        <v>0</v>
      </c>
      <c r="AC192" s="28">
        <f t="shared" si="247"/>
        <v>0</v>
      </c>
      <c r="AD192" s="28">
        <f t="shared" si="248"/>
        <v>0</v>
      </c>
      <c r="AE192" s="28">
        <f t="shared" si="249"/>
        <v>0</v>
      </c>
      <c r="AF192" s="28">
        <f t="shared" si="250"/>
        <v>0</v>
      </c>
      <c r="AG192" s="28">
        <f t="shared" si="251"/>
        <v>0</v>
      </c>
      <c r="AH192" s="28">
        <f t="shared" si="252"/>
        <v>0</v>
      </c>
      <c r="AI192" s="10" t="s">
        <v>50</v>
      </c>
      <c r="AJ192" s="28">
        <f t="shared" si="253"/>
        <v>0</v>
      </c>
      <c r="AK192" s="28">
        <f t="shared" si="254"/>
        <v>0</v>
      </c>
      <c r="AL192" s="28">
        <f t="shared" si="255"/>
        <v>0</v>
      </c>
      <c r="AN192" s="28">
        <v>12</v>
      </c>
      <c r="AO192" s="28">
        <f>G192*0</f>
        <v>0</v>
      </c>
      <c r="AP192" s="28">
        <f>G192*(1-0)</f>
        <v>0</v>
      </c>
      <c r="AQ192" s="29" t="s">
        <v>74</v>
      </c>
      <c r="AV192" s="28">
        <f t="shared" si="256"/>
        <v>0</v>
      </c>
      <c r="AW192" s="28">
        <f t="shared" si="257"/>
        <v>0</v>
      </c>
      <c r="AX192" s="28">
        <f t="shared" si="258"/>
        <v>0</v>
      </c>
      <c r="AY192" s="29" t="s">
        <v>552</v>
      </c>
      <c r="AZ192" s="29" t="s">
        <v>553</v>
      </c>
      <c r="BA192" s="10" t="s">
        <v>60</v>
      </c>
      <c r="BC192" s="28">
        <f t="shared" si="259"/>
        <v>0</v>
      </c>
      <c r="BD192" s="28">
        <f t="shared" si="260"/>
        <v>0</v>
      </c>
      <c r="BE192" s="28">
        <v>0</v>
      </c>
      <c r="BF192" s="28">
        <f>192</f>
        <v>192</v>
      </c>
      <c r="BH192" s="28">
        <f t="shared" si="261"/>
        <v>0</v>
      </c>
      <c r="BI192" s="28">
        <f t="shared" si="262"/>
        <v>0</v>
      </c>
      <c r="BJ192" s="28">
        <f t="shared" si="263"/>
        <v>0</v>
      </c>
      <c r="BK192" s="28"/>
      <c r="BL192" s="28">
        <v>771</v>
      </c>
      <c r="BW192" s="28">
        <v>12</v>
      </c>
      <c r="BX192" s="4" t="s">
        <v>86</v>
      </c>
    </row>
    <row r="193" spans="1:76" x14ac:dyDescent="0.25">
      <c r="A193" s="30" t="s">
        <v>559</v>
      </c>
      <c r="B193" s="31" t="s">
        <v>89</v>
      </c>
      <c r="C193" s="115" t="s">
        <v>90</v>
      </c>
      <c r="D193" s="116"/>
      <c r="E193" s="31" t="s">
        <v>87</v>
      </c>
      <c r="F193" s="32">
        <v>1.57605</v>
      </c>
      <c r="G193" s="32">
        <v>0</v>
      </c>
      <c r="H193" s="32">
        <f t="shared" si="242"/>
        <v>0</v>
      </c>
      <c r="I193" s="32">
        <f t="shared" si="243"/>
        <v>0</v>
      </c>
      <c r="J193" s="32">
        <f t="shared" si="244"/>
        <v>0</v>
      </c>
      <c r="K193" s="33" t="s">
        <v>57</v>
      </c>
      <c r="Z193" s="28">
        <f t="shared" si="245"/>
        <v>0</v>
      </c>
      <c r="AB193" s="28">
        <f t="shared" si="246"/>
        <v>0</v>
      </c>
      <c r="AC193" s="28">
        <f t="shared" si="247"/>
        <v>0</v>
      </c>
      <c r="AD193" s="28">
        <f t="shared" si="248"/>
        <v>0</v>
      </c>
      <c r="AE193" s="28">
        <f t="shared" si="249"/>
        <v>0</v>
      </c>
      <c r="AF193" s="28">
        <f t="shared" si="250"/>
        <v>0</v>
      </c>
      <c r="AG193" s="28">
        <f t="shared" si="251"/>
        <v>0</v>
      </c>
      <c r="AH193" s="28">
        <f t="shared" si="252"/>
        <v>0</v>
      </c>
      <c r="AI193" s="10" t="s">
        <v>50</v>
      </c>
      <c r="AJ193" s="28">
        <f t="shared" si="253"/>
        <v>0</v>
      </c>
      <c r="AK193" s="28">
        <f t="shared" si="254"/>
        <v>0</v>
      </c>
      <c r="AL193" s="28">
        <f t="shared" si="255"/>
        <v>0</v>
      </c>
      <c r="AN193" s="28">
        <v>12</v>
      </c>
      <c r="AO193" s="28">
        <f>G193*0.010795577</f>
        <v>0</v>
      </c>
      <c r="AP193" s="28">
        <f>G193*(1-0.010795577)</f>
        <v>0</v>
      </c>
      <c r="AQ193" s="29" t="s">
        <v>74</v>
      </c>
      <c r="AV193" s="28">
        <f t="shared" si="256"/>
        <v>0</v>
      </c>
      <c r="AW193" s="28">
        <f t="shared" si="257"/>
        <v>0</v>
      </c>
      <c r="AX193" s="28">
        <f t="shared" si="258"/>
        <v>0</v>
      </c>
      <c r="AY193" s="29" t="s">
        <v>552</v>
      </c>
      <c r="AZ193" s="29" t="s">
        <v>553</v>
      </c>
      <c r="BA193" s="10" t="s">
        <v>60</v>
      </c>
      <c r="BC193" s="28">
        <f t="shared" si="259"/>
        <v>0</v>
      </c>
      <c r="BD193" s="28">
        <f t="shared" si="260"/>
        <v>0</v>
      </c>
      <c r="BE193" s="28">
        <v>0</v>
      </c>
      <c r="BF193" s="28">
        <f>193</f>
        <v>193</v>
      </c>
      <c r="BH193" s="28">
        <f t="shared" si="261"/>
        <v>0</v>
      </c>
      <c r="BI193" s="28">
        <f t="shared" si="262"/>
        <v>0</v>
      </c>
      <c r="BJ193" s="28">
        <f t="shared" si="263"/>
        <v>0</v>
      </c>
      <c r="BK193" s="28"/>
      <c r="BL193" s="28">
        <v>771</v>
      </c>
      <c r="BW193" s="28">
        <v>12</v>
      </c>
      <c r="BX193" s="4" t="s">
        <v>90</v>
      </c>
    </row>
    <row r="194" spans="1:76" x14ac:dyDescent="0.25">
      <c r="A194" s="30" t="s">
        <v>560</v>
      </c>
      <c r="B194" s="31" t="s">
        <v>117</v>
      </c>
      <c r="C194" s="115" t="s">
        <v>118</v>
      </c>
      <c r="D194" s="116"/>
      <c r="E194" s="31" t="s">
        <v>87</v>
      </c>
      <c r="F194" s="32">
        <v>1.57605</v>
      </c>
      <c r="G194" s="32">
        <v>0</v>
      </c>
      <c r="H194" s="32">
        <f t="shared" si="242"/>
        <v>0</v>
      </c>
      <c r="I194" s="32">
        <f t="shared" si="243"/>
        <v>0</v>
      </c>
      <c r="J194" s="32">
        <f t="shared" si="244"/>
        <v>0</v>
      </c>
      <c r="K194" s="33" t="s">
        <v>119</v>
      </c>
      <c r="Z194" s="28">
        <f t="shared" si="245"/>
        <v>0</v>
      </c>
      <c r="AB194" s="28">
        <f t="shared" si="246"/>
        <v>0</v>
      </c>
      <c r="AC194" s="28">
        <f t="shared" si="247"/>
        <v>0</v>
      </c>
      <c r="AD194" s="28">
        <f t="shared" si="248"/>
        <v>0</v>
      </c>
      <c r="AE194" s="28">
        <f t="shared" si="249"/>
        <v>0</v>
      </c>
      <c r="AF194" s="28">
        <f t="shared" si="250"/>
        <v>0</v>
      </c>
      <c r="AG194" s="28">
        <f t="shared" si="251"/>
        <v>0</v>
      </c>
      <c r="AH194" s="28">
        <f t="shared" si="252"/>
        <v>0</v>
      </c>
      <c r="AI194" s="10" t="s">
        <v>50</v>
      </c>
      <c r="AJ194" s="28">
        <f t="shared" si="253"/>
        <v>0</v>
      </c>
      <c r="AK194" s="28">
        <f t="shared" si="254"/>
        <v>0</v>
      </c>
      <c r="AL194" s="28">
        <f t="shared" si="255"/>
        <v>0</v>
      </c>
      <c r="AN194" s="28">
        <v>12</v>
      </c>
      <c r="AO194" s="28">
        <f>G194*0</f>
        <v>0</v>
      </c>
      <c r="AP194" s="28">
        <f>G194*(1-0)</f>
        <v>0</v>
      </c>
      <c r="AQ194" s="29" t="s">
        <v>74</v>
      </c>
      <c r="AV194" s="28">
        <f t="shared" si="256"/>
        <v>0</v>
      </c>
      <c r="AW194" s="28">
        <f t="shared" si="257"/>
        <v>0</v>
      </c>
      <c r="AX194" s="28">
        <f t="shared" si="258"/>
        <v>0</v>
      </c>
      <c r="AY194" s="29" t="s">
        <v>552</v>
      </c>
      <c r="AZ194" s="29" t="s">
        <v>553</v>
      </c>
      <c r="BA194" s="10" t="s">
        <v>60</v>
      </c>
      <c r="BC194" s="28">
        <f t="shared" si="259"/>
        <v>0</v>
      </c>
      <c r="BD194" s="28">
        <f t="shared" si="260"/>
        <v>0</v>
      </c>
      <c r="BE194" s="28">
        <v>0</v>
      </c>
      <c r="BF194" s="28">
        <f>194</f>
        <v>194</v>
      </c>
      <c r="BH194" s="28">
        <f t="shared" si="261"/>
        <v>0</v>
      </c>
      <c r="BI194" s="28">
        <f t="shared" si="262"/>
        <v>0</v>
      </c>
      <c r="BJ194" s="28">
        <f t="shared" si="263"/>
        <v>0</v>
      </c>
      <c r="BK194" s="28"/>
      <c r="BL194" s="28">
        <v>771</v>
      </c>
      <c r="BW194" s="28">
        <v>12</v>
      </c>
      <c r="BX194" s="4" t="s">
        <v>118</v>
      </c>
    </row>
    <row r="195" spans="1:76" x14ac:dyDescent="0.25">
      <c r="A195" s="30" t="s">
        <v>561</v>
      </c>
      <c r="B195" s="31" t="s">
        <v>562</v>
      </c>
      <c r="C195" s="115" t="s">
        <v>563</v>
      </c>
      <c r="D195" s="116"/>
      <c r="E195" s="31" t="s">
        <v>64</v>
      </c>
      <c r="F195" s="32">
        <v>47.57</v>
      </c>
      <c r="G195" s="32">
        <v>0</v>
      </c>
      <c r="H195" s="32">
        <f t="shared" si="242"/>
        <v>0</v>
      </c>
      <c r="I195" s="32">
        <f t="shared" si="243"/>
        <v>0</v>
      </c>
      <c r="J195" s="32">
        <f t="shared" si="244"/>
        <v>0</v>
      </c>
      <c r="K195" s="33" t="s">
        <v>57</v>
      </c>
      <c r="Z195" s="28">
        <f t="shared" si="245"/>
        <v>0</v>
      </c>
      <c r="AB195" s="28">
        <f t="shared" si="246"/>
        <v>0</v>
      </c>
      <c r="AC195" s="28">
        <f t="shared" si="247"/>
        <v>0</v>
      </c>
      <c r="AD195" s="28">
        <f t="shared" si="248"/>
        <v>0</v>
      </c>
      <c r="AE195" s="28">
        <f t="shared" si="249"/>
        <v>0</v>
      </c>
      <c r="AF195" s="28">
        <f t="shared" si="250"/>
        <v>0</v>
      </c>
      <c r="AG195" s="28">
        <f t="shared" si="251"/>
        <v>0</v>
      </c>
      <c r="AH195" s="28">
        <f t="shared" si="252"/>
        <v>0</v>
      </c>
      <c r="AI195" s="10" t="s">
        <v>50</v>
      </c>
      <c r="AJ195" s="28">
        <f t="shared" si="253"/>
        <v>0</v>
      </c>
      <c r="AK195" s="28">
        <f t="shared" si="254"/>
        <v>0</v>
      </c>
      <c r="AL195" s="28">
        <f t="shared" si="255"/>
        <v>0</v>
      </c>
      <c r="AN195" s="28">
        <v>12</v>
      </c>
      <c r="AO195" s="28">
        <f>G195*0.208661072</f>
        <v>0</v>
      </c>
      <c r="AP195" s="28">
        <f>G195*(1-0.208661072)</f>
        <v>0</v>
      </c>
      <c r="AQ195" s="29" t="s">
        <v>81</v>
      </c>
      <c r="AV195" s="28">
        <f t="shared" si="256"/>
        <v>0</v>
      </c>
      <c r="AW195" s="28">
        <f t="shared" si="257"/>
        <v>0</v>
      </c>
      <c r="AX195" s="28">
        <f t="shared" si="258"/>
        <v>0</v>
      </c>
      <c r="AY195" s="29" t="s">
        <v>552</v>
      </c>
      <c r="AZ195" s="29" t="s">
        <v>553</v>
      </c>
      <c r="BA195" s="10" t="s">
        <v>60</v>
      </c>
      <c r="BC195" s="28">
        <f t="shared" si="259"/>
        <v>0</v>
      </c>
      <c r="BD195" s="28">
        <f t="shared" si="260"/>
        <v>0</v>
      </c>
      <c r="BE195" s="28">
        <v>0</v>
      </c>
      <c r="BF195" s="28">
        <f>195</f>
        <v>195</v>
      </c>
      <c r="BH195" s="28">
        <f t="shared" si="261"/>
        <v>0</v>
      </c>
      <c r="BI195" s="28">
        <f t="shared" si="262"/>
        <v>0</v>
      </c>
      <c r="BJ195" s="28">
        <f t="shared" si="263"/>
        <v>0</v>
      </c>
      <c r="BK195" s="28"/>
      <c r="BL195" s="28">
        <v>771</v>
      </c>
      <c r="BW195" s="28">
        <v>12</v>
      </c>
      <c r="BX195" s="4" t="s">
        <v>563</v>
      </c>
    </row>
    <row r="196" spans="1:76" ht="13.5" customHeight="1" x14ac:dyDescent="0.25">
      <c r="A196" s="34"/>
      <c r="B196" s="35" t="s">
        <v>65</v>
      </c>
      <c r="C196" s="117" t="s">
        <v>564</v>
      </c>
      <c r="D196" s="118"/>
      <c r="E196" s="118"/>
      <c r="F196" s="118"/>
      <c r="G196" s="118"/>
      <c r="H196" s="118"/>
      <c r="I196" s="118"/>
      <c r="J196" s="118"/>
      <c r="K196" s="119"/>
    </row>
    <row r="197" spans="1:76" x14ac:dyDescent="0.25">
      <c r="A197" s="24" t="s">
        <v>565</v>
      </c>
      <c r="B197" s="25" t="s">
        <v>566</v>
      </c>
      <c r="C197" s="113" t="s">
        <v>567</v>
      </c>
      <c r="D197" s="114"/>
      <c r="E197" s="25" t="s">
        <v>557</v>
      </c>
      <c r="F197" s="26">
        <v>2.8542000000000001</v>
      </c>
      <c r="G197" s="26">
        <v>0</v>
      </c>
      <c r="H197" s="26">
        <f>F197*AO197</f>
        <v>0</v>
      </c>
      <c r="I197" s="26">
        <f>F197*AP197</f>
        <v>0</v>
      </c>
      <c r="J197" s="26">
        <f>F197*G197</f>
        <v>0</v>
      </c>
      <c r="K197" s="27" t="s">
        <v>57</v>
      </c>
      <c r="Z197" s="28">
        <f>IF(AQ197="5",BJ197,0)</f>
        <v>0</v>
      </c>
      <c r="AB197" s="28">
        <f>IF(AQ197="1",BH197,0)</f>
        <v>0</v>
      </c>
      <c r="AC197" s="28">
        <f>IF(AQ197="1",BI197,0)</f>
        <v>0</v>
      </c>
      <c r="AD197" s="28">
        <f>IF(AQ197="7",BH197,0)</f>
        <v>0</v>
      </c>
      <c r="AE197" s="28">
        <f>IF(AQ197="7",BI197,0)</f>
        <v>0</v>
      </c>
      <c r="AF197" s="28">
        <f>IF(AQ197="2",BH197,0)</f>
        <v>0</v>
      </c>
      <c r="AG197" s="28">
        <f>IF(AQ197="2",BI197,0)</f>
        <v>0</v>
      </c>
      <c r="AH197" s="28">
        <f>IF(AQ197="0",BJ197,0)</f>
        <v>0</v>
      </c>
      <c r="AI197" s="10" t="s">
        <v>50</v>
      </c>
      <c r="AJ197" s="28">
        <f>IF(AN197=0,J197,0)</f>
        <v>0</v>
      </c>
      <c r="AK197" s="28">
        <f>IF(AN197=12,J197,0)</f>
        <v>0</v>
      </c>
      <c r="AL197" s="28">
        <f>IF(AN197=21,J197,0)</f>
        <v>0</v>
      </c>
      <c r="AN197" s="28">
        <v>12</v>
      </c>
      <c r="AO197" s="28">
        <f>G197*0.911141711</f>
        <v>0</v>
      </c>
      <c r="AP197" s="28">
        <f>G197*(1-0.911141711)</f>
        <v>0</v>
      </c>
      <c r="AQ197" s="29" t="s">
        <v>81</v>
      </c>
      <c r="AV197" s="28">
        <f>AW197+AX197</f>
        <v>0</v>
      </c>
      <c r="AW197" s="28">
        <f>F197*AO197</f>
        <v>0</v>
      </c>
      <c r="AX197" s="28">
        <f>F197*AP197</f>
        <v>0</v>
      </c>
      <c r="AY197" s="29" t="s">
        <v>552</v>
      </c>
      <c r="AZ197" s="29" t="s">
        <v>553</v>
      </c>
      <c r="BA197" s="10" t="s">
        <v>60</v>
      </c>
      <c r="BC197" s="28">
        <f>AW197+AX197</f>
        <v>0</v>
      </c>
      <c r="BD197" s="28">
        <f>G197/(100-BE197)*100</f>
        <v>0</v>
      </c>
      <c r="BE197" s="28">
        <v>0</v>
      </c>
      <c r="BF197" s="28">
        <f>197</f>
        <v>197</v>
      </c>
      <c r="BH197" s="28">
        <f>F197*AO197</f>
        <v>0</v>
      </c>
      <c r="BI197" s="28">
        <f>F197*AP197</f>
        <v>0</v>
      </c>
      <c r="BJ197" s="28">
        <f>F197*G197</f>
        <v>0</v>
      </c>
      <c r="BK197" s="28"/>
      <c r="BL197" s="28">
        <v>771</v>
      </c>
      <c r="BW197" s="28">
        <v>12</v>
      </c>
      <c r="BX197" s="4" t="s">
        <v>567</v>
      </c>
    </row>
    <row r="198" spans="1:76" x14ac:dyDescent="0.25">
      <c r="A198" s="30" t="s">
        <v>568</v>
      </c>
      <c r="B198" s="31" t="s">
        <v>569</v>
      </c>
      <c r="C198" s="115" t="s">
        <v>570</v>
      </c>
      <c r="D198" s="116"/>
      <c r="E198" s="31" t="s">
        <v>64</v>
      </c>
      <c r="F198" s="32">
        <v>47.57</v>
      </c>
      <c r="G198" s="32">
        <v>0</v>
      </c>
      <c r="H198" s="32">
        <f>F198*AO198</f>
        <v>0</v>
      </c>
      <c r="I198" s="32">
        <f>F198*AP198</f>
        <v>0</v>
      </c>
      <c r="J198" s="32">
        <f>F198*G198</f>
        <v>0</v>
      </c>
      <c r="K198" s="33" t="s">
        <v>57</v>
      </c>
      <c r="Z198" s="28">
        <f>IF(AQ198="5",BJ198,0)</f>
        <v>0</v>
      </c>
      <c r="AB198" s="28">
        <f>IF(AQ198="1",BH198,0)</f>
        <v>0</v>
      </c>
      <c r="AC198" s="28">
        <f>IF(AQ198="1",BI198,0)</f>
        <v>0</v>
      </c>
      <c r="AD198" s="28">
        <f>IF(AQ198="7",BH198,0)</f>
        <v>0</v>
      </c>
      <c r="AE198" s="28">
        <f>IF(AQ198="7",BI198,0)</f>
        <v>0</v>
      </c>
      <c r="AF198" s="28">
        <f>IF(AQ198="2",BH198,0)</f>
        <v>0</v>
      </c>
      <c r="AG198" s="28">
        <f>IF(AQ198="2",BI198,0)</f>
        <v>0</v>
      </c>
      <c r="AH198" s="28">
        <f>IF(AQ198="0",BJ198,0)</f>
        <v>0</v>
      </c>
      <c r="AI198" s="10" t="s">
        <v>50</v>
      </c>
      <c r="AJ198" s="28">
        <f>IF(AN198=0,J198,0)</f>
        <v>0</v>
      </c>
      <c r="AK198" s="28">
        <f>IF(AN198=12,J198,0)</f>
        <v>0</v>
      </c>
      <c r="AL198" s="28">
        <f>IF(AN198=21,J198,0)</f>
        <v>0</v>
      </c>
      <c r="AN198" s="28">
        <v>12</v>
      </c>
      <c r="AO198" s="28">
        <f>G198*0.512641509</f>
        <v>0</v>
      </c>
      <c r="AP198" s="28">
        <f>G198*(1-0.512641509)</f>
        <v>0</v>
      </c>
      <c r="AQ198" s="29" t="s">
        <v>81</v>
      </c>
      <c r="AV198" s="28">
        <f>AW198+AX198</f>
        <v>0</v>
      </c>
      <c r="AW198" s="28">
        <f>F198*AO198</f>
        <v>0</v>
      </c>
      <c r="AX198" s="28">
        <f>F198*AP198</f>
        <v>0</v>
      </c>
      <c r="AY198" s="29" t="s">
        <v>552</v>
      </c>
      <c r="AZ198" s="29" t="s">
        <v>553</v>
      </c>
      <c r="BA198" s="10" t="s">
        <v>60</v>
      </c>
      <c r="BC198" s="28">
        <f>AW198+AX198</f>
        <v>0</v>
      </c>
      <c r="BD198" s="28">
        <f>G198/(100-BE198)*100</f>
        <v>0</v>
      </c>
      <c r="BE198" s="28">
        <v>0</v>
      </c>
      <c r="BF198" s="28">
        <f>198</f>
        <v>198</v>
      </c>
      <c r="BH198" s="28">
        <f>F198*AO198</f>
        <v>0</v>
      </c>
      <c r="BI198" s="28">
        <f>F198*AP198</f>
        <v>0</v>
      </c>
      <c r="BJ198" s="28">
        <f>F198*G198</f>
        <v>0</v>
      </c>
      <c r="BK198" s="28"/>
      <c r="BL198" s="28">
        <v>771</v>
      </c>
      <c r="BW198" s="28">
        <v>12</v>
      </c>
      <c r="BX198" s="4" t="s">
        <v>570</v>
      </c>
    </row>
    <row r="199" spans="1:76" x14ac:dyDescent="0.25">
      <c r="A199" s="30" t="s">
        <v>571</v>
      </c>
      <c r="B199" s="31" t="s">
        <v>572</v>
      </c>
      <c r="C199" s="115" t="s">
        <v>573</v>
      </c>
      <c r="D199" s="116"/>
      <c r="E199" s="31" t="s">
        <v>64</v>
      </c>
      <c r="F199" s="32">
        <v>52.326999999999998</v>
      </c>
      <c r="G199" s="32">
        <v>0</v>
      </c>
      <c r="H199" s="32">
        <f>F199*AO199</f>
        <v>0</v>
      </c>
      <c r="I199" s="32">
        <f>F199*AP199</f>
        <v>0</v>
      </c>
      <c r="J199" s="32">
        <f>F199*G199</f>
        <v>0</v>
      </c>
      <c r="K199" s="33" t="s">
        <v>57</v>
      </c>
      <c r="Z199" s="28">
        <f>IF(AQ199="5",BJ199,0)</f>
        <v>0</v>
      </c>
      <c r="AB199" s="28">
        <f>IF(AQ199="1",BH199,0)</f>
        <v>0</v>
      </c>
      <c r="AC199" s="28">
        <f>IF(AQ199="1",BI199,0)</f>
        <v>0</v>
      </c>
      <c r="AD199" s="28">
        <f>IF(AQ199="7",BH199,0)</f>
        <v>0</v>
      </c>
      <c r="AE199" s="28">
        <f>IF(AQ199="7",BI199,0)</f>
        <v>0</v>
      </c>
      <c r="AF199" s="28">
        <f>IF(AQ199="2",BH199,0)</f>
        <v>0</v>
      </c>
      <c r="AG199" s="28">
        <f>IF(AQ199="2",BI199,0)</f>
        <v>0</v>
      </c>
      <c r="AH199" s="28">
        <f>IF(AQ199="0",BJ199,0)</f>
        <v>0</v>
      </c>
      <c r="AI199" s="10" t="s">
        <v>50</v>
      </c>
      <c r="AJ199" s="28">
        <f>IF(AN199=0,J199,0)</f>
        <v>0</v>
      </c>
      <c r="AK199" s="28">
        <f>IF(AN199=12,J199,0)</f>
        <v>0</v>
      </c>
      <c r="AL199" s="28">
        <f>IF(AN199=21,J199,0)</f>
        <v>0</v>
      </c>
      <c r="AN199" s="28">
        <v>12</v>
      </c>
      <c r="AO199" s="28">
        <f>G199*1</f>
        <v>0</v>
      </c>
      <c r="AP199" s="28">
        <f>G199*(1-1)</f>
        <v>0</v>
      </c>
      <c r="AQ199" s="29" t="s">
        <v>81</v>
      </c>
      <c r="AV199" s="28">
        <f>AW199+AX199</f>
        <v>0</v>
      </c>
      <c r="AW199" s="28">
        <f>F199*AO199</f>
        <v>0</v>
      </c>
      <c r="AX199" s="28">
        <f>F199*AP199</f>
        <v>0</v>
      </c>
      <c r="AY199" s="29" t="s">
        <v>552</v>
      </c>
      <c r="AZ199" s="29" t="s">
        <v>553</v>
      </c>
      <c r="BA199" s="10" t="s">
        <v>60</v>
      </c>
      <c r="BC199" s="28">
        <f>AW199+AX199</f>
        <v>0</v>
      </c>
      <c r="BD199" s="28">
        <f>G199/(100-BE199)*100</f>
        <v>0</v>
      </c>
      <c r="BE199" s="28">
        <v>0</v>
      </c>
      <c r="BF199" s="28">
        <f>199</f>
        <v>199</v>
      </c>
      <c r="BH199" s="28">
        <f>F199*AO199</f>
        <v>0</v>
      </c>
      <c r="BI199" s="28">
        <f>F199*AP199</f>
        <v>0</v>
      </c>
      <c r="BJ199" s="28">
        <f>F199*G199</f>
        <v>0</v>
      </c>
      <c r="BK199" s="28"/>
      <c r="BL199" s="28">
        <v>771</v>
      </c>
      <c r="BW199" s="28">
        <v>12</v>
      </c>
      <c r="BX199" s="4" t="s">
        <v>573</v>
      </c>
    </row>
    <row r="200" spans="1:76" x14ac:dyDescent="0.25">
      <c r="A200" s="30" t="s">
        <v>574</v>
      </c>
      <c r="B200" s="31" t="s">
        <v>575</v>
      </c>
      <c r="C200" s="115" t="s">
        <v>576</v>
      </c>
      <c r="D200" s="116"/>
      <c r="E200" s="31" t="s">
        <v>64</v>
      </c>
      <c r="F200" s="32">
        <v>47.57</v>
      </c>
      <c r="G200" s="32">
        <v>0</v>
      </c>
      <c r="H200" s="32">
        <f>F200*AO200</f>
        <v>0</v>
      </c>
      <c r="I200" s="32">
        <f>F200*AP200</f>
        <v>0</v>
      </c>
      <c r="J200" s="32">
        <f>F200*G200</f>
        <v>0</v>
      </c>
      <c r="K200" s="33" t="s">
        <v>57</v>
      </c>
      <c r="Z200" s="28">
        <f>IF(AQ200="5",BJ200,0)</f>
        <v>0</v>
      </c>
      <c r="AB200" s="28">
        <f>IF(AQ200="1",BH200,0)</f>
        <v>0</v>
      </c>
      <c r="AC200" s="28">
        <f>IF(AQ200="1",BI200,0)</f>
        <v>0</v>
      </c>
      <c r="AD200" s="28">
        <f>IF(AQ200="7",BH200,0)</f>
        <v>0</v>
      </c>
      <c r="AE200" s="28">
        <f>IF(AQ200="7",BI200,0)</f>
        <v>0</v>
      </c>
      <c r="AF200" s="28">
        <f>IF(AQ200="2",BH200,0)</f>
        <v>0</v>
      </c>
      <c r="AG200" s="28">
        <f>IF(AQ200="2",BI200,0)</f>
        <v>0</v>
      </c>
      <c r="AH200" s="28">
        <f>IF(AQ200="0",BJ200,0)</f>
        <v>0</v>
      </c>
      <c r="AI200" s="10" t="s">
        <v>50</v>
      </c>
      <c r="AJ200" s="28">
        <f>IF(AN200=0,J200,0)</f>
        <v>0</v>
      </c>
      <c r="AK200" s="28">
        <f>IF(AN200=12,J200,0)</f>
        <v>0</v>
      </c>
      <c r="AL200" s="28">
        <f>IF(AN200=21,J200,0)</f>
        <v>0</v>
      </c>
      <c r="AN200" s="28">
        <v>12</v>
      </c>
      <c r="AO200" s="28">
        <f>G200*0</f>
        <v>0</v>
      </c>
      <c r="AP200" s="28">
        <f>G200*(1-0)</f>
        <v>0</v>
      </c>
      <c r="AQ200" s="29" t="s">
        <v>81</v>
      </c>
      <c r="AV200" s="28">
        <f>AW200+AX200</f>
        <v>0</v>
      </c>
      <c r="AW200" s="28">
        <f>F200*AO200</f>
        <v>0</v>
      </c>
      <c r="AX200" s="28">
        <f>F200*AP200</f>
        <v>0</v>
      </c>
      <c r="AY200" s="29" t="s">
        <v>552</v>
      </c>
      <c r="AZ200" s="29" t="s">
        <v>553</v>
      </c>
      <c r="BA200" s="10" t="s">
        <v>60</v>
      </c>
      <c r="BC200" s="28">
        <f>AW200+AX200</f>
        <v>0</v>
      </c>
      <c r="BD200" s="28">
        <f>G200/(100-BE200)*100</f>
        <v>0</v>
      </c>
      <c r="BE200" s="28">
        <v>0</v>
      </c>
      <c r="BF200" s="28">
        <f>200</f>
        <v>200</v>
      </c>
      <c r="BH200" s="28">
        <f>F200*AO200</f>
        <v>0</v>
      </c>
      <c r="BI200" s="28">
        <f>F200*AP200</f>
        <v>0</v>
      </c>
      <c r="BJ200" s="28">
        <f>F200*G200</f>
        <v>0</v>
      </c>
      <c r="BK200" s="28"/>
      <c r="BL200" s="28">
        <v>771</v>
      </c>
      <c r="BW200" s="28">
        <v>12</v>
      </c>
      <c r="BX200" s="4" t="s">
        <v>576</v>
      </c>
    </row>
    <row r="201" spans="1:76" ht="13.5" customHeight="1" x14ac:dyDescent="0.25">
      <c r="A201" s="34"/>
      <c r="B201" s="35" t="s">
        <v>65</v>
      </c>
      <c r="C201" s="117" t="s">
        <v>577</v>
      </c>
      <c r="D201" s="118"/>
      <c r="E201" s="118"/>
      <c r="F201" s="118"/>
      <c r="G201" s="118"/>
      <c r="H201" s="118"/>
      <c r="I201" s="118"/>
      <c r="J201" s="118"/>
      <c r="K201" s="119"/>
    </row>
    <row r="202" spans="1:76" x14ac:dyDescent="0.25">
      <c r="A202" s="24" t="s">
        <v>578</v>
      </c>
      <c r="B202" s="25" t="s">
        <v>579</v>
      </c>
      <c r="C202" s="113" t="s">
        <v>580</v>
      </c>
      <c r="D202" s="114"/>
      <c r="E202" s="25" t="s">
        <v>64</v>
      </c>
      <c r="F202" s="26">
        <v>52.326999999999998</v>
      </c>
      <c r="G202" s="26">
        <v>0</v>
      </c>
      <c r="H202" s="26">
        <f t="shared" ref="H202:H211" si="264">F202*AO202</f>
        <v>0</v>
      </c>
      <c r="I202" s="26">
        <f t="shared" ref="I202:I211" si="265">F202*AP202</f>
        <v>0</v>
      </c>
      <c r="J202" s="26">
        <f t="shared" ref="J202:J211" si="266">F202*G202</f>
        <v>0</v>
      </c>
      <c r="K202" s="27" t="s">
        <v>57</v>
      </c>
      <c r="Z202" s="28">
        <f t="shared" ref="Z202:Z211" si="267">IF(AQ202="5",BJ202,0)</f>
        <v>0</v>
      </c>
      <c r="AB202" s="28">
        <f t="shared" ref="AB202:AB211" si="268">IF(AQ202="1",BH202,0)</f>
        <v>0</v>
      </c>
      <c r="AC202" s="28">
        <f t="shared" ref="AC202:AC211" si="269">IF(AQ202="1",BI202,0)</f>
        <v>0</v>
      </c>
      <c r="AD202" s="28">
        <f t="shared" ref="AD202:AD211" si="270">IF(AQ202="7",BH202,0)</f>
        <v>0</v>
      </c>
      <c r="AE202" s="28">
        <f t="shared" ref="AE202:AE211" si="271">IF(AQ202="7",BI202,0)</f>
        <v>0</v>
      </c>
      <c r="AF202" s="28">
        <f t="shared" ref="AF202:AF211" si="272">IF(AQ202="2",BH202,0)</f>
        <v>0</v>
      </c>
      <c r="AG202" s="28">
        <f t="shared" ref="AG202:AG211" si="273">IF(AQ202="2",BI202,0)</f>
        <v>0</v>
      </c>
      <c r="AH202" s="28">
        <f t="shared" ref="AH202:AH211" si="274">IF(AQ202="0",BJ202,0)</f>
        <v>0</v>
      </c>
      <c r="AI202" s="10" t="s">
        <v>50</v>
      </c>
      <c r="AJ202" s="28">
        <f t="shared" ref="AJ202:AJ211" si="275">IF(AN202=0,J202,0)</f>
        <v>0</v>
      </c>
      <c r="AK202" s="28">
        <f t="shared" ref="AK202:AK211" si="276">IF(AN202=12,J202,0)</f>
        <v>0</v>
      </c>
      <c r="AL202" s="28">
        <f t="shared" ref="AL202:AL211" si="277">IF(AN202=21,J202,0)</f>
        <v>0</v>
      </c>
      <c r="AN202" s="28">
        <v>12</v>
      </c>
      <c r="AO202" s="28">
        <f>G202*1</f>
        <v>0</v>
      </c>
      <c r="AP202" s="28">
        <f>G202*(1-1)</f>
        <v>0</v>
      </c>
      <c r="AQ202" s="29" t="s">
        <v>81</v>
      </c>
      <c r="AV202" s="28">
        <f t="shared" ref="AV202:AV211" si="278">AW202+AX202</f>
        <v>0</v>
      </c>
      <c r="AW202" s="28">
        <f t="shared" ref="AW202:AW211" si="279">F202*AO202</f>
        <v>0</v>
      </c>
      <c r="AX202" s="28">
        <f t="shared" ref="AX202:AX211" si="280">F202*AP202</f>
        <v>0</v>
      </c>
      <c r="AY202" s="29" t="s">
        <v>552</v>
      </c>
      <c r="AZ202" s="29" t="s">
        <v>553</v>
      </c>
      <c r="BA202" s="10" t="s">
        <v>60</v>
      </c>
      <c r="BC202" s="28">
        <f t="shared" ref="BC202:BC211" si="281">AW202+AX202</f>
        <v>0</v>
      </c>
      <c r="BD202" s="28">
        <f t="shared" ref="BD202:BD211" si="282">G202/(100-BE202)*100</f>
        <v>0</v>
      </c>
      <c r="BE202" s="28">
        <v>0</v>
      </c>
      <c r="BF202" s="28">
        <f>202</f>
        <v>202</v>
      </c>
      <c r="BH202" s="28">
        <f t="shared" ref="BH202:BH211" si="283">F202*AO202</f>
        <v>0</v>
      </c>
      <c r="BI202" s="28">
        <f t="shared" ref="BI202:BI211" si="284">F202*AP202</f>
        <v>0</v>
      </c>
      <c r="BJ202" s="28">
        <f t="shared" ref="BJ202:BJ211" si="285">F202*G202</f>
        <v>0</v>
      </c>
      <c r="BK202" s="28"/>
      <c r="BL202" s="28">
        <v>771</v>
      </c>
      <c r="BW202" s="28">
        <v>12</v>
      </c>
      <c r="BX202" s="4" t="s">
        <v>580</v>
      </c>
    </row>
    <row r="203" spans="1:76" x14ac:dyDescent="0.25">
      <c r="A203" s="30" t="s">
        <v>581</v>
      </c>
      <c r="B203" s="31" t="s">
        <v>582</v>
      </c>
      <c r="C203" s="115" t="s">
        <v>583</v>
      </c>
      <c r="D203" s="116"/>
      <c r="E203" s="31" t="s">
        <v>64</v>
      </c>
      <c r="F203" s="32">
        <v>43.58</v>
      </c>
      <c r="G203" s="32">
        <v>0</v>
      </c>
      <c r="H203" s="32">
        <f t="shared" si="264"/>
        <v>0</v>
      </c>
      <c r="I203" s="32">
        <f t="shared" si="265"/>
        <v>0</v>
      </c>
      <c r="J203" s="32">
        <f t="shared" si="266"/>
        <v>0</v>
      </c>
      <c r="K203" s="33" t="s">
        <v>57</v>
      </c>
      <c r="Z203" s="28">
        <f t="shared" si="267"/>
        <v>0</v>
      </c>
      <c r="AB203" s="28">
        <f t="shared" si="268"/>
        <v>0</v>
      </c>
      <c r="AC203" s="28">
        <f t="shared" si="269"/>
        <v>0</v>
      </c>
      <c r="AD203" s="28">
        <f t="shared" si="270"/>
        <v>0</v>
      </c>
      <c r="AE203" s="28">
        <f t="shared" si="271"/>
        <v>0</v>
      </c>
      <c r="AF203" s="28">
        <f t="shared" si="272"/>
        <v>0</v>
      </c>
      <c r="AG203" s="28">
        <f t="shared" si="273"/>
        <v>0</v>
      </c>
      <c r="AH203" s="28">
        <f t="shared" si="274"/>
        <v>0</v>
      </c>
      <c r="AI203" s="10" t="s">
        <v>50</v>
      </c>
      <c r="AJ203" s="28">
        <f t="shared" si="275"/>
        <v>0</v>
      </c>
      <c r="AK203" s="28">
        <f t="shared" si="276"/>
        <v>0</v>
      </c>
      <c r="AL203" s="28">
        <f t="shared" si="277"/>
        <v>0</v>
      </c>
      <c r="AN203" s="28">
        <v>12</v>
      </c>
      <c r="AO203" s="28">
        <f>G203*0.816808511</f>
        <v>0</v>
      </c>
      <c r="AP203" s="28">
        <f>G203*(1-0.816808511)</f>
        <v>0</v>
      </c>
      <c r="AQ203" s="29" t="s">
        <v>81</v>
      </c>
      <c r="AV203" s="28">
        <f t="shared" si="278"/>
        <v>0</v>
      </c>
      <c r="AW203" s="28">
        <f t="shared" si="279"/>
        <v>0</v>
      </c>
      <c r="AX203" s="28">
        <f t="shared" si="280"/>
        <v>0</v>
      </c>
      <c r="AY203" s="29" t="s">
        <v>552</v>
      </c>
      <c r="AZ203" s="29" t="s">
        <v>553</v>
      </c>
      <c r="BA203" s="10" t="s">
        <v>60</v>
      </c>
      <c r="BC203" s="28">
        <f t="shared" si="281"/>
        <v>0</v>
      </c>
      <c r="BD203" s="28">
        <f t="shared" si="282"/>
        <v>0</v>
      </c>
      <c r="BE203" s="28">
        <v>0</v>
      </c>
      <c r="BF203" s="28">
        <f>203</f>
        <v>203</v>
      </c>
      <c r="BH203" s="28">
        <f t="shared" si="283"/>
        <v>0</v>
      </c>
      <c r="BI203" s="28">
        <f t="shared" si="284"/>
        <v>0</v>
      </c>
      <c r="BJ203" s="28">
        <f t="shared" si="285"/>
        <v>0</v>
      </c>
      <c r="BK203" s="28"/>
      <c r="BL203" s="28">
        <v>771</v>
      </c>
      <c r="BW203" s="28">
        <v>12</v>
      </c>
      <c r="BX203" s="4" t="s">
        <v>583</v>
      </c>
    </row>
    <row r="204" spans="1:76" x14ac:dyDescent="0.25">
      <c r="A204" s="30" t="s">
        <v>584</v>
      </c>
      <c r="B204" s="31" t="s">
        <v>585</v>
      </c>
      <c r="C204" s="115" t="s">
        <v>586</v>
      </c>
      <c r="D204" s="116"/>
      <c r="E204" s="31" t="s">
        <v>64</v>
      </c>
      <c r="F204" s="32">
        <v>3.99</v>
      </c>
      <c r="G204" s="32">
        <v>0</v>
      </c>
      <c r="H204" s="32">
        <f t="shared" si="264"/>
        <v>0</v>
      </c>
      <c r="I204" s="32">
        <f t="shared" si="265"/>
        <v>0</v>
      </c>
      <c r="J204" s="32">
        <f t="shared" si="266"/>
        <v>0</v>
      </c>
      <c r="K204" s="33" t="s">
        <v>57</v>
      </c>
      <c r="Z204" s="28">
        <f t="shared" si="267"/>
        <v>0</v>
      </c>
      <c r="AB204" s="28">
        <f t="shared" si="268"/>
        <v>0</v>
      </c>
      <c r="AC204" s="28">
        <f t="shared" si="269"/>
        <v>0</v>
      </c>
      <c r="AD204" s="28">
        <f t="shared" si="270"/>
        <v>0</v>
      </c>
      <c r="AE204" s="28">
        <f t="shared" si="271"/>
        <v>0</v>
      </c>
      <c r="AF204" s="28">
        <f t="shared" si="272"/>
        <v>0</v>
      </c>
      <c r="AG204" s="28">
        <f t="shared" si="273"/>
        <v>0</v>
      </c>
      <c r="AH204" s="28">
        <f t="shared" si="274"/>
        <v>0</v>
      </c>
      <c r="AI204" s="10" t="s">
        <v>50</v>
      </c>
      <c r="AJ204" s="28">
        <f t="shared" si="275"/>
        <v>0</v>
      </c>
      <c r="AK204" s="28">
        <f t="shared" si="276"/>
        <v>0</v>
      </c>
      <c r="AL204" s="28">
        <f t="shared" si="277"/>
        <v>0</v>
      </c>
      <c r="AN204" s="28">
        <v>12</v>
      </c>
      <c r="AO204" s="28">
        <f>G204*0.921369863</f>
        <v>0</v>
      </c>
      <c r="AP204" s="28">
        <f>G204*(1-0.921369863)</f>
        <v>0</v>
      </c>
      <c r="AQ204" s="29" t="s">
        <v>81</v>
      </c>
      <c r="AV204" s="28">
        <f t="shared" si="278"/>
        <v>0</v>
      </c>
      <c r="AW204" s="28">
        <f t="shared" si="279"/>
        <v>0</v>
      </c>
      <c r="AX204" s="28">
        <f t="shared" si="280"/>
        <v>0</v>
      </c>
      <c r="AY204" s="29" t="s">
        <v>552</v>
      </c>
      <c r="AZ204" s="29" t="s">
        <v>553</v>
      </c>
      <c r="BA204" s="10" t="s">
        <v>60</v>
      </c>
      <c r="BC204" s="28">
        <f t="shared" si="281"/>
        <v>0</v>
      </c>
      <c r="BD204" s="28">
        <f t="shared" si="282"/>
        <v>0</v>
      </c>
      <c r="BE204" s="28">
        <v>0</v>
      </c>
      <c r="BF204" s="28">
        <f>204</f>
        <v>204</v>
      </c>
      <c r="BH204" s="28">
        <f t="shared" si="283"/>
        <v>0</v>
      </c>
      <c r="BI204" s="28">
        <f t="shared" si="284"/>
        <v>0</v>
      </c>
      <c r="BJ204" s="28">
        <f t="shared" si="285"/>
        <v>0</v>
      </c>
      <c r="BK204" s="28"/>
      <c r="BL204" s="28">
        <v>771</v>
      </c>
      <c r="BW204" s="28">
        <v>12</v>
      </c>
      <c r="BX204" s="4" t="s">
        <v>586</v>
      </c>
    </row>
    <row r="205" spans="1:76" x14ac:dyDescent="0.25">
      <c r="A205" s="30" t="s">
        <v>587</v>
      </c>
      <c r="B205" s="31" t="s">
        <v>588</v>
      </c>
      <c r="C205" s="115" t="s">
        <v>589</v>
      </c>
      <c r="D205" s="116"/>
      <c r="E205" s="31" t="s">
        <v>64</v>
      </c>
      <c r="F205" s="32">
        <v>10.46</v>
      </c>
      <c r="G205" s="32">
        <v>0</v>
      </c>
      <c r="H205" s="32">
        <f t="shared" si="264"/>
        <v>0</v>
      </c>
      <c r="I205" s="32">
        <f t="shared" si="265"/>
        <v>0</v>
      </c>
      <c r="J205" s="32">
        <f t="shared" si="266"/>
        <v>0</v>
      </c>
      <c r="K205" s="33" t="s">
        <v>57</v>
      </c>
      <c r="Z205" s="28">
        <f t="shared" si="267"/>
        <v>0</v>
      </c>
      <c r="AB205" s="28">
        <f t="shared" si="268"/>
        <v>0</v>
      </c>
      <c r="AC205" s="28">
        <f t="shared" si="269"/>
        <v>0</v>
      </c>
      <c r="AD205" s="28">
        <f t="shared" si="270"/>
        <v>0</v>
      </c>
      <c r="AE205" s="28">
        <f t="shared" si="271"/>
        <v>0</v>
      </c>
      <c r="AF205" s="28">
        <f t="shared" si="272"/>
        <v>0</v>
      </c>
      <c r="AG205" s="28">
        <f t="shared" si="273"/>
        <v>0</v>
      </c>
      <c r="AH205" s="28">
        <f t="shared" si="274"/>
        <v>0</v>
      </c>
      <c r="AI205" s="10" t="s">
        <v>50</v>
      </c>
      <c r="AJ205" s="28">
        <f t="shared" si="275"/>
        <v>0</v>
      </c>
      <c r="AK205" s="28">
        <f t="shared" si="276"/>
        <v>0</v>
      </c>
      <c r="AL205" s="28">
        <f t="shared" si="277"/>
        <v>0</v>
      </c>
      <c r="AN205" s="28">
        <v>12</v>
      </c>
      <c r="AO205" s="28">
        <f>G205*0.472429792</f>
        <v>0</v>
      </c>
      <c r="AP205" s="28">
        <f>G205*(1-0.472429792)</f>
        <v>0</v>
      </c>
      <c r="AQ205" s="29" t="s">
        <v>81</v>
      </c>
      <c r="AV205" s="28">
        <f t="shared" si="278"/>
        <v>0</v>
      </c>
      <c r="AW205" s="28">
        <f t="shared" si="279"/>
        <v>0</v>
      </c>
      <c r="AX205" s="28">
        <f t="shared" si="280"/>
        <v>0</v>
      </c>
      <c r="AY205" s="29" t="s">
        <v>552</v>
      </c>
      <c r="AZ205" s="29" t="s">
        <v>553</v>
      </c>
      <c r="BA205" s="10" t="s">
        <v>60</v>
      </c>
      <c r="BC205" s="28">
        <f t="shared" si="281"/>
        <v>0</v>
      </c>
      <c r="BD205" s="28">
        <f t="shared" si="282"/>
        <v>0</v>
      </c>
      <c r="BE205" s="28">
        <v>0</v>
      </c>
      <c r="BF205" s="28">
        <f>205</f>
        <v>205</v>
      </c>
      <c r="BH205" s="28">
        <f t="shared" si="283"/>
        <v>0</v>
      </c>
      <c r="BI205" s="28">
        <f t="shared" si="284"/>
        <v>0</v>
      </c>
      <c r="BJ205" s="28">
        <f t="shared" si="285"/>
        <v>0</v>
      </c>
      <c r="BK205" s="28"/>
      <c r="BL205" s="28">
        <v>771</v>
      </c>
      <c r="BW205" s="28">
        <v>12</v>
      </c>
      <c r="BX205" s="4" t="s">
        <v>589</v>
      </c>
    </row>
    <row r="206" spans="1:76" x14ac:dyDescent="0.25">
      <c r="A206" s="30" t="s">
        <v>590</v>
      </c>
      <c r="B206" s="31" t="s">
        <v>591</v>
      </c>
      <c r="C206" s="115" t="s">
        <v>592</v>
      </c>
      <c r="D206" s="116"/>
      <c r="E206" s="31" t="s">
        <v>64</v>
      </c>
      <c r="F206" s="32">
        <v>3.99</v>
      </c>
      <c r="G206" s="32">
        <v>0</v>
      </c>
      <c r="H206" s="32">
        <f t="shared" si="264"/>
        <v>0</v>
      </c>
      <c r="I206" s="32">
        <f t="shared" si="265"/>
        <v>0</v>
      </c>
      <c r="J206" s="32">
        <f t="shared" si="266"/>
        <v>0</v>
      </c>
      <c r="K206" s="33" t="s">
        <v>57</v>
      </c>
      <c r="Z206" s="28">
        <f t="shared" si="267"/>
        <v>0</v>
      </c>
      <c r="AB206" s="28">
        <f t="shared" si="268"/>
        <v>0</v>
      </c>
      <c r="AC206" s="28">
        <f t="shared" si="269"/>
        <v>0</v>
      </c>
      <c r="AD206" s="28">
        <f t="shared" si="270"/>
        <v>0</v>
      </c>
      <c r="AE206" s="28">
        <f t="shared" si="271"/>
        <v>0</v>
      </c>
      <c r="AF206" s="28">
        <f t="shared" si="272"/>
        <v>0</v>
      </c>
      <c r="AG206" s="28">
        <f t="shared" si="273"/>
        <v>0</v>
      </c>
      <c r="AH206" s="28">
        <f t="shared" si="274"/>
        <v>0</v>
      </c>
      <c r="AI206" s="10" t="s">
        <v>50</v>
      </c>
      <c r="AJ206" s="28">
        <f t="shared" si="275"/>
        <v>0</v>
      </c>
      <c r="AK206" s="28">
        <f t="shared" si="276"/>
        <v>0</v>
      </c>
      <c r="AL206" s="28">
        <f t="shared" si="277"/>
        <v>0</v>
      </c>
      <c r="AN206" s="28">
        <v>12</v>
      </c>
      <c r="AO206" s="28">
        <f>G206*0.628275295</f>
        <v>0</v>
      </c>
      <c r="AP206" s="28">
        <f>G206*(1-0.628275295)</f>
        <v>0</v>
      </c>
      <c r="AQ206" s="29" t="s">
        <v>81</v>
      </c>
      <c r="AV206" s="28">
        <f t="shared" si="278"/>
        <v>0</v>
      </c>
      <c r="AW206" s="28">
        <f t="shared" si="279"/>
        <v>0</v>
      </c>
      <c r="AX206" s="28">
        <f t="shared" si="280"/>
        <v>0</v>
      </c>
      <c r="AY206" s="29" t="s">
        <v>552</v>
      </c>
      <c r="AZ206" s="29" t="s">
        <v>553</v>
      </c>
      <c r="BA206" s="10" t="s">
        <v>60</v>
      </c>
      <c r="BC206" s="28">
        <f t="shared" si="281"/>
        <v>0</v>
      </c>
      <c r="BD206" s="28">
        <f t="shared" si="282"/>
        <v>0</v>
      </c>
      <c r="BE206" s="28">
        <v>0</v>
      </c>
      <c r="BF206" s="28">
        <f>206</f>
        <v>206</v>
      </c>
      <c r="BH206" s="28">
        <f t="shared" si="283"/>
        <v>0</v>
      </c>
      <c r="BI206" s="28">
        <f t="shared" si="284"/>
        <v>0</v>
      </c>
      <c r="BJ206" s="28">
        <f t="shared" si="285"/>
        <v>0</v>
      </c>
      <c r="BK206" s="28"/>
      <c r="BL206" s="28">
        <v>771</v>
      </c>
      <c r="BW206" s="28">
        <v>12</v>
      </c>
      <c r="BX206" s="4" t="s">
        <v>592</v>
      </c>
    </row>
    <row r="207" spans="1:76" x14ac:dyDescent="0.25">
      <c r="A207" s="30" t="s">
        <v>593</v>
      </c>
      <c r="B207" s="31" t="s">
        <v>594</v>
      </c>
      <c r="C207" s="115" t="s">
        <v>595</v>
      </c>
      <c r="D207" s="116"/>
      <c r="E207" s="31" t="s">
        <v>77</v>
      </c>
      <c r="F207" s="32">
        <v>9.52</v>
      </c>
      <c r="G207" s="32">
        <v>0</v>
      </c>
      <c r="H207" s="32">
        <f t="shared" si="264"/>
        <v>0</v>
      </c>
      <c r="I207" s="32">
        <f t="shared" si="265"/>
        <v>0</v>
      </c>
      <c r="J207" s="32">
        <f t="shared" si="266"/>
        <v>0</v>
      </c>
      <c r="K207" s="33" t="s">
        <v>57</v>
      </c>
      <c r="Z207" s="28">
        <f t="shared" si="267"/>
        <v>0</v>
      </c>
      <c r="AB207" s="28">
        <f t="shared" si="268"/>
        <v>0</v>
      </c>
      <c r="AC207" s="28">
        <f t="shared" si="269"/>
        <v>0</v>
      </c>
      <c r="AD207" s="28">
        <f t="shared" si="270"/>
        <v>0</v>
      </c>
      <c r="AE207" s="28">
        <f t="shared" si="271"/>
        <v>0</v>
      </c>
      <c r="AF207" s="28">
        <f t="shared" si="272"/>
        <v>0</v>
      </c>
      <c r="AG207" s="28">
        <f t="shared" si="273"/>
        <v>0</v>
      </c>
      <c r="AH207" s="28">
        <f t="shared" si="274"/>
        <v>0</v>
      </c>
      <c r="AI207" s="10" t="s">
        <v>50</v>
      </c>
      <c r="AJ207" s="28">
        <f t="shared" si="275"/>
        <v>0</v>
      </c>
      <c r="AK207" s="28">
        <f t="shared" si="276"/>
        <v>0</v>
      </c>
      <c r="AL207" s="28">
        <f t="shared" si="277"/>
        <v>0</v>
      </c>
      <c r="AN207" s="28">
        <v>12</v>
      </c>
      <c r="AO207" s="28">
        <f>G207*0.679130435</f>
        <v>0</v>
      </c>
      <c r="AP207" s="28">
        <f>G207*(1-0.679130435)</f>
        <v>0</v>
      </c>
      <c r="AQ207" s="29" t="s">
        <v>81</v>
      </c>
      <c r="AV207" s="28">
        <f t="shared" si="278"/>
        <v>0</v>
      </c>
      <c r="AW207" s="28">
        <f t="shared" si="279"/>
        <v>0</v>
      </c>
      <c r="AX207" s="28">
        <f t="shared" si="280"/>
        <v>0</v>
      </c>
      <c r="AY207" s="29" t="s">
        <v>552</v>
      </c>
      <c r="AZ207" s="29" t="s">
        <v>553</v>
      </c>
      <c r="BA207" s="10" t="s">
        <v>60</v>
      </c>
      <c r="BC207" s="28">
        <f t="shared" si="281"/>
        <v>0</v>
      </c>
      <c r="BD207" s="28">
        <f t="shared" si="282"/>
        <v>0</v>
      </c>
      <c r="BE207" s="28">
        <v>0</v>
      </c>
      <c r="BF207" s="28">
        <f>207</f>
        <v>207</v>
      </c>
      <c r="BH207" s="28">
        <f t="shared" si="283"/>
        <v>0</v>
      </c>
      <c r="BI207" s="28">
        <f t="shared" si="284"/>
        <v>0</v>
      </c>
      <c r="BJ207" s="28">
        <f t="shared" si="285"/>
        <v>0</v>
      </c>
      <c r="BK207" s="28"/>
      <c r="BL207" s="28">
        <v>771</v>
      </c>
      <c r="BW207" s="28">
        <v>12</v>
      </c>
      <c r="BX207" s="4" t="s">
        <v>595</v>
      </c>
    </row>
    <row r="208" spans="1:76" x14ac:dyDescent="0.25">
      <c r="A208" s="30" t="s">
        <v>596</v>
      </c>
      <c r="B208" s="31" t="s">
        <v>597</v>
      </c>
      <c r="C208" s="115" t="s">
        <v>598</v>
      </c>
      <c r="D208" s="116"/>
      <c r="E208" s="31" t="s">
        <v>56</v>
      </c>
      <c r="F208" s="32">
        <v>2</v>
      </c>
      <c r="G208" s="32">
        <v>0</v>
      </c>
      <c r="H208" s="32">
        <f t="shared" si="264"/>
        <v>0</v>
      </c>
      <c r="I208" s="32">
        <f t="shared" si="265"/>
        <v>0</v>
      </c>
      <c r="J208" s="32">
        <f t="shared" si="266"/>
        <v>0</v>
      </c>
      <c r="K208" s="33" t="s">
        <v>57</v>
      </c>
      <c r="Z208" s="28">
        <f t="shared" si="267"/>
        <v>0</v>
      </c>
      <c r="AB208" s="28">
        <f t="shared" si="268"/>
        <v>0</v>
      </c>
      <c r="AC208" s="28">
        <f t="shared" si="269"/>
        <v>0</v>
      </c>
      <c r="AD208" s="28">
        <f t="shared" si="270"/>
        <v>0</v>
      </c>
      <c r="AE208" s="28">
        <f t="shared" si="271"/>
        <v>0</v>
      </c>
      <c r="AF208" s="28">
        <f t="shared" si="272"/>
        <v>0</v>
      </c>
      <c r="AG208" s="28">
        <f t="shared" si="273"/>
        <v>0</v>
      </c>
      <c r="AH208" s="28">
        <f t="shared" si="274"/>
        <v>0</v>
      </c>
      <c r="AI208" s="10" t="s">
        <v>50</v>
      </c>
      <c r="AJ208" s="28">
        <f t="shared" si="275"/>
        <v>0</v>
      </c>
      <c r="AK208" s="28">
        <f t="shared" si="276"/>
        <v>0</v>
      </c>
      <c r="AL208" s="28">
        <f t="shared" si="277"/>
        <v>0</v>
      </c>
      <c r="AN208" s="28">
        <v>12</v>
      </c>
      <c r="AO208" s="28">
        <f>G208*0.799378641</f>
        <v>0</v>
      </c>
      <c r="AP208" s="28">
        <f>G208*(1-0.799378641)</f>
        <v>0</v>
      </c>
      <c r="AQ208" s="29" t="s">
        <v>81</v>
      </c>
      <c r="AV208" s="28">
        <f t="shared" si="278"/>
        <v>0</v>
      </c>
      <c r="AW208" s="28">
        <f t="shared" si="279"/>
        <v>0</v>
      </c>
      <c r="AX208" s="28">
        <f t="shared" si="280"/>
        <v>0</v>
      </c>
      <c r="AY208" s="29" t="s">
        <v>552</v>
      </c>
      <c r="AZ208" s="29" t="s">
        <v>553</v>
      </c>
      <c r="BA208" s="10" t="s">
        <v>60</v>
      </c>
      <c r="BC208" s="28">
        <f t="shared" si="281"/>
        <v>0</v>
      </c>
      <c r="BD208" s="28">
        <f t="shared" si="282"/>
        <v>0</v>
      </c>
      <c r="BE208" s="28">
        <v>0</v>
      </c>
      <c r="BF208" s="28">
        <f>208</f>
        <v>208</v>
      </c>
      <c r="BH208" s="28">
        <f t="shared" si="283"/>
        <v>0</v>
      </c>
      <c r="BI208" s="28">
        <f t="shared" si="284"/>
        <v>0</v>
      </c>
      <c r="BJ208" s="28">
        <f t="shared" si="285"/>
        <v>0</v>
      </c>
      <c r="BK208" s="28"/>
      <c r="BL208" s="28">
        <v>771</v>
      </c>
      <c r="BW208" s="28">
        <v>12</v>
      </c>
      <c r="BX208" s="4" t="s">
        <v>598</v>
      </c>
    </row>
    <row r="209" spans="1:76" x14ac:dyDescent="0.25">
      <c r="A209" s="30" t="s">
        <v>599</v>
      </c>
      <c r="B209" s="31" t="s">
        <v>600</v>
      </c>
      <c r="C209" s="115" t="s">
        <v>601</v>
      </c>
      <c r="D209" s="116"/>
      <c r="E209" s="31" t="s">
        <v>64</v>
      </c>
      <c r="F209" s="32">
        <v>10.46</v>
      </c>
      <c r="G209" s="32">
        <v>0</v>
      </c>
      <c r="H209" s="32">
        <f t="shared" si="264"/>
        <v>0</v>
      </c>
      <c r="I209" s="32">
        <f t="shared" si="265"/>
        <v>0</v>
      </c>
      <c r="J209" s="32">
        <f t="shared" si="266"/>
        <v>0</v>
      </c>
      <c r="K209" s="33" t="s">
        <v>57</v>
      </c>
      <c r="Z209" s="28">
        <f t="shared" si="267"/>
        <v>0</v>
      </c>
      <c r="AB209" s="28">
        <f t="shared" si="268"/>
        <v>0</v>
      </c>
      <c r="AC209" s="28">
        <f t="shared" si="269"/>
        <v>0</v>
      </c>
      <c r="AD209" s="28">
        <f t="shared" si="270"/>
        <v>0</v>
      </c>
      <c r="AE209" s="28">
        <f t="shared" si="271"/>
        <v>0</v>
      </c>
      <c r="AF209" s="28">
        <f t="shared" si="272"/>
        <v>0</v>
      </c>
      <c r="AG209" s="28">
        <f t="shared" si="273"/>
        <v>0</v>
      </c>
      <c r="AH209" s="28">
        <f t="shared" si="274"/>
        <v>0</v>
      </c>
      <c r="AI209" s="10" t="s">
        <v>50</v>
      </c>
      <c r="AJ209" s="28">
        <f t="shared" si="275"/>
        <v>0</v>
      </c>
      <c r="AK209" s="28">
        <f t="shared" si="276"/>
        <v>0</v>
      </c>
      <c r="AL209" s="28">
        <f t="shared" si="277"/>
        <v>0</v>
      </c>
      <c r="AN209" s="28">
        <v>12</v>
      </c>
      <c r="AO209" s="28">
        <f>G209*0.518159543</f>
        <v>0</v>
      </c>
      <c r="AP209" s="28">
        <f>G209*(1-0.518159543)</f>
        <v>0</v>
      </c>
      <c r="AQ209" s="29" t="s">
        <v>81</v>
      </c>
      <c r="AV209" s="28">
        <f t="shared" si="278"/>
        <v>0</v>
      </c>
      <c r="AW209" s="28">
        <f t="shared" si="279"/>
        <v>0</v>
      </c>
      <c r="AX209" s="28">
        <f t="shared" si="280"/>
        <v>0</v>
      </c>
      <c r="AY209" s="29" t="s">
        <v>552</v>
      </c>
      <c r="AZ209" s="29" t="s">
        <v>553</v>
      </c>
      <c r="BA209" s="10" t="s">
        <v>60</v>
      </c>
      <c r="BC209" s="28">
        <f t="shared" si="281"/>
        <v>0</v>
      </c>
      <c r="BD209" s="28">
        <f t="shared" si="282"/>
        <v>0</v>
      </c>
      <c r="BE209" s="28">
        <v>0</v>
      </c>
      <c r="BF209" s="28">
        <f>209</f>
        <v>209</v>
      </c>
      <c r="BH209" s="28">
        <f t="shared" si="283"/>
        <v>0</v>
      </c>
      <c r="BI209" s="28">
        <f t="shared" si="284"/>
        <v>0</v>
      </c>
      <c r="BJ209" s="28">
        <f t="shared" si="285"/>
        <v>0</v>
      </c>
      <c r="BK209" s="28"/>
      <c r="BL209" s="28">
        <v>771</v>
      </c>
      <c r="BW209" s="28">
        <v>12</v>
      </c>
      <c r="BX209" s="4" t="s">
        <v>601</v>
      </c>
    </row>
    <row r="210" spans="1:76" x14ac:dyDescent="0.25">
      <c r="A210" s="30" t="s">
        <v>602</v>
      </c>
      <c r="B210" s="31" t="s">
        <v>603</v>
      </c>
      <c r="C210" s="115" t="s">
        <v>604</v>
      </c>
      <c r="D210" s="116"/>
      <c r="E210" s="31" t="s">
        <v>77</v>
      </c>
      <c r="F210" s="32">
        <v>8.16</v>
      </c>
      <c r="G210" s="32">
        <v>0</v>
      </c>
      <c r="H210" s="32">
        <f t="shared" si="264"/>
        <v>0</v>
      </c>
      <c r="I210" s="32">
        <f t="shared" si="265"/>
        <v>0</v>
      </c>
      <c r="J210" s="32">
        <f t="shared" si="266"/>
        <v>0</v>
      </c>
      <c r="K210" s="33" t="s">
        <v>57</v>
      </c>
      <c r="Z210" s="28">
        <f t="shared" si="267"/>
        <v>0</v>
      </c>
      <c r="AB210" s="28">
        <f t="shared" si="268"/>
        <v>0</v>
      </c>
      <c r="AC210" s="28">
        <f t="shared" si="269"/>
        <v>0</v>
      </c>
      <c r="AD210" s="28">
        <f t="shared" si="270"/>
        <v>0</v>
      </c>
      <c r="AE210" s="28">
        <f t="shared" si="271"/>
        <v>0</v>
      </c>
      <c r="AF210" s="28">
        <f t="shared" si="272"/>
        <v>0</v>
      </c>
      <c r="AG210" s="28">
        <f t="shared" si="273"/>
        <v>0</v>
      </c>
      <c r="AH210" s="28">
        <f t="shared" si="274"/>
        <v>0</v>
      </c>
      <c r="AI210" s="10" t="s">
        <v>50</v>
      </c>
      <c r="AJ210" s="28">
        <f t="shared" si="275"/>
        <v>0</v>
      </c>
      <c r="AK210" s="28">
        <f t="shared" si="276"/>
        <v>0</v>
      </c>
      <c r="AL210" s="28">
        <f t="shared" si="277"/>
        <v>0</v>
      </c>
      <c r="AN210" s="28">
        <v>12</v>
      </c>
      <c r="AO210" s="28">
        <f>G210*0.039648794</f>
        <v>0</v>
      </c>
      <c r="AP210" s="28">
        <f>G210*(1-0.039648794)</f>
        <v>0</v>
      </c>
      <c r="AQ210" s="29" t="s">
        <v>81</v>
      </c>
      <c r="AV210" s="28">
        <f t="shared" si="278"/>
        <v>0</v>
      </c>
      <c r="AW210" s="28">
        <f t="shared" si="279"/>
        <v>0</v>
      </c>
      <c r="AX210" s="28">
        <f t="shared" si="280"/>
        <v>0</v>
      </c>
      <c r="AY210" s="29" t="s">
        <v>552</v>
      </c>
      <c r="AZ210" s="29" t="s">
        <v>553</v>
      </c>
      <c r="BA210" s="10" t="s">
        <v>60</v>
      </c>
      <c r="BC210" s="28">
        <f t="shared" si="281"/>
        <v>0</v>
      </c>
      <c r="BD210" s="28">
        <f t="shared" si="282"/>
        <v>0</v>
      </c>
      <c r="BE210" s="28">
        <v>0</v>
      </c>
      <c r="BF210" s="28">
        <f>210</f>
        <v>210</v>
      </c>
      <c r="BH210" s="28">
        <f t="shared" si="283"/>
        <v>0</v>
      </c>
      <c r="BI210" s="28">
        <f t="shared" si="284"/>
        <v>0</v>
      </c>
      <c r="BJ210" s="28">
        <f t="shared" si="285"/>
        <v>0</v>
      </c>
      <c r="BK210" s="28"/>
      <c r="BL210" s="28">
        <v>771</v>
      </c>
      <c r="BW210" s="28">
        <v>12</v>
      </c>
      <c r="BX210" s="4" t="s">
        <v>604</v>
      </c>
    </row>
    <row r="211" spans="1:76" x14ac:dyDescent="0.25">
      <c r="A211" s="30" t="s">
        <v>605</v>
      </c>
      <c r="B211" s="31" t="s">
        <v>606</v>
      </c>
      <c r="C211" s="115" t="s">
        <v>607</v>
      </c>
      <c r="D211" s="116"/>
      <c r="E211" s="31" t="s">
        <v>87</v>
      </c>
      <c r="F211" s="32">
        <v>4.52271</v>
      </c>
      <c r="G211" s="32">
        <v>0</v>
      </c>
      <c r="H211" s="32">
        <f t="shared" si="264"/>
        <v>0</v>
      </c>
      <c r="I211" s="32">
        <f t="shared" si="265"/>
        <v>0</v>
      </c>
      <c r="J211" s="32">
        <f t="shared" si="266"/>
        <v>0</v>
      </c>
      <c r="K211" s="33" t="s">
        <v>57</v>
      </c>
      <c r="Z211" s="28">
        <f t="shared" si="267"/>
        <v>0</v>
      </c>
      <c r="AB211" s="28">
        <f t="shared" si="268"/>
        <v>0</v>
      </c>
      <c r="AC211" s="28">
        <f t="shared" si="269"/>
        <v>0</v>
      </c>
      <c r="AD211" s="28">
        <f t="shared" si="270"/>
        <v>0</v>
      </c>
      <c r="AE211" s="28">
        <f t="shared" si="271"/>
        <v>0</v>
      </c>
      <c r="AF211" s="28">
        <f t="shared" si="272"/>
        <v>0</v>
      </c>
      <c r="AG211" s="28">
        <f t="shared" si="273"/>
        <v>0</v>
      </c>
      <c r="AH211" s="28">
        <f t="shared" si="274"/>
        <v>0</v>
      </c>
      <c r="AI211" s="10" t="s">
        <v>50</v>
      </c>
      <c r="AJ211" s="28">
        <f t="shared" si="275"/>
        <v>0</v>
      </c>
      <c r="AK211" s="28">
        <f t="shared" si="276"/>
        <v>0</v>
      </c>
      <c r="AL211" s="28">
        <f t="shared" si="277"/>
        <v>0</v>
      </c>
      <c r="AN211" s="28">
        <v>12</v>
      </c>
      <c r="AO211" s="28">
        <f>G211*0</f>
        <v>0</v>
      </c>
      <c r="AP211" s="28">
        <f>G211*(1-0)</f>
        <v>0</v>
      </c>
      <c r="AQ211" s="29" t="s">
        <v>74</v>
      </c>
      <c r="AV211" s="28">
        <f t="shared" si="278"/>
        <v>0</v>
      </c>
      <c r="AW211" s="28">
        <f t="shared" si="279"/>
        <v>0</v>
      </c>
      <c r="AX211" s="28">
        <f t="shared" si="280"/>
        <v>0</v>
      </c>
      <c r="AY211" s="29" t="s">
        <v>552</v>
      </c>
      <c r="AZ211" s="29" t="s">
        <v>553</v>
      </c>
      <c r="BA211" s="10" t="s">
        <v>60</v>
      </c>
      <c r="BC211" s="28">
        <f t="shared" si="281"/>
        <v>0</v>
      </c>
      <c r="BD211" s="28">
        <f t="shared" si="282"/>
        <v>0</v>
      </c>
      <c r="BE211" s="28">
        <v>0</v>
      </c>
      <c r="BF211" s="28">
        <f>211</f>
        <v>211</v>
      </c>
      <c r="BH211" s="28">
        <f t="shared" si="283"/>
        <v>0</v>
      </c>
      <c r="BI211" s="28">
        <f t="shared" si="284"/>
        <v>0</v>
      </c>
      <c r="BJ211" s="28">
        <f t="shared" si="285"/>
        <v>0</v>
      </c>
      <c r="BK211" s="28"/>
      <c r="BL211" s="28">
        <v>771</v>
      </c>
      <c r="BW211" s="28">
        <v>12</v>
      </c>
      <c r="BX211" s="4" t="s">
        <v>607</v>
      </c>
    </row>
    <row r="212" spans="1:76" x14ac:dyDescent="0.25">
      <c r="A212" s="36" t="s">
        <v>50</v>
      </c>
      <c r="B212" s="37" t="s">
        <v>608</v>
      </c>
      <c r="C212" s="120" t="s">
        <v>609</v>
      </c>
      <c r="D212" s="121"/>
      <c r="E212" s="38" t="s">
        <v>4</v>
      </c>
      <c r="F212" s="38" t="s">
        <v>4</v>
      </c>
      <c r="G212" s="38" t="s">
        <v>4</v>
      </c>
      <c r="H212" s="39">
        <f>SUM(H213:H223)</f>
        <v>0</v>
      </c>
      <c r="I212" s="39">
        <f>SUM(I213:I223)</f>
        <v>0</v>
      </c>
      <c r="J212" s="39">
        <f>SUM(J213:J223)</f>
        <v>0</v>
      </c>
      <c r="K212" s="40" t="s">
        <v>50</v>
      </c>
      <c r="AI212" s="10" t="s">
        <v>50</v>
      </c>
      <c r="AS212" s="1">
        <f>SUM(AJ213:AJ223)</f>
        <v>0</v>
      </c>
      <c r="AT212" s="1">
        <f>SUM(AK213:AK223)</f>
        <v>0</v>
      </c>
      <c r="AU212" s="1">
        <f>SUM(AL213:AL223)</f>
        <v>0</v>
      </c>
    </row>
    <row r="213" spans="1:76" x14ac:dyDescent="0.25">
      <c r="A213" s="24" t="s">
        <v>610</v>
      </c>
      <c r="B213" s="25" t="s">
        <v>611</v>
      </c>
      <c r="C213" s="113" t="s">
        <v>612</v>
      </c>
      <c r="D213" s="114"/>
      <c r="E213" s="25" t="s">
        <v>64</v>
      </c>
      <c r="F213" s="26">
        <v>42.47</v>
      </c>
      <c r="G213" s="26">
        <v>0</v>
      </c>
      <c r="H213" s="26">
        <f>F213*AO213</f>
        <v>0</v>
      </c>
      <c r="I213" s="26">
        <f>F213*AP213</f>
        <v>0</v>
      </c>
      <c r="J213" s="26">
        <f>F213*G213</f>
        <v>0</v>
      </c>
      <c r="K213" s="27" t="s">
        <v>57</v>
      </c>
      <c r="Z213" s="28">
        <f>IF(AQ213="5",BJ213,0)</f>
        <v>0</v>
      </c>
      <c r="AB213" s="28">
        <f>IF(AQ213="1",BH213,0)</f>
        <v>0</v>
      </c>
      <c r="AC213" s="28">
        <f>IF(AQ213="1",BI213,0)</f>
        <v>0</v>
      </c>
      <c r="AD213" s="28">
        <f>IF(AQ213="7",BH213,0)</f>
        <v>0</v>
      </c>
      <c r="AE213" s="28">
        <f>IF(AQ213="7",BI213,0)</f>
        <v>0</v>
      </c>
      <c r="AF213" s="28">
        <f>IF(AQ213="2",BH213,0)</f>
        <v>0</v>
      </c>
      <c r="AG213" s="28">
        <f>IF(AQ213="2",BI213,0)</f>
        <v>0</v>
      </c>
      <c r="AH213" s="28">
        <f>IF(AQ213="0",BJ213,0)</f>
        <v>0</v>
      </c>
      <c r="AI213" s="10" t="s">
        <v>50</v>
      </c>
      <c r="AJ213" s="28">
        <f>IF(AN213=0,J213,0)</f>
        <v>0</v>
      </c>
      <c r="AK213" s="28">
        <f>IF(AN213=12,J213,0)</f>
        <v>0</v>
      </c>
      <c r="AL213" s="28">
        <f>IF(AN213=21,J213,0)</f>
        <v>0</v>
      </c>
      <c r="AN213" s="28">
        <v>12</v>
      </c>
      <c r="AO213" s="28">
        <f>G213*0</f>
        <v>0</v>
      </c>
      <c r="AP213" s="28">
        <f>G213*(1-0)</f>
        <v>0</v>
      </c>
      <c r="AQ213" s="29" t="s">
        <v>81</v>
      </c>
      <c r="AV213" s="28">
        <f>AW213+AX213</f>
        <v>0</v>
      </c>
      <c r="AW213" s="28">
        <f>F213*AO213</f>
        <v>0</v>
      </c>
      <c r="AX213" s="28">
        <f>F213*AP213</f>
        <v>0</v>
      </c>
      <c r="AY213" s="29" t="s">
        <v>613</v>
      </c>
      <c r="AZ213" s="29" t="s">
        <v>553</v>
      </c>
      <c r="BA213" s="10" t="s">
        <v>60</v>
      </c>
      <c r="BC213" s="28">
        <f>AW213+AX213</f>
        <v>0</v>
      </c>
      <c r="BD213" s="28">
        <f>G213/(100-BE213)*100</f>
        <v>0</v>
      </c>
      <c r="BE213" s="28">
        <v>0</v>
      </c>
      <c r="BF213" s="28">
        <f>213</f>
        <v>213</v>
      </c>
      <c r="BH213" s="28">
        <f>F213*AO213</f>
        <v>0</v>
      </c>
      <c r="BI213" s="28">
        <f>F213*AP213</f>
        <v>0</v>
      </c>
      <c r="BJ213" s="28">
        <f>F213*G213</f>
        <v>0</v>
      </c>
      <c r="BK213" s="28"/>
      <c r="BL213" s="28">
        <v>775</v>
      </c>
      <c r="BW213" s="28">
        <v>12</v>
      </c>
      <c r="BX213" s="4" t="s">
        <v>612</v>
      </c>
    </row>
    <row r="214" spans="1:76" x14ac:dyDescent="0.25">
      <c r="A214" s="30" t="s">
        <v>614</v>
      </c>
      <c r="B214" s="31" t="s">
        <v>615</v>
      </c>
      <c r="C214" s="115" t="s">
        <v>616</v>
      </c>
      <c r="D214" s="116"/>
      <c r="E214" s="31" t="s">
        <v>64</v>
      </c>
      <c r="F214" s="32">
        <v>42.47</v>
      </c>
      <c r="G214" s="32">
        <v>0</v>
      </c>
      <c r="H214" s="32">
        <f>F214*AO214</f>
        <v>0</v>
      </c>
      <c r="I214" s="32">
        <f>F214*AP214</f>
        <v>0</v>
      </c>
      <c r="J214" s="32">
        <f>F214*G214</f>
        <v>0</v>
      </c>
      <c r="K214" s="33" t="s">
        <v>57</v>
      </c>
      <c r="Z214" s="28">
        <f>IF(AQ214="5",BJ214,0)</f>
        <v>0</v>
      </c>
      <c r="AB214" s="28">
        <f>IF(AQ214="1",BH214,0)</f>
        <v>0</v>
      </c>
      <c r="AC214" s="28">
        <f>IF(AQ214="1",BI214,0)</f>
        <v>0</v>
      </c>
      <c r="AD214" s="28">
        <f>IF(AQ214="7",BH214,0)</f>
        <v>0</v>
      </c>
      <c r="AE214" s="28">
        <f>IF(AQ214="7",BI214,0)</f>
        <v>0</v>
      </c>
      <c r="AF214" s="28">
        <f>IF(AQ214="2",BH214,0)</f>
        <v>0</v>
      </c>
      <c r="AG214" s="28">
        <f>IF(AQ214="2",BI214,0)</f>
        <v>0</v>
      </c>
      <c r="AH214" s="28">
        <f>IF(AQ214="0",BJ214,0)</f>
        <v>0</v>
      </c>
      <c r="AI214" s="10" t="s">
        <v>50</v>
      </c>
      <c r="AJ214" s="28">
        <f>IF(AN214=0,J214,0)</f>
        <v>0</v>
      </c>
      <c r="AK214" s="28">
        <f>IF(AN214=12,J214,0)</f>
        <v>0</v>
      </c>
      <c r="AL214" s="28">
        <f>IF(AN214=21,J214,0)</f>
        <v>0</v>
      </c>
      <c r="AN214" s="28">
        <v>12</v>
      </c>
      <c r="AO214" s="28">
        <f>G214*0</f>
        <v>0</v>
      </c>
      <c r="AP214" s="28">
        <f>G214*(1-0)</f>
        <v>0</v>
      </c>
      <c r="AQ214" s="29" t="s">
        <v>81</v>
      </c>
      <c r="AV214" s="28">
        <f>AW214+AX214</f>
        <v>0</v>
      </c>
      <c r="AW214" s="28">
        <f>F214*AO214</f>
        <v>0</v>
      </c>
      <c r="AX214" s="28">
        <f>F214*AP214</f>
        <v>0</v>
      </c>
      <c r="AY214" s="29" t="s">
        <v>613</v>
      </c>
      <c r="AZ214" s="29" t="s">
        <v>553</v>
      </c>
      <c r="BA214" s="10" t="s">
        <v>60</v>
      </c>
      <c r="BC214" s="28">
        <f>AW214+AX214</f>
        <v>0</v>
      </c>
      <c r="BD214" s="28">
        <f>G214/(100-BE214)*100</f>
        <v>0</v>
      </c>
      <c r="BE214" s="28">
        <v>0</v>
      </c>
      <c r="BF214" s="28">
        <f>214</f>
        <v>214</v>
      </c>
      <c r="BH214" s="28">
        <f>F214*AO214</f>
        <v>0</v>
      </c>
      <c r="BI214" s="28">
        <f>F214*AP214</f>
        <v>0</v>
      </c>
      <c r="BJ214" s="28">
        <f>F214*G214</f>
        <v>0</v>
      </c>
      <c r="BK214" s="28"/>
      <c r="BL214" s="28">
        <v>775</v>
      </c>
      <c r="BW214" s="28">
        <v>12</v>
      </c>
      <c r="BX214" s="4" t="s">
        <v>616</v>
      </c>
    </row>
    <row r="215" spans="1:76" ht="13.5" customHeight="1" x14ac:dyDescent="0.25">
      <c r="A215" s="34"/>
      <c r="B215" s="35" t="s">
        <v>65</v>
      </c>
      <c r="C215" s="117" t="s">
        <v>617</v>
      </c>
      <c r="D215" s="118"/>
      <c r="E215" s="118"/>
      <c r="F215" s="118"/>
      <c r="G215" s="118"/>
      <c r="H215" s="118"/>
      <c r="I215" s="118"/>
      <c r="J215" s="118"/>
      <c r="K215" s="119"/>
    </row>
    <row r="216" spans="1:76" x14ac:dyDescent="0.25">
      <c r="A216" s="24" t="s">
        <v>618</v>
      </c>
      <c r="B216" s="25" t="s">
        <v>619</v>
      </c>
      <c r="C216" s="113" t="s">
        <v>620</v>
      </c>
      <c r="D216" s="114"/>
      <c r="E216" s="25" t="s">
        <v>64</v>
      </c>
      <c r="F216" s="26">
        <v>42.47</v>
      </c>
      <c r="G216" s="26">
        <v>0</v>
      </c>
      <c r="H216" s="26">
        <f>F216*AO216</f>
        <v>0</v>
      </c>
      <c r="I216" s="26">
        <f>F216*AP216</f>
        <v>0</v>
      </c>
      <c r="J216" s="26">
        <f>F216*G216</f>
        <v>0</v>
      </c>
      <c r="K216" s="27" t="s">
        <v>57</v>
      </c>
      <c r="Z216" s="28">
        <f>IF(AQ216="5",BJ216,0)</f>
        <v>0</v>
      </c>
      <c r="AB216" s="28">
        <f>IF(AQ216="1",BH216,0)</f>
        <v>0</v>
      </c>
      <c r="AC216" s="28">
        <f>IF(AQ216="1",BI216,0)</f>
        <v>0</v>
      </c>
      <c r="AD216" s="28">
        <f>IF(AQ216="7",BH216,0)</f>
        <v>0</v>
      </c>
      <c r="AE216" s="28">
        <f>IF(AQ216="7",BI216,0)</f>
        <v>0</v>
      </c>
      <c r="AF216" s="28">
        <f>IF(AQ216="2",BH216,0)</f>
        <v>0</v>
      </c>
      <c r="AG216" s="28">
        <f>IF(AQ216="2",BI216,0)</f>
        <v>0</v>
      </c>
      <c r="AH216" s="28">
        <f>IF(AQ216="0",BJ216,0)</f>
        <v>0</v>
      </c>
      <c r="AI216" s="10" t="s">
        <v>50</v>
      </c>
      <c r="AJ216" s="28">
        <f>IF(AN216=0,J216,0)</f>
        <v>0</v>
      </c>
      <c r="AK216" s="28">
        <f>IF(AN216=12,J216,0)</f>
        <v>0</v>
      </c>
      <c r="AL216" s="28">
        <f>IF(AN216=21,J216,0)</f>
        <v>0</v>
      </c>
      <c r="AN216" s="28">
        <v>12</v>
      </c>
      <c r="AO216" s="28">
        <f>G216*0</f>
        <v>0</v>
      </c>
      <c r="AP216" s="28">
        <f>G216*(1-0)</f>
        <v>0</v>
      </c>
      <c r="AQ216" s="29" t="s">
        <v>81</v>
      </c>
      <c r="AV216" s="28">
        <f>AW216+AX216</f>
        <v>0</v>
      </c>
      <c r="AW216" s="28">
        <f>F216*AO216</f>
        <v>0</v>
      </c>
      <c r="AX216" s="28">
        <f>F216*AP216</f>
        <v>0</v>
      </c>
      <c r="AY216" s="29" t="s">
        <v>613</v>
      </c>
      <c r="AZ216" s="29" t="s">
        <v>553</v>
      </c>
      <c r="BA216" s="10" t="s">
        <v>60</v>
      </c>
      <c r="BC216" s="28">
        <f>AW216+AX216</f>
        <v>0</v>
      </c>
      <c r="BD216" s="28">
        <f>G216/(100-BE216)*100</f>
        <v>0</v>
      </c>
      <c r="BE216" s="28">
        <v>0</v>
      </c>
      <c r="BF216" s="28">
        <f>216</f>
        <v>216</v>
      </c>
      <c r="BH216" s="28">
        <f>F216*AO216</f>
        <v>0</v>
      </c>
      <c r="BI216" s="28">
        <f>F216*AP216</f>
        <v>0</v>
      </c>
      <c r="BJ216" s="28">
        <f>F216*G216</f>
        <v>0</v>
      </c>
      <c r="BK216" s="28"/>
      <c r="BL216" s="28">
        <v>775</v>
      </c>
      <c r="BW216" s="28">
        <v>12</v>
      </c>
      <c r="BX216" s="4" t="s">
        <v>620</v>
      </c>
    </row>
    <row r="217" spans="1:76" x14ac:dyDescent="0.25">
      <c r="A217" s="30" t="s">
        <v>621</v>
      </c>
      <c r="B217" s="31" t="s">
        <v>89</v>
      </c>
      <c r="C217" s="115" t="s">
        <v>90</v>
      </c>
      <c r="D217" s="116"/>
      <c r="E217" s="31" t="s">
        <v>87</v>
      </c>
      <c r="F217" s="32">
        <v>8.6171600000000002</v>
      </c>
      <c r="G217" s="32">
        <v>0</v>
      </c>
      <c r="H217" s="32">
        <f>F217*AO217</f>
        <v>0</v>
      </c>
      <c r="I217" s="32">
        <f>F217*AP217</f>
        <v>0</v>
      </c>
      <c r="J217" s="32">
        <f>F217*G217</f>
        <v>0</v>
      </c>
      <c r="K217" s="33" t="s">
        <v>57</v>
      </c>
      <c r="Z217" s="28">
        <f>IF(AQ217="5",BJ217,0)</f>
        <v>0</v>
      </c>
      <c r="AB217" s="28">
        <f>IF(AQ217="1",BH217,0)</f>
        <v>0</v>
      </c>
      <c r="AC217" s="28">
        <f>IF(AQ217="1",BI217,0)</f>
        <v>0</v>
      </c>
      <c r="AD217" s="28">
        <f>IF(AQ217="7",BH217,0)</f>
        <v>0</v>
      </c>
      <c r="AE217" s="28">
        <f>IF(AQ217="7",BI217,0)</f>
        <v>0</v>
      </c>
      <c r="AF217" s="28">
        <f>IF(AQ217="2",BH217,0)</f>
        <v>0</v>
      </c>
      <c r="AG217" s="28">
        <f>IF(AQ217="2",BI217,0)</f>
        <v>0</v>
      </c>
      <c r="AH217" s="28">
        <f>IF(AQ217="0",BJ217,0)</f>
        <v>0</v>
      </c>
      <c r="AI217" s="10" t="s">
        <v>50</v>
      </c>
      <c r="AJ217" s="28">
        <f>IF(AN217=0,J217,0)</f>
        <v>0</v>
      </c>
      <c r="AK217" s="28">
        <f>IF(AN217=12,J217,0)</f>
        <v>0</v>
      </c>
      <c r="AL217" s="28">
        <f>IF(AN217=21,J217,0)</f>
        <v>0</v>
      </c>
      <c r="AN217" s="28">
        <v>12</v>
      </c>
      <c r="AO217" s="28">
        <f>G217*0.010795603</f>
        <v>0</v>
      </c>
      <c r="AP217" s="28">
        <f>G217*(1-0.010795603)</f>
        <v>0</v>
      </c>
      <c r="AQ217" s="29" t="s">
        <v>74</v>
      </c>
      <c r="AV217" s="28">
        <f>AW217+AX217</f>
        <v>0</v>
      </c>
      <c r="AW217" s="28">
        <f>F217*AO217</f>
        <v>0</v>
      </c>
      <c r="AX217" s="28">
        <f>F217*AP217</f>
        <v>0</v>
      </c>
      <c r="AY217" s="29" t="s">
        <v>613</v>
      </c>
      <c r="AZ217" s="29" t="s">
        <v>553</v>
      </c>
      <c r="BA217" s="10" t="s">
        <v>60</v>
      </c>
      <c r="BC217" s="28">
        <f>AW217+AX217</f>
        <v>0</v>
      </c>
      <c r="BD217" s="28">
        <f>G217/(100-BE217)*100</f>
        <v>0</v>
      </c>
      <c r="BE217" s="28">
        <v>0</v>
      </c>
      <c r="BF217" s="28">
        <f>217</f>
        <v>217</v>
      </c>
      <c r="BH217" s="28">
        <f>F217*AO217</f>
        <v>0</v>
      </c>
      <c r="BI217" s="28">
        <f>F217*AP217</f>
        <v>0</v>
      </c>
      <c r="BJ217" s="28">
        <f>F217*G217</f>
        <v>0</v>
      </c>
      <c r="BK217" s="28"/>
      <c r="BL217" s="28">
        <v>775</v>
      </c>
      <c r="BW217" s="28">
        <v>12</v>
      </c>
      <c r="BX217" s="4" t="s">
        <v>90</v>
      </c>
    </row>
    <row r="218" spans="1:76" x14ac:dyDescent="0.25">
      <c r="A218" s="30" t="s">
        <v>622</v>
      </c>
      <c r="B218" s="31" t="s">
        <v>623</v>
      </c>
      <c r="C218" s="115" t="s">
        <v>624</v>
      </c>
      <c r="D218" s="116"/>
      <c r="E218" s="31" t="s">
        <v>87</v>
      </c>
      <c r="F218" s="32">
        <v>6.6890299999999998</v>
      </c>
      <c r="G218" s="32">
        <v>0</v>
      </c>
      <c r="H218" s="32">
        <f>F218*AO218</f>
        <v>0</v>
      </c>
      <c r="I218" s="32">
        <f>F218*AP218</f>
        <v>0</v>
      </c>
      <c r="J218" s="32">
        <f>F218*G218</f>
        <v>0</v>
      </c>
      <c r="K218" s="33" t="s">
        <v>57</v>
      </c>
      <c r="Z218" s="28">
        <f>IF(AQ218="5",BJ218,0)</f>
        <v>0</v>
      </c>
      <c r="AB218" s="28">
        <f>IF(AQ218="1",BH218,0)</f>
        <v>0</v>
      </c>
      <c r="AC218" s="28">
        <f>IF(AQ218="1",BI218,0)</f>
        <v>0</v>
      </c>
      <c r="AD218" s="28">
        <f>IF(AQ218="7",BH218,0)</f>
        <v>0</v>
      </c>
      <c r="AE218" s="28">
        <f>IF(AQ218="7",BI218,0)</f>
        <v>0</v>
      </c>
      <c r="AF218" s="28">
        <f>IF(AQ218="2",BH218,0)</f>
        <v>0</v>
      </c>
      <c r="AG218" s="28">
        <f>IF(AQ218="2",BI218,0)</f>
        <v>0</v>
      </c>
      <c r="AH218" s="28">
        <f>IF(AQ218="0",BJ218,0)</f>
        <v>0</v>
      </c>
      <c r="AI218" s="10" t="s">
        <v>50</v>
      </c>
      <c r="AJ218" s="28">
        <f>IF(AN218=0,J218,0)</f>
        <v>0</v>
      </c>
      <c r="AK218" s="28">
        <f>IF(AN218=12,J218,0)</f>
        <v>0</v>
      </c>
      <c r="AL218" s="28">
        <f>IF(AN218=21,J218,0)</f>
        <v>0</v>
      </c>
      <c r="AN218" s="28">
        <v>12</v>
      </c>
      <c r="AO218" s="28">
        <f>G218*0</f>
        <v>0</v>
      </c>
      <c r="AP218" s="28">
        <f>G218*(1-0)</f>
        <v>0</v>
      </c>
      <c r="AQ218" s="29" t="s">
        <v>74</v>
      </c>
      <c r="AV218" s="28">
        <f>AW218+AX218</f>
        <v>0</v>
      </c>
      <c r="AW218" s="28">
        <f>F218*AO218</f>
        <v>0</v>
      </c>
      <c r="AX218" s="28">
        <f>F218*AP218</f>
        <v>0</v>
      </c>
      <c r="AY218" s="29" t="s">
        <v>613</v>
      </c>
      <c r="AZ218" s="29" t="s">
        <v>553</v>
      </c>
      <c r="BA218" s="10" t="s">
        <v>60</v>
      </c>
      <c r="BC218" s="28">
        <f>AW218+AX218</f>
        <v>0</v>
      </c>
      <c r="BD218" s="28">
        <f>G218/(100-BE218)*100</f>
        <v>0</v>
      </c>
      <c r="BE218" s="28">
        <v>0</v>
      </c>
      <c r="BF218" s="28">
        <f>218</f>
        <v>218</v>
      </c>
      <c r="BH218" s="28">
        <f>F218*AO218</f>
        <v>0</v>
      </c>
      <c r="BI218" s="28">
        <f>F218*AP218</f>
        <v>0</v>
      </c>
      <c r="BJ218" s="28">
        <f>F218*G218</f>
        <v>0</v>
      </c>
      <c r="BK218" s="28"/>
      <c r="BL218" s="28">
        <v>775</v>
      </c>
      <c r="BW218" s="28">
        <v>12</v>
      </c>
      <c r="BX218" s="4" t="s">
        <v>624</v>
      </c>
    </row>
    <row r="219" spans="1:76" x14ac:dyDescent="0.25">
      <c r="A219" s="30" t="s">
        <v>625</v>
      </c>
      <c r="B219" s="31" t="s">
        <v>626</v>
      </c>
      <c r="C219" s="115" t="s">
        <v>627</v>
      </c>
      <c r="D219" s="116"/>
      <c r="E219" s="31" t="s">
        <v>64</v>
      </c>
      <c r="F219" s="32">
        <v>36.57</v>
      </c>
      <c r="G219" s="32">
        <v>0</v>
      </c>
      <c r="H219" s="32">
        <f>F219*AO219</f>
        <v>0</v>
      </c>
      <c r="I219" s="32">
        <f>F219*AP219</f>
        <v>0</v>
      </c>
      <c r="J219" s="32">
        <f>F219*G219</f>
        <v>0</v>
      </c>
      <c r="K219" s="33" t="s">
        <v>57</v>
      </c>
      <c r="Z219" s="28">
        <f>IF(AQ219="5",BJ219,0)</f>
        <v>0</v>
      </c>
      <c r="AB219" s="28">
        <f>IF(AQ219="1",BH219,0)</f>
        <v>0</v>
      </c>
      <c r="AC219" s="28">
        <f>IF(AQ219="1",BI219,0)</f>
        <v>0</v>
      </c>
      <c r="AD219" s="28">
        <f>IF(AQ219="7",BH219,0)</f>
        <v>0</v>
      </c>
      <c r="AE219" s="28">
        <f>IF(AQ219="7",BI219,0)</f>
        <v>0</v>
      </c>
      <c r="AF219" s="28">
        <f>IF(AQ219="2",BH219,0)</f>
        <v>0</v>
      </c>
      <c r="AG219" s="28">
        <f>IF(AQ219="2",BI219,0)</f>
        <v>0</v>
      </c>
      <c r="AH219" s="28">
        <f>IF(AQ219="0",BJ219,0)</f>
        <v>0</v>
      </c>
      <c r="AI219" s="10" t="s">
        <v>50</v>
      </c>
      <c r="AJ219" s="28">
        <f>IF(AN219=0,J219,0)</f>
        <v>0</v>
      </c>
      <c r="AK219" s="28">
        <f>IF(AN219=12,J219,0)</f>
        <v>0</v>
      </c>
      <c r="AL219" s="28">
        <f>IF(AN219=21,J219,0)</f>
        <v>0</v>
      </c>
      <c r="AN219" s="28">
        <v>12</v>
      </c>
      <c r="AO219" s="28">
        <f>G219*0.79517757</f>
        <v>0</v>
      </c>
      <c r="AP219" s="28">
        <f>G219*(1-0.79517757)</f>
        <v>0</v>
      </c>
      <c r="AQ219" s="29" t="s">
        <v>81</v>
      </c>
      <c r="AV219" s="28">
        <f>AW219+AX219</f>
        <v>0</v>
      </c>
      <c r="AW219" s="28">
        <f>F219*AO219</f>
        <v>0</v>
      </c>
      <c r="AX219" s="28">
        <f>F219*AP219</f>
        <v>0</v>
      </c>
      <c r="AY219" s="29" t="s">
        <v>613</v>
      </c>
      <c r="AZ219" s="29" t="s">
        <v>553</v>
      </c>
      <c r="BA219" s="10" t="s">
        <v>60</v>
      </c>
      <c r="BC219" s="28">
        <f>AW219+AX219</f>
        <v>0</v>
      </c>
      <c r="BD219" s="28">
        <f>G219/(100-BE219)*100</f>
        <v>0</v>
      </c>
      <c r="BE219" s="28">
        <v>0</v>
      </c>
      <c r="BF219" s="28">
        <f>219</f>
        <v>219</v>
      </c>
      <c r="BH219" s="28">
        <f>F219*AO219</f>
        <v>0</v>
      </c>
      <c r="BI219" s="28">
        <f>F219*AP219</f>
        <v>0</v>
      </c>
      <c r="BJ219" s="28">
        <f>F219*G219</f>
        <v>0</v>
      </c>
      <c r="BK219" s="28"/>
      <c r="BL219" s="28">
        <v>775</v>
      </c>
      <c r="BW219" s="28">
        <v>12</v>
      </c>
      <c r="BX219" s="4" t="s">
        <v>627</v>
      </c>
    </row>
    <row r="220" spans="1:76" ht="13.5" customHeight="1" x14ac:dyDescent="0.25">
      <c r="A220" s="34"/>
      <c r="B220" s="35" t="s">
        <v>65</v>
      </c>
      <c r="C220" s="117" t="s">
        <v>628</v>
      </c>
      <c r="D220" s="118"/>
      <c r="E220" s="118"/>
      <c r="F220" s="118"/>
      <c r="G220" s="118"/>
      <c r="H220" s="118"/>
      <c r="I220" s="118"/>
      <c r="J220" s="118"/>
      <c r="K220" s="119"/>
    </row>
    <row r="221" spans="1:76" x14ac:dyDescent="0.25">
      <c r="A221" s="24" t="s">
        <v>629</v>
      </c>
      <c r="B221" s="25" t="s">
        <v>630</v>
      </c>
      <c r="C221" s="113" t="s">
        <v>631</v>
      </c>
      <c r="D221" s="114"/>
      <c r="E221" s="25" t="s">
        <v>77</v>
      </c>
      <c r="F221" s="26">
        <v>34.838999999999999</v>
      </c>
      <c r="G221" s="26">
        <v>0</v>
      </c>
      <c r="H221" s="26">
        <f>F221*AO221</f>
        <v>0</v>
      </c>
      <c r="I221" s="26">
        <f>F221*AP221</f>
        <v>0</v>
      </c>
      <c r="J221" s="26">
        <f>F221*G221</f>
        <v>0</v>
      </c>
      <c r="K221" s="27" t="s">
        <v>57</v>
      </c>
      <c r="Z221" s="28">
        <f>IF(AQ221="5",BJ221,0)</f>
        <v>0</v>
      </c>
      <c r="AB221" s="28">
        <f>IF(AQ221="1",BH221,0)</f>
        <v>0</v>
      </c>
      <c r="AC221" s="28">
        <f>IF(AQ221="1",BI221,0)</f>
        <v>0</v>
      </c>
      <c r="AD221" s="28">
        <f>IF(AQ221="7",BH221,0)</f>
        <v>0</v>
      </c>
      <c r="AE221" s="28">
        <f>IF(AQ221="7",BI221,0)</f>
        <v>0</v>
      </c>
      <c r="AF221" s="28">
        <f>IF(AQ221="2",BH221,0)</f>
        <v>0</v>
      </c>
      <c r="AG221" s="28">
        <f>IF(AQ221="2",BI221,0)</f>
        <v>0</v>
      </c>
      <c r="AH221" s="28">
        <f>IF(AQ221="0",BJ221,0)</f>
        <v>0</v>
      </c>
      <c r="AI221" s="10" t="s">
        <v>50</v>
      </c>
      <c r="AJ221" s="28">
        <f>IF(AN221=0,J221,0)</f>
        <v>0</v>
      </c>
      <c r="AK221" s="28">
        <f>IF(AN221=12,J221,0)</f>
        <v>0</v>
      </c>
      <c r="AL221" s="28">
        <f>IF(AN221=21,J221,0)</f>
        <v>0</v>
      </c>
      <c r="AN221" s="28">
        <v>12</v>
      </c>
      <c r="AO221" s="28">
        <f>G221*1</f>
        <v>0</v>
      </c>
      <c r="AP221" s="28">
        <f>G221*(1-1)</f>
        <v>0</v>
      </c>
      <c r="AQ221" s="29" t="s">
        <v>81</v>
      </c>
      <c r="AV221" s="28">
        <f>AW221+AX221</f>
        <v>0</v>
      </c>
      <c r="AW221" s="28">
        <f>F221*AO221</f>
        <v>0</v>
      </c>
      <c r="AX221" s="28">
        <f>F221*AP221</f>
        <v>0</v>
      </c>
      <c r="AY221" s="29" t="s">
        <v>613</v>
      </c>
      <c r="AZ221" s="29" t="s">
        <v>553</v>
      </c>
      <c r="BA221" s="10" t="s">
        <v>60</v>
      </c>
      <c r="BC221" s="28">
        <f>AW221+AX221</f>
        <v>0</v>
      </c>
      <c r="BD221" s="28">
        <f>G221/(100-BE221)*100</f>
        <v>0</v>
      </c>
      <c r="BE221" s="28">
        <v>0</v>
      </c>
      <c r="BF221" s="28">
        <f>221</f>
        <v>221</v>
      </c>
      <c r="BH221" s="28">
        <f>F221*AO221</f>
        <v>0</v>
      </c>
      <c r="BI221" s="28">
        <f>F221*AP221</f>
        <v>0</v>
      </c>
      <c r="BJ221" s="28">
        <f>F221*G221</f>
        <v>0</v>
      </c>
      <c r="BK221" s="28"/>
      <c r="BL221" s="28">
        <v>775</v>
      </c>
      <c r="BW221" s="28">
        <v>12</v>
      </c>
      <c r="BX221" s="4" t="s">
        <v>631</v>
      </c>
    </row>
    <row r="222" spans="1:76" x14ac:dyDescent="0.25">
      <c r="A222" s="30" t="s">
        <v>632</v>
      </c>
      <c r="B222" s="31" t="s">
        <v>633</v>
      </c>
      <c r="C222" s="115" t="s">
        <v>634</v>
      </c>
      <c r="D222" s="116"/>
      <c r="E222" s="31" t="s">
        <v>77</v>
      </c>
      <c r="F222" s="32">
        <v>33.18</v>
      </c>
      <c r="G222" s="32">
        <v>0</v>
      </c>
      <c r="H222" s="32">
        <f>F222*AO222</f>
        <v>0</v>
      </c>
      <c r="I222" s="32">
        <f>F222*AP222</f>
        <v>0</v>
      </c>
      <c r="J222" s="32">
        <f>F222*G222</f>
        <v>0</v>
      </c>
      <c r="K222" s="33" t="s">
        <v>57</v>
      </c>
      <c r="Z222" s="28">
        <f>IF(AQ222="5",BJ222,0)</f>
        <v>0</v>
      </c>
      <c r="AB222" s="28">
        <f>IF(AQ222="1",BH222,0)</f>
        <v>0</v>
      </c>
      <c r="AC222" s="28">
        <f>IF(AQ222="1",BI222,0)</f>
        <v>0</v>
      </c>
      <c r="AD222" s="28">
        <f>IF(AQ222="7",BH222,0)</f>
        <v>0</v>
      </c>
      <c r="AE222" s="28">
        <f>IF(AQ222="7",BI222,0)</f>
        <v>0</v>
      </c>
      <c r="AF222" s="28">
        <f>IF(AQ222="2",BH222,0)</f>
        <v>0</v>
      </c>
      <c r="AG222" s="28">
        <f>IF(AQ222="2",BI222,0)</f>
        <v>0</v>
      </c>
      <c r="AH222" s="28">
        <f>IF(AQ222="0",BJ222,0)</f>
        <v>0</v>
      </c>
      <c r="AI222" s="10" t="s">
        <v>50</v>
      </c>
      <c r="AJ222" s="28">
        <f>IF(AN222=0,J222,0)</f>
        <v>0</v>
      </c>
      <c r="AK222" s="28">
        <f>IF(AN222=12,J222,0)</f>
        <v>0</v>
      </c>
      <c r="AL222" s="28">
        <f>IF(AN222=21,J222,0)</f>
        <v>0</v>
      </c>
      <c r="AN222" s="28">
        <v>12</v>
      </c>
      <c r="AO222" s="28">
        <f>G222*0.008</f>
        <v>0</v>
      </c>
      <c r="AP222" s="28">
        <f>G222*(1-0.008)</f>
        <v>0</v>
      </c>
      <c r="AQ222" s="29" t="s">
        <v>81</v>
      </c>
      <c r="AV222" s="28">
        <f>AW222+AX222</f>
        <v>0</v>
      </c>
      <c r="AW222" s="28">
        <f>F222*AO222</f>
        <v>0</v>
      </c>
      <c r="AX222" s="28">
        <f>F222*AP222</f>
        <v>0</v>
      </c>
      <c r="AY222" s="29" t="s">
        <v>613</v>
      </c>
      <c r="AZ222" s="29" t="s">
        <v>553</v>
      </c>
      <c r="BA222" s="10" t="s">
        <v>60</v>
      </c>
      <c r="BC222" s="28">
        <f>AW222+AX222</f>
        <v>0</v>
      </c>
      <c r="BD222" s="28">
        <f>G222/(100-BE222)*100</f>
        <v>0</v>
      </c>
      <c r="BE222" s="28">
        <v>0</v>
      </c>
      <c r="BF222" s="28">
        <f>222</f>
        <v>222</v>
      </c>
      <c r="BH222" s="28">
        <f>F222*AO222</f>
        <v>0</v>
      </c>
      <c r="BI222" s="28">
        <f>F222*AP222</f>
        <v>0</v>
      </c>
      <c r="BJ222" s="28">
        <f>F222*G222</f>
        <v>0</v>
      </c>
      <c r="BK222" s="28"/>
      <c r="BL222" s="28">
        <v>775</v>
      </c>
      <c r="BW222" s="28">
        <v>12</v>
      </c>
      <c r="BX222" s="4" t="s">
        <v>634</v>
      </c>
    </row>
    <row r="223" spans="1:76" x14ac:dyDescent="0.25">
      <c r="A223" s="30" t="s">
        <v>635</v>
      </c>
      <c r="B223" s="31" t="s">
        <v>636</v>
      </c>
      <c r="C223" s="115" t="s">
        <v>637</v>
      </c>
      <c r="D223" s="116"/>
      <c r="E223" s="31" t="s">
        <v>87</v>
      </c>
      <c r="F223" s="32">
        <v>8.6171600000000002</v>
      </c>
      <c r="G223" s="32">
        <v>0</v>
      </c>
      <c r="H223" s="32">
        <f>F223*AO223</f>
        <v>0</v>
      </c>
      <c r="I223" s="32">
        <f>F223*AP223</f>
        <v>0</v>
      </c>
      <c r="J223" s="32">
        <f>F223*G223</f>
        <v>0</v>
      </c>
      <c r="K223" s="33" t="s">
        <v>57</v>
      </c>
      <c r="Z223" s="28">
        <f>IF(AQ223="5",BJ223,0)</f>
        <v>0</v>
      </c>
      <c r="AB223" s="28">
        <f>IF(AQ223="1",BH223,0)</f>
        <v>0</v>
      </c>
      <c r="AC223" s="28">
        <f>IF(AQ223="1",BI223,0)</f>
        <v>0</v>
      </c>
      <c r="AD223" s="28">
        <f>IF(AQ223="7",BH223,0)</f>
        <v>0</v>
      </c>
      <c r="AE223" s="28">
        <f>IF(AQ223="7",BI223,0)</f>
        <v>0</v>
      </c>
      <c r="AF223" s="28">
        <f>IF(AQ223="2",BH223,0)</f>
        <v>0</v>
      </c>
      <c r="AG223" s="28">
        <f>IF(AQ223="2",BI223,0)</f>
        <v>0</v>
      </c>
      <c r="AH223" s="28">
        <f>IF(AQ223="0",BJ223,0)</f>
        <v>0</v>
      </c>
      <c r="AI223" s="10" t="s">
        <v>50</v>
      </c>
      <c r="AJ223" s="28">
        <f>IF(AN223=0,J223,0)</f>
        <v>0</v>
      </c>
      <c r="AK223" s="28">
        <f>IF(AN223=12,J223,0)</f>
        <v>0</v>
      </c>
      <c r="AL223" s="28">
        <f>IF(AN223=21,J223,0)</f>
        <v>0</v>
      </c>
      <c r="AN223" s="28">
        <v>12</v>
      </c>
      <c r="AO223" s="28">
        <f>G223*0</f>
        <v>0</v>
      </c>
      <c r="AP223" s="28">
        <f>G223*(1-0)</f>
        <v>0</v>
      </c>
      <c r="AQ223" s="29" t="s">
        <v>74</v>
      </c>
      <c r="AV223" s="28">
        <f>AW223+AX223</f>
        <v>0</v>
      </c>
      <c r="AW223" s="28">
        <f>F223*AO223</f>
        <v>0</v>
      </c>
      <c r="AX223" s="28">
        <f>F223*AP223</f>
        <v>0</v>
      </c>
      <c r="AY223" s="29" t="s">
        <v>613</v>
      </c>
      <c r="AZ223" s="29" t="s">
        <v>553</v>
      </c>
      <c r="BA223" s="10" t="s">
        <v>60</v>
      </c>
      <c r="BC223" s="28">
        <f>AW223+AX223</f>
        <v>0</v>
      </c>
      <c r="BD223" s="28">
        <f>G223/(100-BE223)*100</f>
        <v>0</v>
      </c>
      <c r="BE223" s="28">
        <v>0</v>
      </c>
      <c r="BF223" s="28">
        <f>223</f>
        <v>223</v>
      </c>
      <c r="BH223" s="28">
        <f>F223*AO223</f>
        <v>0</v>
      </c>
      <c r="BI223" s="28">
        <f>F223*AP223</f>
        <v>0</v>
      </c>
      <c r="BJ223" s="28">
        <f>F223*G223</f>
        <v>0</v>
      </c>
      <c r="BK223" s="28"/>
      <c r="BL223" s="28">
        <v>775</v>
      </c>
      <c r="BW223" s="28">
        <v>12</v>
      </c>
      <c r="BX223" s="4" t="s">
        <v>637</v>
      </c>
    </row>
    <row r="224" spans="1:76" x14ac:dyDescent="0.25">
      <c r="A224" s="36" t="s">
        <v>50</v>
      </c>
      <c r="B224" s="37" t="s">
        <v>638</v>
      </c>
      <c r="C224" s="120" t="s">
        <v>639</v>
      </c>
      <c r="D224" s="121"/>
      <c r="E224" s="38" t="s">
        <v>4</v>
      </c>
      <c r="F224" s="38" t="s">
        <v>4</v>
      </c>
      <c r="G224" s="38" t="s">
        <v>4</v>
      </c>
      <c r="H224" s="39">
        <f>SUM(H225:H230)</f>
        <v>0</v>
      </c>
      <c r="I224" s="39">
        <f>SUM(I225:I230)</f>
        <v>0</v>
      </c>
      <c r="J224" s="39">
        <f>SUM(J225:J230)</f>
        <v>0</v>
      </c>
      <c r="K224" s="40" t="s">
        <v>50</v>
      </c>
      <c r="AI224" s="10" t="s">
        <v>50</v>
      </c>
      <c r="AS224" s="1">
        <f>SUM(AJ225:AJ230)</f>
        <v>0</v>
      </c>
      <c r="AT224" s="1">
        <f>SUM(AK225:AK230)</f>
        <v>0</v>
      </c>
      <c r="AU224" s="1">
        <f>SUM(AL225:AL230)</f>
        <v>0</v>
      </c>
    </row>
    <row r="225" spans="1:76" x14ac:dyDescent="0.25">
      <c r="A225" s="24" t="s">
        <v>640</v>
      </c>
      <c r="B225" s="25" t="s">
        <v>641</v>
      </c>
      <c r="C225" s="113" t="s">
        <v>642</v>
      </c>
      <c r="D225" s="114"/>
      <c r="E225" s="25" t="s">
        <v>64</v>
      </c>
      <c r="F225" s="26">
        <v>20.399999999999999</v>
      </c>
      <c r="G225" s="26">
        <v>0</v>
      </c>
      <c r="H225" s="26">
        <f>F225*AO225</f>
        <v>0</v>
      </c>
      <c r="I225" s="26">
        <f>F225*AP225</f>
        <v>0</v>
      </c>
      <c r="J225" s="26">
        <f>F225*G225</f>
        <v>0</v>
      </c>
      <c r="K225" s="27" t="s">
        <v>57</v>
      </c>
      <c r="Z225" s="28">
        <f>IF(AQ225="5",BJ225,0)</f>
        <v>0</v>
      </c>
      <c r="AB225" s="28">
        <f>IF(AQ225="1",BH225,0)</f>
        <v>0</v>
      </c>
      <c r="AC225" s="28">
        <f>IF(AQ225="1",BI225,0)</f>
        <v>0</v>
      </c>
      <c r="AD225" s="28">
        <f>IF(AQ225="7",BH225,0)</f>
        <v>0</v>
      </c>
      <c r="AE225" s="28">
        <f>IF(AQ225="7",BI225,0)</f>
        <v>0</v>
      </c>
      <c r="AF225" s="28">
        <f>IF(AQ225="2",BH225,0)</f>
        <v>0</v>
      </c>
      <c r="AG225" s="28">
        <f>IF(AQ225="2",BI225,0)</f>
        <v>0</v>
      </c>
      <c r="AH225" s="28">
        <f>IF(AQ225="0",BJ225,0)</f>
        <v>0</v>
      </c>
      <c r="AI225" s="10" t="s">
        <v>50</v>
      </c>
      <c r="AJ225" s="28">
        <f>IF(AN225=0,J225,0)</f>
        <v>0</v>
      </c>
      <c r="AK225" s="28">
        <f>IF(AN225=12,J225,0)</f>
        <v>0</v>
      </c>
      <c r="AL225" s="28">
        <f>IF(AN225=21,J225,0)</f>
        <v>0</v>
      </c>
      <c r="AN225" s="28">
        <v>12</v>
      </c>
      <c r="AO225" s="28">
        <f>G225*0.130410635</f>
        <v>0</v>
      </c>
      <c r="AP225" s="28">
        <f>G225*(1-0.130410635)</f>
        <v>0</v>
      </c>
      <c r="AQ225" s="29" t="s">
        <v>81</v>
      </c>
      <c r="AV225" s="28">
        <f>AW225+AX225</f>
        <v>0</v>
      </c>
      <c r="AW225" s="28">
        <f>F225*AO225</f>
        <v>0</v>
      </c>
      <c r="AX225" s="28">
        <f>F225*AP225</f>
        <v>0</v>
      </c>
      <c r="AY225" s="29" t="s">
        <v>643</v>
      </c>
      <c r="AZ225" s="29" t="s">
        <v>644</v>
      </c>
      <c r="BA225" s="10" t="s">
        <v>60</v>
      </c>
      <c r="BC225" s="28">
        <f>AW225+AX225</f>
        <v>0</v>
      </c>
      <c r="BD225" s="28">
        <f>G225/(100-BE225)*100</f>
        <v>0</v>
      </c>
      <c r="BE225" s="28">
        <v>0</v>
      </c>
      <c r="BF225" s="28">
        <f>225</f>
        <v>225</v>
      </c>
      <c r="BH225" s="28">
        <f>F225*AO225</f>
        <v>0</v>
      </c>
      <c r="BI225" s="28">
        <f>F225*AP225</f>
        <v>0</v>
      </c>
      <c r="BJ225" s="28">
        <f>F225*G225</f>
        <v>0</v>
      </c>
      <c r="BK225" s="28"/>
      <c r="BL225" s="28">
        <v>783</v>
      </c>
      <c r="BW225" s="28">
        <v>12</v>
      </c>
      <c r="BX225" s="4" t="s">
        <v>642</v>
      </c>
    </row>
    <row r="226" spans="1:76" ht="13.5" customHeight="1" x14ac:dyDescent="0.25">
      <c r="A226" s="34"/>
      <c r="B226" s="35" t="s">
        <v>65</v>
      </c>
      <c r="C226" s="117" t="s">
        <v>645</v>
      </c>
      <c r="D226" s="118"/>
      <c r="E226" s="118"/>
      <c r="F226" s="118"/>
      <c r="G226" s="118"/>
      <c r="H226" s="118"/>
      <c r="I226" s="118"/>
      <c r="J226" s="118"/>
      <c r="K226" s="119"/>
    </row>
    <row r="227" spans="1:76" x14ac:dyDescent="0.25">
      <c r="A227" s="24" t="s">
        <v>646</v>
      </c>
      <c r="B227" s="25" t="s">
        <v>647</v>
      </c>
      <c r="C227" s="113" t="s">
        <v>648</v>
      </c>
      <c r="D227" s="114"/>
      <c r="E227" s="25" t="s">
        <v>64</v>
      </c>
      <c r="F227" s="26">
        <v>20.399999999999999</v>
      </c>
      <c r="G227" s="26">
        <v>0</v>
      </c>
      <c r="H227" s="26">
        <f>F227*AO227</f>
        <v>0</v>
      </c>
      <c r="I227" s="26">
        <f>F227*AP227</f>
        <v>0</v>
      </c>
      <c r="J227" s="26">
        <f>F227*G227</f>
        <v>0</v>
      </c>
      <c r="K227" s="27" t="s">
        <v>57</v>
      </c>
      <c r="Z227" s="28">
        <f>IF(AQ227="5",BJ227,0)</f>
        <v>0</v>
      </c>
      <c r="AB227" s="28">
        <f>IF(AQ227="1",BH227,0)</f>
        <v>0</v>
      </c>
      <c r="AC227" s="28">
        <f>IF(AQ227="1",BI227,0)</f>
        <v>0</v>
      </c>
      <c r="AD227" s="28">
        <f>IF(AQ227="7",BH227,0)</f>
        <v>0</v>
      </c>
      <c r="AE227" s="28">
        <f>IF(AQ227="7",BI227,0)</f>
        <v>0</v>
      </c>
      <c r="AF227" s="28">
        <f>IF(AQ227="2",BH227,0)</f>
        <v>0</v>
      </c>
      <c r="AG227" s="28">
        <f>IF(AQ227="2",BI227,0)</f>
        <v>0</v>
      </c>
      <c r="AH227" s="28">
        <f>IF(AQ227="0",BJ227,0)</f>
        <v>0</v>
      </c>
      <c r="AI227" s="10" t="s">
        <v>50</v>
      </c>
      <c r="AJ227" s="28">
        <f>IF(AN227=0,J227,0)</f>
        <v>0</v>
      </c>
      <c r="AK227" s="28">
        <f>IF(AN227=12,J227,0)</f>
        <v>0</v>
      </c>
      <c r="AL227" s="28">
        <f>IF(AN227=21,J227,0)</f>
        <v>0</v>
      </c>
      <c r="AN227" s="28">
        <v>12</v>
      </c>
      <c r="AO227" s="28">
        <f>G227*0.220028011</f>
        <v>0</v>
      </c>
      <c r="AP227" s="28">
        <f>G227*(1-0.220028011)</f>
        <v>0</v>
      </c>
      <c r="AQ227" s="29" t="s">
        <v>81</v>
      </c>
      <c r="AV227" s="28">
        <f>AW227+AX227</f>
        <v>0</v>
      </c>
      <c r="AW227" s="28">
        <f>F227*AO227</f>
        <v>0</v>
      </c>
      <c r="AX227" s="28">
        <f>F227*AP227</f>
        <v>0</v>
      </c>
      <c r="AY227" s="29" t="s">
        <v>643</v>
      </c>
      <c r="AZ227" s="29" t="s">
        <v>644</v>
      </c>
      <c r="BA227" s="10" t="s">
        <v>60</v>
      </c>
      <c r="BC227" s="28">
        <f>AW227+AX227</f>
        <v>0</v>
      </c>
      <c r="BD227" s="28">
        <f>G227/(100-BE227)*100</f>
        <v>0</v>
      </c>
      <c r="BE227" s="28">
        <v>0</v>
      </c>
      <c r="BF227" s="28">
        <f>227</f>
        <v>227</v>
      </c>
      <c r="BH227" s="28">
        <f>F227*AO227</f>
        <v>0</v>
      </c>
      <c r="BI227" s="28">
        <f>F227*AP227</f>
        <v>0</v>
      </c>
      <c r="BJ227" s="28">
        <f>F227*G227</f>
        <v>0</v>
      </c>
      <c r="BK227" s="28"/>
      <c r="BL227" s="28">
        <v>783</v>
      </c>
      <c r="BW227" s="28">
        <v>12</v>
      </c>
      <c r="BX227" s="4" t="s">
        <v>648</v>
      </c>
    </row>
    <row r="228" spans="1:76" x14ac:dyDescent="0.25">
      <c r="A228" s="30" t="s">
        <v>649</v>
      </c>
      <c r="B228" s="31" t="s">
        <v>650</v>
      </c>
      <c r="C228" s="115" t="s">
        <v>651</v>
      </c>
      <c r="D228" s="116"/>
      <c r="E228" s="31" t="s">
        <v>64</v>
      </c>
      <c r="F228" s="32">
        <v>1.75</v>
      </c>
      <c r="G228" s="32">
        <v>0</v>
      </c>
      <c r="H228" s="32">
        <f>F228*AO228</f>
        <v>0</v>
      </c>
      <c r="I228" s="32">
        <f>F228*AP228</f>
        <v>0</v>
      </c>
      <c r="J228" s="32">
        <f>F228*G228</f>
        <v>0</v>
      </c>
      <c r="K228" s="33" t="s">
        <v>57</v>
      </c>
      <c r="Z228" s="28">
        <f>IF(AQ228="5",BJ228,0)</f>
        <v>0</v>
      </c>
      <c r="AB228" s="28">
        <f>IF(AQ228="1",BH228,0)</f>
        <v>0</v>
      </c>
      <c r="AC228" s="28">
        <f>IF(AQ228="1",BI228,0)</f>
        <v>0</v>
      </c>
      <c r="AD228" s="28">
        <f>IF(AQ228="7",BH228,0)</f>
        <v>0</v>
      </c>
      <c r="AE228" s="28">
        <f>IF(AQ228="7",BI228,0)</f>
        <v>0</v>
      </c>
      <c r="AF228" s="28">
        <f>IF(AQ228="2",BH228,0)</f>
        <v>0</v>
      </c>
      <c r="AG228" s="28">
        <f>IF(AQ228="2",BI228,0)</f>
        <v>0</v>
      </c>
      <c r="AH228" s="28">
        <f>IF(AQ228="0",BJ228,0)</f>
        <v>0</v>
      </c>
      <c r="AI228" s="10" t="s">
        <v>50</v>
      </c>
      <c r="AJ228" s="28">
        <f>IF(AN228=0,J228,0)</f>
        <v>0</v>
      </c>
      <c r="AK228" s="28">
        <f>IF(AN228=12,J228,0)</f>
        <v>0</v>
      </c>
      <c r="AL228" s="28">
        <f>IF(AN228=21,J228,0)</f>
        <v>0</v>
      </c>
      <c r="AN228" s="28">
        <v>12</v>
      </c>
      <c r="AO228" s="28">
        <f>G228*0.178658139</f>
        <v>0</v>
      </c>
      <c r="AP228" s="28">
        <f>G228*(1-0.178658139)</f>
        <v>0</v>
      </c>
      <c r="AQ228" s="29" t="s">
        <v>81</v>
      </c>
      <c r="AV228" s="28">
        <f>AW228+AX228</f>
        <v>0</v>
      </c>
      <c r="AW228" s="28">
        <f>F228*AO228</f>
        <v>0</v>
      </c>
      <c r="AX228" s="28">
        <f>F228*AP228</f>
        <v>0</v>
      </c>
      <c r="AY228" s="29" t="s">
        <v>643</v>
      </c>
      <c r="AZ228" s="29" t="s">
        <v>644</v>
      </c>
      <c r="BA228" s="10" t="s">
        <v>60</v>
      </c>
      <c r="BC228" s="28">
        <f>AW228+AX228</f>
        <v>0</v>
      </c>
      <c r="BD228" s="28">
        <f>G228/(100-BE228)*100</f>
        <v>0</v>
      </c>
      <c r="BE228" s="28">
        <v>0</v>
      </c>
      <c r="BF228" s="28">
        <f>228</f>
        <v>228</v>
      </c>
      <c r="BH228" s="28">
        <f>F228*AO228</f>
        <v>0</v>
      </c>
      <c r="BI228" s="28">
        <f>F228*AP228</f>
        <v>0</v>
      </c>
      <c r="BJ228" s="28">
        <f>F228*G228</f>
        <v>0</v>
      </c>
      <c r="BK228" s="28"/>
      <c r="BL228" s="28">
        <v>783</v>
      </c>
      <c r="BW228" s="28">
        <v>12</v>
      </c>
      <c r="BX228" s="4" t="s">
        <v>651</v>
      </c>
    </row>
    <row r="229" spans="1:76" ht="13.5" customHeight="1" x14ac:dyDescent="0.25">
      <c r="A229" s="34"/>
      <c r="B229" s="35" t="s">
        <v>65</v>
      </c>
      <c r="C229" s="117" t="s">
        <v>652</v>
      </c>
      <c r="D229" s="118"/>
      <c r="E229" s="118"/>
      <c r="F229" s="118"/>
      <c r="G229" s="118"/>
      <c r="H229" s="118"/>
      <c r="I229" s="118"/>
      <c r="J229" s="118"/>
      <c r="K229" s="119"/>
    </row>
    <row r="230" spans="1:76" x14ac:dyDescent="0.25">
      <c r="A230" s="24" t="s">
        <v>653</v>
      </c>
      <c r="B230" s="25" t="s">
        <v>654</v>
      </c>
      <c r="C230" s="113" t="s">
        <v>655</v>
      </c>
      <c r="D230" s="114"/>
      <c r="E230" s="25" t="s">
        <v>77</v>
      </c>
      <c r="F230" s="26">
        <v>3.7</v>
      </c>
      <c r="G230" s="26">
        <v>0</v>
      </c>
      <c r="H230" s="26">
        <f>F230*AO230</f>
        <v>0</v>
      </c>
      <c r="I230" s="26">
        <f>F230*AP230</f>
        <v>0</v>
      </c>
      <c r="J230" s="26">
        <f>F230*G230</f>
        <v>0</v>
      </c>
      <c r="K230" s="27" t="s">
        <v>57</v>
      </c>
      <c r="Z230" s="28">
        <f>IF(AQ230="5",BJ230,0)</f>
        <v>0</v>
      </c>
      <c r="AB230" s="28">
        <f>IF(AQ230="1",BH230,0)</f>
        <v>0</v>
      </c>
      <c r="AC230" s="28">
        <f>IF(AQ230="1",BI230,0)</f>
        <v>0</v>
      </c>
      <c r="AD230" s="28">
        <f>IF(AQ230="7",BH230,0)</f>
        <v>0</v>
      </c>
      <c r="AE230" s="28">
        <f>IF(AQ230="7",BI230,0)</f>
        <v>0</v>
      </c>
      <c r="AF230" s="28">
        <f>IF(AQ230="2",BH230,0)</f>
        <v>0</v>
      </c>
      <c r="AG230" s="28">
        <f>IF(AQ230="2",BI230,0)</f>
        <v>0</v>
      </c>
      <c r="AH230" s="28">
        <f>IF(AQ230="0",BJ230,0)</f>
        <v>0</v>
      </c>
      <c r="AI230" s="10" t="s">
        <v>50</v>
      </c>
      <c r="AJ230" s="28">
        <f>IF(AN230=0,J230,0)</f>
        <v>0</v>
      </c>
      <c r="AK230" s="28">
        <f>IF(AN230=12,J230,0)</f>
        <v>0</v>
      </c>
      <c r="AL230" s="28">
        <f>IF(AN230=21,J230,0)</f>
        <v>0</v>
      </c>
      <c r="AN230" s="28">
        <v>12</v>
      </c>
      <c r="AO230" s="28">
        <f>G230*0.189303079</f>
        <v>0</v>
      </c>
      <c r="AP230" s="28">
        <f>G230*(1-0.189303079)</f>
        <v>0</v>
      </c>
      <c r="AQ230" s="29" t="s">
        <v>81</v>
      </c>
      <c r="AV230" s="28">
        <f>AW230+AX230</f>
        <v>0</v>
      </c>
      <c r="AW230" s="28">
        <f>F230*AO230</f>
        <v>0</v>
      </c>
      <c r="AX230" s="28">
        <f>F230*AP230</f>
        <v>0</v>
      </c>
      <c r="AY230" s="29" t="s">
        <v>643</v>
      </c>
      <c r="AZ230" s="29" t="s">
        <v>644</v>
      </c>
      <c r="BA230" s="10" t="s">
        <v>60</v>
      </c>
      <c r="BC230" s="28">
        <f>AW230+AX230</f>
        <v>0</v>
      </c>
      <c r="BD230" s="28">
        <f>G230/(100-BE230)*100</f>
        <v>0</v>
      </c>
      <c r="BE230" s="28">
        <v>0</v>
      </c>
      <c r="BF230" s="28">
        <f>230</f>
        <v>230</v>
      </c>
      <c r="BH230" s="28">
        <f>F230*AO230</f>
        <v>0</v>
      </c>
      <c r="BI230" s="28">
        <f>F230*AP230</f>
        <v>0</v>
      </c>
      <c r="BJ230" s="28">
        <f>F230*G230</f>
        <v>0</v>
      </c>
      <c r="BK230" s="28"/>
      <c r="BL230" s="28">
        <v>783</v>
      </c>
      <c r="BW230" s="28">
        <v>12</v>
      </c>
      <c r="BX230" s="4" t="s">
        <v>655</v>
      </c>
    </row>
    <row r="231" spans="1:76" x14ac:dyDescent="0.25">
      <c r="A231" s="36" t="s">
        <v>50</v>
      </c>
      <c r="B231" s="37" t="s">
        <v>656</v>
      </c>
      <c r="C231" s="120" t="s">
        <v>657</v>
      </c>
      <c r="D231" s="121"/>
      <c r="E231" s="38" t="s">
        <v>4</v>
      </c>
      <c r="F231" s="38" t="s">
        <v>4</v>
      </c>
      <c r="G231" s="38" t="s">
        <v>4</v>
      </c>
      <c r="H231" s="39">
        <f>SUM(H232:H234)</f>
        <v>0</v>
      </c>
      <c r="I231" s="39">
        <f>SUM(I232:I234)</f>
        <v>0</v>
      </c>
      <c r="J231" s="39">
        <f>SUM(J232:J234)</f>
        <v>0</v>
      </c>
      <c r="K231" s="40" t="s">
        <v>50</v>
      </c>
      <c r="AI231" s="10" t="s">
        <v>50</v>
      </c>
      <c r="AS231" s="1">
        <f>SUM(AJ232:AJ234)</f>
        <v>0</v>
      </c>
      <c r="AT231" s="1">
        <f>SUM(AK232:AK234)</f>
        <v>0</v>
      </c>
      <c r="AU231" s="1">
        <f>SUM(AL232:AL234)</f>
        <v>0</v>
      </c>
    </row>
    <row r="232" spans="1:76" x14ac:dyDescent="0.25">
      <c r="A232" s="24" t="s">
        <v>658</v>
      </c>
      <c r="B232" s="25" t="s">
        <v>659</v>
      </c>
      <c r="C232" s="113" t="s">
        <v>660</v>
      </c>
      <c r="D232" s="114"/>
      <c r="E232" s="25" t="s">
        <v>64</v>
      </c>
      <c r="F232" s="26">
        <v>166.74709999999999</v>
      </c>
      <c r="G232" s="26">
        <v>0</v>
      </c>
      <c r="H232" s="26">
        <f>F232*AO232</f>
        <v>0</v>
      </c>
      <c r="I232" s="26">
        <f>F232*AP232</f>
        <v>0</v>
      </c>
      <c r="J232" s="26">
        <f>F232*G232</f>
        <v>0</v>
      </c>
      <c r="K232" s="27" t="s">
        <v>57</v>
      </c>
      <c r="Z232" s="28">
        <f>IF(AQ232="5",BJ232,0)</f>
        <v>0</v>
      </c>
      <c r="AB232" s="28">
        <f>IF(AQ232="1",BH232,0)</f>
        <v>0</v>
      </c>
      <c r="AC232" s="28">
        <f>IF(AQ232="1",BI232,0)</f>
        <v>0</v>
      </c>
      <c r="AD232" s="28">
        <f>IF(AQ232="7",BH232,0)</f>
        <v>0</v>
      </c>
      <c r="AE232" s="28">
        <f>IF(AQ232="7",BI232,0)</f>
        <v>0</v>
      </c>
      <c r="AF232" s="28">
        <f>IF(AQ232="2",BH232,0)</f>
        <v>0</v>
      </c>
      <c r="AG232" s="28">
        <f>IF(AQ232="2",BI232,0)</f>
        <v>0</v>
      </c>
      <c r="AH232" s="28">
        <f>IF(AQ232="0",BJ232,0)</f>
        <v>0</v>
      </c>
      <c r="AI232" s="10" t="s">
        <v>50</v>
      </c>
      <c r="AJ232" s="28">
        <f>IF(AN232=0,J232,0)</f>
        <v>0</v>
      </c>
      <c r="AK232" s="28">
        <f>IF(AN232=12,J232,0)</f>
        <v>0</v>
      </c>
      <c r="AL232" s="28">
        <f>IF(AN232=21,J232,0)</f>
        <v>0</v>
      </c>
      <c r="AN232" s="28">
        <v>12</v>
      </c>
      <c r="AO232" s="28">
        <f>G232*0.002552797</f>
        <v>0</v>
      </c>
      <c r="AP232" s="28">
        <f>G232*(1-0.002552797)</f>
        <v>0</v>
      </c>
      <c r="AQ232" s="29" t="s">
        <v>81</v>
      </c>
      <c r="AV232" s="28">
        <f>AW232+AX232</f>
        <v>0</v>
      </c>
      <c r="AW232" s="28">
        <f>F232*AO232</f>
        <v>0</v>
      </c>
      <c r="AX232" s="28">
        <f>F232*AP232</f>
        <v>0</v>
      </c>
      <c r="AY232" s="29" t="s">
        <v>661</v>
      </c>
      <c r="AZ232" s="29" t="s">
        <v>644</v>
      </c>
      <c r="BA232" s="10" t="s">
        <v>60</v>
      </c>
      <c r="BC232" s="28">
        <f>AW232+AX232</f>
        <v>0</v>
      </c>
      <c r="BD232" s="28">
        <f>G232/(100-BE232)*100</f>
        <v>0</v>
      </c>
      <c r="BE232" s="28">
        <v>0</v>
      </c>
      <c r="BF232" s="28">
        <f>232</f>
        <v>232</v>
      </c>
      <c r="BH232" s="28">
        <f>F232*AO232</f>
        <v>0</v>
      </c>
      <c r="BI232" s="28">
        <f>F232*AP232</f>
        <v>0</v>
      </c>
      <c r="BJ232" s="28">
        <f>F232*G232</f>
        <v>0</v>
      </c>
      <c r="BK232" s="28"/>
      <c r="BL232" s="28">
        <v>784</v>
      </c>
      <c r="BW232" s="28">
        <v>12</v>
      </c>
      <c r="BX232" s="4" t="s">
        <v>660</v>
      </c>
    </row>
    <row r="233" spans="1:76" ht="13.5" customHeight="1" x14ac:dyDescent="0.25">
      <c r="A233" s="34"/>
      <c r="B233" s="35" t="s">
        <v>65</v>
      </c>
      <c r="C233" s="117" t="s">
        <v>662</v>
      </c>
      <c r="D233" s="118"/>
      <c r="E233" s="118"/>
      <c r="F233" s="118"/>
      <c r="G233" s="118"/>
      <c r="H233" s="118"/>
      <c r="I233" s="118"/>
      <c r="J233" s="118"/>
      <c r="K233" s="119"/>
    </row>
    <row r="234" spans="1:76" x14ac:dyDescent="0.25">
      <c r="A234" s="24" t="s">
        <v>663</v>
      </c>
      <c r="B234" s="25" t="s">
        <v>664</v>
      </c>
      <c r="C234" s="113" t="s">
        <v>665</v>
      </c>
      <c r="D234" s="114"/>
      <c r="E234" s="25" t="s">
        <v>64</v>
      </c>
      <c r="F234" s="26">
        <v>179.64510000000001</v>
      </c>
      <c r="G234" s="26">
        <v>0</v>
      </c>
      <c r="H234" s="26">
        <f>F234*AO234</f>
        <v>0</v>
      </c>
      <c r="I234" s="26">
        <f>F234*AP234</f>
        <v>0</v>
      </c>
      <c r="J234" s="26">
        <f>F234*G234</f>
        <v>0</v>
      </c>
      <c r="K234" s="27" t="s">
        <v>57</v>
      </c>
      <c r="Z234" s="28">
        <f>IF(AQ234="5",BJ234,0)</f>
        <v>0</v>
      </c>
      <c r="AB234" s="28">
        <f>IF(AQ234="1",BH234,0)</f>
        <v>0</v>
      </c>
      <c r="AC234" s="28">
        <f>IF(AQ234="1",BI234,0)</f>
        <v>0</v>
      </c>
      <c r="AD234" s="28">
        <f>IF(AQ234="7",BH234,0)</f>
        <v>0</v>
      </c>
      <c r="AE234" s="28">
        <f>IF(AQ234="7",BI234,0)</f>
        <v>0</v>
      </c>
      <c r="AF234" s="28">
        <f>IF(AQ234="2",BH234,0)</f>
        <v>0</v>
      </c>
      <c r="AG234" s="28">
        <f>IF(AQ234="2",BI234,0)</f>
        <v>0</v>
      </c>
      <c r="AH234" s="28">
        <f>IF(AQ234="0",BJ234,0)</f>
        <v>0</v>
      </c>
      <c r="AI234" s="10" t="s">
        <v>50</v>
      </c>
      <c r="AJ234" s="28">
        <f>IF(AN234=0,J234,0)</f>
        <v>0</v>
      </c>
      <c r="AK234" s="28">
        <f>IF(AN234=12,J234,0)</f>
        <v>0</v>
      </c>
      <c r="AL234" s="28">
        <f>IF(AN234=21,J234,0)</f>
        <v>0</v>
      </c>
      <c r="AN234" s="28">
        <v>12</v>
      </c>
      <c r="AO234" s="28">
        <f>G234*0.249417412</f>
        <v>0</v>
      </c>
      <c r="AP234" s="28">
        <f>G234*(1-0.249417412)</f>
        <v>0</v>
      </c>
      <c r="AQ234" s="29" t="s">
        <v>81</v>
      </c>
      <c r="AV234" s="28">
        <f>AW234+AX234</f>
        <v>0</v>
      </c>
      <c r="AW234" s="28">
        <f>F234*AO234</f>
        <v>0</v>
      </c>
      <c r="AX234" s="28">
        <f>F234*AP234</f>
        <v>0</v>
      </c>
      <c r="AY234" s="29" t="s">
        <v>661</v>
      </c>
      <c r="AZ234" s="29" t="s">
        <v>644</v>
      </c>
      <c r="BA234" s="10" t="s">
        <v>60</v>
      </c>
      <c r="BC234" s="28">
        <f>AW234+AX234</f>
        <v>0</v>
      </c>
      <c r="BD234" s="28">
        <f>G234/(100-BE234)*100</f>
        <v>0</v>
      </c>
      <c r="BE234" s="28">
        <v>0</v>
      </c>
      <c r="BF234" s="28">
        <f>234</f>
        <v>234</v>
      </c>
      <c r="BH234" s="28">
        <f>F234*AO234</f>
        <v>0</v>
      </c>
      <c r="BI234" s="28">
        <f>F234*AP234</f>
        <v>0</v>
      </c>
      <c r="BJ234" s="28">
        <f>F234*G234</f>
        <v>0</v>
      </c>
      <c r="BK234" s="28"/>
      <c r="BL234" s="28">
        <v>784</v>
      </c>
      <c r="BW234" s="28">
        <v>12</v>
      </c>
      <c r="BX234" s="4" t="s">
        <v>665</v>
      </c>
    </row>
    <row r="235" spans="1:76" x14ac:dyDescent="0.25">
      <c r="A235" s="36" t="s">
        <v>50</v>
      </c>
      <c r="B235" s="37" t="s">
        <v>368</v>
      </c>
      <c r="C235" s="120" t="s">
        <v>666</v>
      </c>
      <c r="D235" s="121"/>
      <c r="E235" s="38" t="s">
        <v>4</v>
      </c>
      <c r="F235" s="38" t="s">
        <v>4</v>
      </c>
      <c r="G235" s="38" t="s">
        <v>4</v>
      </c>
      <c r="H235" s="39">
        <f>SUM(H236:H239)</f>
        <v>0</v>
      </c>
      <c r="I235" s="39">
        <f>SUM(I236:I239)</f>
        <v>0</v>
      </c>
      <c r="J235" s="39">
        <f>SUM(J236:J239)</f>
        <v>0</v>
      </c>
      <c r="K235" s="40" t="s">
        <v>50</v>
      </c>
      <c r="AI235" s="10" t="s">
        <v>50</v>
      </c>
      <c r="AS235" s="1">
        <f>SUM(AJ236:AJ239)</f>
        <v>0</v>
      </c>
      <c r="AT235" s="1">
        <f>SUM(AK236:AK239)</f>
        <v>0</v>
      </c>
      <c r="AU235" s="1">
        <f>SUM(AL236:AL239)</f>
        <v>0</v>
      </c>
    </row>
    <row r="236" spans="1:76" x14ac:dyDescent="0.25">
      <c r="A236" s="24" t="s">
        <v>667</v>
      </c>
      <c r="B236" s="25" t="s">
        <v>668</v>
      </c>
      <c r="C236" s="113" t="s">
        <v>669</v>
      </c>
      <c r="D236" s="114"/>
      <c r="E236" s="25" t="s">
        <v>56</v>
      </c>
      <c r="F236" s="26">
        <v>1</v>
      </c>
      <c r="G236" s="26">
        <v>0</v>
      </c>
      <c r="H236" s="26">
        <f>F236*AO236</f>
        <v>0</v>
      </c>
      <c r="I236" s="26">
        <f>F236*AP236</f>
        <v>0</v>
      </c>
      <c r="J236" s="26">
        <f>F236*G236</f>
        <v>0</v>
      </c>
      <c r="K236" s="27" t="s">
        <v>57</v>
      </c>
      <c r="Z236" s="28">
        <f>IF(AQ236="5",BJ236,0)</f>
        <v>0</v>
      </c>
      <c r="AB236" s="28">
        <f>IF(AQ236="1",BH236,0)</f>
        <v>0</v>
      </c>
      <c r="AC236" s="28">
        <f>IF(AQ236="1",BI236,0)</f>
        <v>0</v>
      </c>
      <c r="AD236" s="28">
        <f>IF(AQ236="7",BH236,0)</f>
        <v>0</v>
      </c>
      <c r="AE236" s="28">
        <f>IF(AQ236="7",BI236,0)</f>
        <v>0</v>
      </c>
      <c r="AF236" s="28">
        <f>IF(AQ236="2",BH236,0)</f>
        <v>0</v>
      </c>
      <c r="AG236" s="28">
        <f>IF(AQ236="2",BI236,0)</f>
        <v>0</v>
      </c>
      <c r="AH236" s="28">
        <f>IF(AQ236="0",BJ236,0)</f>
        <v>0</v>
      </c>
      <c r="AI236" s="10" t="s">
        <v>50</v>
      </c>
      <c r="AJ236" s="28">
        <f>IF(AN236=0,J236,0)</f>
        <v>0</v>
      </c>
      <c r="AK236" s="28">
        <f>IF(AN236=12,J236,0)</f>
        <v>0</v>
      </c>
      <c r="AL236" s="28">
        <f>IF(AN236=21,J236,0)</f>
        <v>0</v>
      </c>
      <c r="AN236" s="28">
        <v>12</v>
      </c>
      <c r="AO236" s="28">
        <f>G236*0.16970339</f>
        <v>0</v>
      </c>
      <c r="AP236" s="28">
        <f>G236*(1-0.16970339)</f>
        <v>0</v>
      </c>
      <c r="AQ236" s="29" t="s">
        <v>53</v>
      </c>
      <c r="AV236" s="28">
        <f>AW236+AX236</f>
        <v>0</v>
      </c>
      <c r="AW236" s="28">
        <f>F236*AO236</f>
        <v>0</v>
      </c>
      <c r="AX236" s="28">
        <f>F236*AP236</f>
        <v>0</v>
      </c>
      <c r="AY236" s="29" t="s">
        <v>670</v>
      </c>
      <c r="AZ236" s="29" t="s">
        <v>671</v>
      </c>
      <c r="BA236" s="10" t="s">
        <v>60</v>
      </c>
      <c r="BC236" s="28">
        <f>AW236+AX236</f>
        <v>0</v>
      </c>
      <c r="BD236" s="28">
        <f>G236/(100-BE236)*100</f>
        <v>0</v>
      </c>
      <c r="BE236" s="28">
        <v>0</v>
      </c>
      <c r="BF236" s="28">
        <f>236</f>
        <v>236</v>
      </c>
      <c r="BH236" s="28">
        <f>F236*AO236</f>
        <v>0</v>
      </c>
      <c r="BI236" s="28">
        <f>F236*AP236</f>
        <v>0</v>
      </c>
      <c r="BJ236" s="28">
        <f>F236*G236</f>
        <v>0</v>
      </c>
      <c r="BK236" s="28"/>
      <c r="BL236" s="28">
        <v>95</v>
      </c>
      <c r="BW236" s="28">
        <v>12</v>
      </c>
      <c r="BX236" s="4" t="s">
        <v>669</v>
      </c>
    </row>
    <row r="237" spans="1:76" x14ac:dyDescent="0.25">
      <c r="A237" s="30" t="s">
        <v>672</v>
      </c>
      <c r="B237" s="31" t="s">
        <v>673</v>
      </c>
      <c r="C237" s="115" t="s">
        <v>674</v>
      </c>
      <c r="D237" s="116"/>
      <c r="E237" s="31" t="s">
        <v>56</v>
      </c>
      <c r="F237" s="32">
        <v>1</v>
      </c>
      <c r="G237" s="32">
        <v>0</v>
      </c>
      <c r="H237" s="32">
        <f>F237*AO237</f>
        <v>0</v>
      </c>
      <c r="I237" s="32">
        <f>F237*AP237</f>
        <v>0</v>
      </c>
      <c r="J237" s="32">
        <f>F237*G237</f>
        <v>0</v>
      </c>
      <c r="K237" s="33" t="s">
        <v>57</v>
      </c>
      <c r="Z237" s="28">
        <f>IF(AQ237="5",BJ237,0)</f>
        <v>0</v>
      </c>
      <c r="AB237" s="28">
        <f>IF(AQ237="1",BH237,0)</f>
        <v>0</v>
      </c>
      <c r="AC237" s="28">
        <f>IF(AQ237="1",BI237,0)</f>
        <v>0</v>
      </c>
      <c r="AD237" s="28">
        <f>IF(AQ237="7",BH237,0)</f>
        <v>0</v>
      </c>
      <c r="AE237" s="28">
        <f>IF(AQ237="7",BI237,0)</f>
        <v>0</v>
      </c>
      <c r="AF237" s="28">
        <f>IF(AQ237="2",BH237,0)</f>
        <v>0</v>
      </c>
      <c r="AG237" s="28">
        <f>IF(AQ237="2",BI237,0)</f>
        <v>0</v>
      </c>
      <c r="AH237" s="28">
        <f>IF(AQ237="0",BJ237,0)</f>
        <v>0</v>
      </c>
      <c r="AI237" s="10" t="s">
        <v>50</v>
      </c>
      <c r="AJ237" s="28">
        <f>IF(AN237=0,J237,0)</f>
        <v>0</v>
      </c>
      <c r="AK237" s="28">
        <f>IF(AN237=12,J237,0)</f>
        <v>0</v>
      </c>
      <c r="AL237" s="28">
        <f>IF(AN237=21,J237,0)</f>
        <v>0</v>
      </c>
      <c r="AN237" s="28">
        <v>12</v>
      </c>
      <c r="AO237" s="28">
        <f>G237*1</f>
        <v>0</v>
      </c>
      <c r="AP237" s="28">
        <f>G237*(1-1)</f>
        <v>0</v>
      </c>
      <c r="AQ237" s="29" t="s">
        <v>53</v>
      </c>
      <c r="AV237" s="28">
        <f>AW237+AX237</f>
        <v>0</v>
      </c>
      <c r="AW237" s="28">
        <f>F237*AO237</f>
        <v>0</v>
      </c>
      <c r="AX237" s="28">
        <f>F237*AP237</f>
        <v>0</v>
      </c>
      <c r="AY237" s="29" t="s">
        <v>670</v>
      </c>
      <c r="AZ237" s="29" t="s">
        <v>671</v>
      </c>
      <c r="BA237" s="10" t="s">
        <v>60</v>
      </c>
      <c r="BC237" s="28">
        <f>AW237+AX237</f>
        <v>0</v>
      </c>
      <c r="BD237" s="28">
        <f>G237/(100-BE237)*100</f>
        <v>0</v>
      </c>
      <c r="BE237" s="28">
        <v>0</v>
      </c>
      <c r="BF237" s="28">
        <f>237</f>
        <v>237</v>
      </c>
      <c r="BH237" s="28">
        <f>F237*AO237</f>
        <v>0</v>
      </c>
      <c r="BI237" s="28">
        <f>F237*AP237</f>
        <v>0</v>
      </c>
      <c r="BJ237" s="28">
        <f>F237*G237</f>
        <v>0</v>
      </c>
      <c r="BK237" s="28"/>
      <c r="BL237" s="28">
        <v>95</v>
      </c>
      <c r="BW237" s="28">
        <v>12</v>
      </c>
      <c r="BX237" s="4" t="s">
        <v>674</v>
      </c>
    </row>
    <row r="238" spans="1:76" x14ac:dyDescent="0.25">
      <c r="A238" s="30" t="s">
        <v>675</v>
      </c>
      <c r="B238" s="31" t="s">
        <v>676</v>
      </c>
      <c r="C238" s="115" t="s">
        <v>677</v>
      </c>
      <c r="D238" s="116"/>
      <c r="E238" s="31" t="s">
        <v>56</v>
      </c>
      <c r="F238" s="32">
        <v>1</v>
      </c>
      <c r="G238" s="32">
        <v>0</v>
      </c>
      <c r="H238" s="32">
        <f>F238*AO238</f>
        <v>0</v>
      </c>
      <c r="I238" s="32">
        <f>F238*AP238</f>
        <v>0</v>
      </c>
      <c r="J238" s="32">
        <f>F238*G238</f>
        <v>0</v>
      </c>
      <c r="K238" s="33" t="s">
        <v>57</v>
      </c>
      <c r="Z238" s="28">
        <f>IF(AQ238="5",BJ238,0)</f>
        <v>0</v>
      </c>
      <c r="AB238" s="28">
        <f>IF(AQ238="1",BH238,0)</f>
        <v>0</v>
      </c>
      <c r="AC238" s="28">
        <f>IF(AQ238="1",BI238,0)</f>
        <v>0</v>
      </c>
      <c r="AD238" s="28">
        <f>IF(AQ238="7",BH238,0)</f>
        <v>0</v>
      </c>
      <c r="AE238" s="28">
        <f>IF(AQ238="7",BI238,0)</f>
        <v>0</v>
      </c>
      <c r="AF238" s="28">
        <f>IF(AQ238="2",BH238,0)</f>
        <v>0</v>
      </c>
      <c r="AG238" s="28">
        <f>IF(AQ238="2",BI238,0)</f>
        <v>0</v>
      </c>
      <c r="AH238" s="28">
        <f>IF(AQ238="0",BJ238,0)</f>
        <v>0</v>
      </c>
      <c r="AI238" s="10" t="s">
        <v>50</v>
      </c>
      <c r="AJ238" s="28">
        <f>IF(AN238=0,J238,0)</f>
        <v>0</v>
      </c>
      <c r="AK238" s="28">
        <f>IF(AN238=12,J238,0)</f>
        <v>0</v>
      </c>
      <c r="AL238" s="28">
        <f>IF(AN238=21,J238,0)</f>
        <v>0</v>
      </c>
      <c r="AN238" s="28">
        <v>12</v>
      </c>
      <c r="AO238" s="28">
        <f>G238*0</f>
        <v>0</v>
      </c>
      <c r="AP238" s="28">
        <f>G238*(1-0)</f>
        <v>0</v>
      </c>
      <c r="AQ238" s="29" t="s">
        <v>53</v>
      </c>
      <c r="AV238" s="28">
        <f>AW238+AX238</f>
        <v>0</v>
      </c>
      <c r="AW238" s="28">
        <f>F238*AO238</f>
        <v>0</v>
      </c>
      <c r="AX238" s="28">
        <f>F238*AP238</f>
        <v>0</v>
      </c>
      <c r="AY238" s="29" t="s">
        <v>670</v>
      </c>
      <c r="AZ238" s="29" t="s">
        <v>671</v>
      </c>
      <c r="BA238" s="10" t="s">
        <v>60</v>
      </c>
      <c r="BC238" s="28">
        <f>AW238+AX238</f>
        <v>0</v>
      </c>
      <c r="BD238" s="28">
        <f>G238/(100-BE238)*100</f>
        <v>0</v>
      </c>
      <c r="BE238" s="28">
        <v>0</v>
      </c>
      <c r="BF238" s="28">
        <f>238</f>
        <v>238</v>
      </c>
      <c r="BH238" s="28">
        <f>F238*AO238</f>
        <v>0</v>
      </c>
      <c r="BI238" s="28">
        <f>F238*AP238</f>
        <v>0</v>
      </c>
      <c r="BJ238" s="28">
        <f>F238*G238</f>
        <v>0</v>
      </c>
      <c r="BK238" s="28"/>
      <c r="BL238" s="28">
        <v>95</v>
      </c>
      <c r="BW238" s="28">
        <v>12</v>
      </c>
      <c r="BX238" s="4" t="s">
        <v>677</v>
      </c>
    </row>
    <row r="239" spans="1:76" x14ac:dyDescent="0.25">
      <c r="A239" s="30" t="s">
        <v>678</v>
      </c>
      <c r="B239" s="31" t="s">
        <v>679</v>
      </c>
      <c r="C239" s="115" t="s">
        <v>680</v>
      </c>
      <c r="D239" s="116"/>
      <c r="E239" s="31" t="s">
        <v>56</v>
      </c>
      <c r="F239" s="32">
        <v>1</v>
      </c>
      <c r="G239" s="32">
        <v>0</v>
      </c>
      <c r="H239" s="32">
        <f>F239*AO239</f>
        <v>0</v>
      </c>
      <c r="I239" s="32">
        <f>F239*AP239</f>
        <v>0</v>
      </c>
      <c r="J239" s="32">
        <f>F239*G239</f>
        <v>0</v>
      </c>
      <c r="K239" s="33" t="s">
        <v>57</v>
      </c>
      <c r="Z239" s="28">
        <f>IF(AQ239="5",BJ239,0)</f>
        <v>0</v>
      </c>
      <c r="AB239" s="28">
        <f>IF(AQ239="1",BH239,0)</f>
        <v>0</v>
      </c>
      <c r="AC239" s="28">
        <f>IF(AQ239="1",BI239,0)</f>
        <v>0</v>
      </c>
      <c r="AD239" s="28">
        <f>IF(AQ239="7",BH239,0)</f>
        <v>0</v>
      </c>
      <c r="AE239" s="28">
        <f>IF(AQ239="7",BI239,0)</f>
        <v>0</v>
      </c>
      <c r="AF239" s="28">
        <f>IF(AQ239="2",BH239,0)</f>
        <v>0</v>
      </c>
      <c r="AG239" s="28">
        <f>IF(AQ239="2",BI239,0)</f>
        <v>0</v>
      </c>
      <c r="AH239" s="28">
        <f>IF(AQ239="0",BJ239,0)</f>
        <v>0</v>
      </c>
      <c r="AI239" s="10" t="s">
        <v>50</v>
      </c>
      <c r="AJ239" s="28">
        <f>IF(AN239=0,J239,0)</f>
        <v>0</v>
      </c>
      <c r="AK239" s="28">
        <f>IF(AN239=12,J239,0)</f>
        <v>0</v>
      </c>
      <c r="AL239" s="28">
        <f>IF(AN239=21,J239,0)</f>
        <v>0</v>
      </c>
      <c r="AN239" s="28">
        <v>12</v>
      </c>
      <c r="AO239" s="28">
        <f>G239*0</f>
        <v>0</v>
      </c>
      <c r="AP239" s="28">
        <f>G239*(1-0)</f>
        <v>0</v>
      </c>
      <c r="AQ239" s="29" t="s">
        <v>61</v>
      </c>
      <c r="AV239" s="28">
        <f>AW239+AX239</f>
        <v>0</v>
      </c>
      <c r="AW239" s="28">
        <f>F239*AO239</f>
        <v>0</v>
      </c>
      <c r="AX239" s="28">
        <f>F239*AP239</f>
        <v>0</v>
      </c>
      <c r="AY239" s="29" t="s">
        <v>670</v>
      </c>
      <c r="AZ239" s="29" t="s">
        <v>671</v>
      </c>
      <c r="BA239" s="10" t="s">
        <v>60</v>
      </c>
      <c r="BC239" s="28">
        <f>AW239+AX239</f>
        <v>0</v>
      </c>
      <c r="BD239" s="28">
        <f>G239/(100-BE239)*100</f>
        <v>0</v>
      </c>
      <c r="BE239" s="28">
        <v>0</v>
      </c>
      <c r="BF239" s="28">
        <f>239</f>
        <v>239</v>
      </c>
      <c r="BH239" s="28">
        <f>F239*AO239</f>
        <v>0</v>
      </c>
      <c r="BI239" s="28">
        <f>F239*AP239</f>
        <v>0</v>
      </c>
      <c r="BJ239" s="28">
        <f>F239*G239</f>
        <v>0</v>
      </c>
      <c r="BK239" s="28"/>
      <c r="BL239" s="28">
        <v>95</v>
      </c>
      <c r="BW239" s="28">
        <v>12</v>
      </c>
      <c r="BX239" s="4" t="s">
        <v>680</v>
      </c>
    </row>
    <row r="240" spans="1:76" x14ac:dyDescent="0.25">
      <c r="A240" s="36" t="s">
        <v>50</v>
      </c>
      <c r="B240" s="37" t="s">
        <v>681</v>
      </c>
      <c r="C240" s="120" t="s">
        <v>682</v>
      </c>
      <c r="D240" s="121"/>
      <c r="E240" s="38" t="s">
        <v>4</v>
      </c>
      <c r="F240" s="38" t="s">
        <v>4</v>
      </c>
      <c r="G240" s="38" t="s">
        <v>4</v>
      </c>
      <c r="H240" s="39">
        <f>SUM(H241:H275)</f>
        <v>0</v>
      </c>
      <c r="I240" s="39">
        <f>SUM(I241:I275)</f>
        <v>0</v>
      </c>
      <c r="J240" s="39">
        <f>SUM(J241:J275)</f>
        <v>0</v>
      </c>
      <c r="K240" s="40" t="s">
        <v>50</v>
      </c>
      <c r="AI240" s="10" t="s">
        <v>50</v>
      </c>
      <c r="AS240" s="1">
        <f>SUM(AJ241:AJ275)</f>
        <v>0</v>
      </c>
      <c r="AT240" s="1">
        <f>SUM(AK241:AK275)</f>
        <v>0</v>
      </c>
      <c r="AU240" s="1">
        <f>SUM(AL241:AL275)</f>
        <v>0</v>
      </c>
    </row>
    <row r="241" spans="1:76" x14ac:dyDescent="0.25">
      <c r="A241" s="24" t="s">
        <v>683</v>
      </c>
      <c r="B241" s="25" t="s">
        <v>684</v>
      </c>
      <c r="C241" s="113" t="s">
        <v>685</v>
      </c>
      <c r="D241" s="114"/>
      <c r="E241" s="25" t="s">
        <v>686</v>
      </c>
      <c r="F241" s="26">
        <v>1</v>
      </c>
      <c r="G241" s="26">
        <v>0</v>
      </c>
      <c r="H241" s="26">
        <f t="shared" ref="H241:H252" si="286">F241*AO241</f>
        <v>0</v>
      </c>
      <c r="I241" s="26">
        <f t="shared" ref="I241:I252" si="287">F241*AP241</f>
        <v>0</v>
      </c>
      <c r="J241" s="26">
        <f t="shared" ref="J241:J252" si="288">F241*G241</f>
        <v>0</v>
      </c>
      <c r="K241" s="27" t="s">
        <v>57</v>
      </c>
      <c r="Z241" s="28">
        <f t="shared" ref="Z241:Z252" si="289">IF(AQ241="5",BJ241,0)</f>
        <v>0</v>
      </c>
      <c r="AB241" s="28">
        <f t="shared" ref="AB241:AB252" si="290">IF(AQ241="1",BH241,0)</f>
        <v>0</v>
      </c>
      <c r="AC241" s="28">
        <f t="shared" ref="AC241:AC252" si="291">IF(AQ241="1",BI241,0)</f>
        <v>0</v>
      </c>
      <c r="AD241" s="28">
        <f t="shared" ref="AD241:AD252" si="292">IF(AQ241="7",BH241,0)</f>
        <v>0</v>
      </c>
      <c r="AE241" s="28">
        <f t="shared" ref="AE241:AE252" si="293">IF(AQ241="7",BI241,0)</f>
        <v>0</v>
      </c>
      <c r="AF241" s="28">
        <f t="shared" ref="AF241:AF252" si="294">IF(AQ241="2",BH241,0)</f>
        <v>0</v>
      </c>
      <c r="AG241" s="28">
        <f t="shared" ref="AG241:AG252" si="295">IF(AQ241="2",BI241,0)</f>
        <v>0</v>
      </c>
      <c r="AH241" s="28">
        <f t="shared" ref="AH241:AH252" si="296">IF(AQ241="0",BJ241,0)</f>
        <v>0</v>
      </c>
      <c r="AI241" s="10" t="s">
        <v>50</v>
      </c>
      <c r="AJ241" s="28">
        <f t="shared" ref="AJ241:AJ252" si="297">IF(AN241=0,J241,0)</f>
        <v>0</v>
      </c>
      <c r="AK241" s="28">
        <f t="shared" ref="AK241:AK252" si="298">IF(AN241=12,J241,0)</f>
        <v>0</v>
      </c>
      <c r="AL241" s="28">
        <f t="shared" ref="AL241:AL252" si="299">IF(AN241=21,J241,0)</f>
        <v>0</v>
      </c>
      <c r="AN241" s="28">
        <v>12</v>
      </c>
      <c r="AO241" s="28">
        <f>G241*0.111244192</f>
        <v>0</v>
      </c>
      <c r="AP241" s="28">
        <f>G241*(1-0.111244192)</f>
        <v>0</v>
      </c>
      <c r="AQ241" s="29" t="s">
        <v>61</v>
      </c>
      <c r="AV241" s="28">
        <f t="shared" ref="AV241:AV252" si="300">AW241+AX241</f>
        <v>0</v>
      </c>
      <c r="AW241" s="28">
        <f t="shared" ref="AW241:AW252" si="301">F241*AO241</f>
        <v>0</v>
      </c>
      <c r="AX241" s="28">
        <f t="shared" ref="AX241:AX252" si="302">F241*AP241</f>
        <v>0</v>
      </c>
      <c r="AY241" s="29" t="s">
        <v>687</v>
      </c>
      <c r="AZ241" s="29" t="s">
        <v>671</v>
      </c>
      <c r="BA241" s="10" t="s">
        <v>60</v>
      </c>
      <c r="BC241" s="28">
        <f t="shared" ref="BC241:BC252" si="303">AW241+AX241</f>
        <v>0</v>
      </c>
      <c r="BD241" s="28">
        <f t="shared" ref="BD241:BD252" si="304">G241/(100-BE241)*100</f>
        <v>0</v>
      </c>
      <c r="BE241" s="28">
        <v>0</v>
      </c>
      <c r="BF241" s="28">
        <f>241</f>
        <v>241</v>
      </c>
      <c r="BH241" s="28">
        <f t="shared" ref="BH241:BH252" si="305">F241*AO241</f>
        <v>0</v>
      </c>
      <c r="BI241" s="28">
        <f t="shared" ref="BI241:BI252" si="306">F241*AP241</f>
        <v>0</v>
      </c>
      <c r="BJ241" s="28">
        <f t="shared" ref="BJ241:BJ252" si="307">F241*G241</f>
        <v>0</v>
      </c>
      <c r="BK241" s="28"/>
      <c r="BL241" s="28"/>
      <c r="BW241" s="28">
        <v>12</v>
      </c>
      <c r="BX241" s="4" t="s">
        <v>685</v>
      </c>
    </row>
    <row r="242" spans="1:76" x14ac:dyDescent="0.25">
      <c r="A242" s="30" t="s">
        <v>688</v>
      </c>
      <c r="B242" s="31" t="s">
        <v>689</v>
      </c>
      <c r="C242" s="115" t="s">
        <v>690</v>
      </c>
      <c r="D242" s="116"/>
      <c r="E242" s="31" t="s">
        <v>56</v>
      </c>
      <c r="F242" s="32">
        <v>1</v>
      </c>
      <c r="G242" s="32">
        <v>0</v>
      </c>
      <c r="H242" s="32">
        <f t="shared" si="286"/>
        <v>0</v>
      </c>
      <c r="I242" s="32">
        <f t="shared" si="287"/>
        <v>0</v>
      </c>
      <c r="J242" s="32">
        <f t="shared" si="288"/>
        <v>0</v>
      </c>
      <c r="K242" s="33" t="s">
        <v>57</v>
      </c>
      <c r="Z242" s="28">
        <f t="shared" si="289"/>
        <v>0</v>
      </c>
      <c r="AB242" s="28">
        <f t="shared" si="290"/>
        <v>0</v>
      </c>
      <c r="AC242" s="28">
        <f t="shared" si="291"/>
        <v>0</v>
      </c>
      <c r="AD242" s="28">
        <f t="shared" si="292"/>
        <v>0</v>
      </c>
      <c r="AE242" s="28">
        <f t="shared" si="293"/>
        <v>0</v>
      </c>
      <c r="AF242" s="28">
        <f t="shared" si="294"/>
        <v>0</v>
      </c>
      <c r="AG242" s="28">
        <f t="shared" si="295"/>
        <v>0</v>
      </c>
      <c r="AH242" s="28">
        <f t="shared" si="296"/>
        <v>0</v>
      </c>
      <c r="AI242" s="10" t="s">
        <v>50</v>
      </c>
      <c r="AJ242" s="28">
        <f t="shared" si="297"/>
        <v>0</v>
      </c>
      <c r="AK242" s="28">
        <f t="shared" si="298"/>
        <v>0</v>
      </c>
      <c r="AL242" s="28">
        <f t="shared" si="299"/>
        <v>0</v>
      </c>
      <c r="AN242" s="28">
        <v>12</v>
      </c>
      <c r="AO242" s="28">
        <f>G242*0</f>
        <v>0</v>
      </c>
      <c r="AP242" s="28">
        <f>G242*(1-0)</f>
        <v>0</v>
      </c>
      <c r="AQ242" s="29" t="s">
        <v>61</v>
      </c>
      <c r="AV242" s="28">
        <f t="shared" si="300"/>
        <v>0</v>
      </c>
      <c r="AW242" s="28">
        <f t="shared" si="301"/>
        <v>0</v>
      </c>
      <c r="AX242" s="28">
        <f t="shared" si="302"/>
        <v>0</v>
      </c>
      <c r="AY242" s="29" t="s">
        <v>687</v>
      </c>
      <c r="AZ242" s="29" t="s">
        <v>671</v>
      </c>
      <c r="BA242" s="10" t="s">
        <v>60</v>
      </c>
      <c r="BC242" s="28">
        <f t="shared" si="303"/>
        <v>0</v>
      </c>
      <c r="BD242" s="28">
        <f t="shared" si="304"/>
        <v>0</v>
      </c>
      <c r="BE242" s="28">
        <v>0</v>
      </c>
      <c r="BF242" s="28">
        <f>242</f>
        <v>242</v>
      </c>
      <c r="BH242" s="28">
        <f t="shared" si="305"/>
        <v>0</v>
      </c>
      <c r="BI242" s="28">
        <f t="shared" si="306"/>
        <v>0</v>
      </c>
      <c r="BJ242" s="28">
        <f t="shared" si="307"/>
        <v>0</v>
      </c>
      <c r="BK242" s="28"/>
      <c r="BL242" s="28"/>
      <c r="BW242" s="28">
        <v>12</v>
      </c>
      <c r="BX242" s="4" t="s">
        <v>690</v>
      </c>
    </row>
    <row r="243" spans="1:76" x14ac:dyDescent="0.25">
      <c r="A243" s="30" t="s">
        <v>691</v>
      </c>
      <c r="B243" s="31" t="s">
        <v>692</v>
      </c>
      <c r="C243" s="115" t="s">
        <v>693</v>
      </c>
      <c r="D243" s="116"/>
      <c r="E243" s="31" t="s">
        <v>56</v>
      </c>
      <c r="F243" s="32">
        <v>1</v>
      </c>
      <c r="G243" s="32">
        <v>0</v>
      </c>
      <c r="H243" s="32">
        <f t="shared" si="286"/>
        <v>0</v>
      </c>
      <c r="I243" s="32">
        <f t="shared" si="287"/>
        <v>0</v>
      </c>
      <c r="J243" s="32">
        <f t="shared" si="288"/>
        <v>0</v>
      </c>
      <c r="K243" s="33" t="s">
        <v>57</v>
      </c>
      <c r="Z243" s="28">
        <f t="shared" si="289"/>
        <v>0</v>
      </c>
      <c r="AB243" s="28">
        <f t="shared" si="290"/>
        <v>0</v>
      </c>
      <c r="AC243" s="28">
        <f t="shared" si="291"/>
        <v>0</v>
      </c>
      <c r="AD243" s="28">
        <f t="shared" si="292"/>
        <v>0</v>
      </c>
      <c r="AE243" s="28">
        <f t="shared" si="293"/>
        <v>0</v>
      </c>
      <c r="AF243" s="28">
        <f t="shared" si="294"/>
        <v>0</v>
      </c>
      <c r="AG243" s="28">
        <f t="shared" si="295"/>
        <v>0</v>
      </c>
      <c r="AH243" s="28">
        <f t="shared" si="296"/>
        <v>0</v>
      </c>
      <c r="AI243" s="10" t="s">
        <v>50</v>
      </c>
      <c r="AJ243" s="28">
        <f t="shared" si="297"/>
        <v>0</v>
      </c>
      <c r="AK243" s="28">
        <f t="shared" si="298"/>
        <v>0</v>
      </c>
      <c r="AL243" s="28">
        <f t="shared" si="299"/>
        <v>0</v>
      </c>
      <c r="AN243" s="28">
        <v>12</v>
      </c>
      <c r="AO243" s="28">
        <f>G243*1</f>
        <v>0</v>
      </c>
      <c r="AP243" s="28">
        <f>G243*(1-1)</f>
        <v>0</v>
      </c>
      <c r="AQ243" s="29" t="s">
        <v>53</v>
      </c>
      <c r="AV243" s="28">
        <f t="shared" si="300"/>
        <v>0</v>
      </c>
      <c r="AW243" s="28">
        <f t="shared" si="301"/>
        <v>0</v>
      </c>
      <c r="AX243" s="28">
        <f t="shared" si="302"/>
        <v>0</v>
      </c>
      <c r="AY243" s="29" t="s">
        <v>687</v>
      </c>
      <c r="AZ243" s="29" t="s">
        <v>671</v>
      </c>
      <c r="BA243" s="10" t="s">
        <v>60</v>
      </c>
      <c r="BC243" s="28">
        <f t="shared" si="303"/>
        <v>0</v>
      </c>
      <c r="BD243" s="28">
        <f t="shared" si="304"/>
        <v>0</v>
      </c>
      <c r="BE243" s="28">
        <v>0</v>
      </c>
      <c r="BF243" s="28">
        <f>243</f>
        <v>243</v>
      </c>
      <c r="BH243" s="28">
        <f t="shared" si="305"/>
        <v>0</v>
      </c>
      <c r="BI243" s="28">
        <f t="shared" si="306"/>
        <v>0</v>
      </c>
      <c r="BJ243" s="28">
        <f t="shared" si="307"/>
        <v>0</v>
      </c>
      <c r="BK243" s="28"/>
      <c r="BL243" s="28"/>
      <c r="BW243" s="28">
        <v>12</v>
      </c>
      <c r="BX243" s="4" t="s">
        <v>693</v>
      </c>
    </row>
    <row r="244" spans="1:76" x14ac:dyDescent="0.25">
      <c r="A244" s="30" t="s">
        <v>694</v>
      </c>
      <c r="B244" s="31" t="s">
        <v>695</v>
      </c>
      <c r="C244" s="115" t="s">
        <v>696</v>
      </c>
      <c r="D244" s="116"/>
      <c r="E244" s="31" t="s">
        <v>56</v>
      </c>
      <c r="F244" s="32">
        <v>1</v>
      </c>
      <c r="G244" s="32">
        <v>0</v>
      </c>
      <c r="H244" s="32">
        <f t="shared" si="286"/>
        <v>0</v>
      </c>
      <c r="I244" s="32">
        <f t="shared" si="287"/>
        <v>0</v>
      </c>
      <c r="J244" s="32">
        <f t="shared" si="288"/>
        <v>0</v>
      </c>
      <c r="K244" s="33" t="s">
        <v>57</v>
      </c>
      <c r="Z244" s="28">
        <f t="shared" si="289"/>
        <v>0</v>
      </c>
      <c r="AB244" s="28">
        <f t="shared" si="290"/>
        <v>0</v>
      </c>
      <c r="AC244" s="28">
        <f t="shared" si="291"/>
        <v>0</v>
      </c>
      <c r="AD244" s="28">
        <f t="shared" si="292"/>
        <v>0</v>
      </c>
      <c r="AE244" s="28">
        <f t="shared" si="293"/>
        <v>0</v>
      </c>
      <c r="AF244" s="28">
        <f t="shared" si="294"/>
        <v>0</v>
      </c>
      <c r="AG244" s="28">
        <f t="shared" si="295"/>
        <v>0</v>
      </c>
      <c r="AH244" s="28">
        <f t="shared" si="296"/>
        <v>0</v>
      </c>
      <c r="AI244" s="10" t="s">
        <v>50</v>
      </c>
      <c r="AJ244" s="28">
        <f t="shared" si="297"/>
        <v>0</v>
      </c>
      <c r="AK244" s="28">
        <f t="shared" si="298"/>
        <v>0</v>
      </c>
      <c r="AL244" s="28">
        <f t="shared" si="299"/>
        <v>0</v>
      </c>
      <c r="AN244" s="28">
        <v>12</v>
      </c>
      <c r="AO244" s="28">
        <f>G244*0</f>
        <v>0</v>
      </c>
      <c r="AP244" s="28">
        <f>G244*(1-0)</f>
        <v>0</v>
      </c>
      <c r="AQ244" s="29" t="s">
        <v>61</v>
      </c>
      <c r="AV244" s="28">
        <f t="shared" si="300"/>
        <v>0</v>
      </c>
      <c r="AW244" s="28">
        <f t="shared" si="301"/>
        <v>0</v>
      </c>
      <c r="AX244" s="28">
        <f t="shared" si="302"/>
        <v>0</v>
      </c>
      <c r="AY244" s="29" t="s">
        <v>687</v>
      </c>
      <c r="AZ244" s="29" t="s">
        <v>671</v>
      </c>
      <c r="BA244" s="10" t="s">
        <v>60</v>
      </c>
      <c r="BC244" s="28">
        <f t="shared" si="303"/>
        <v>0</v>
      </c>
      <c r="BD244" s="28">
        <f t="shared" si="304"/>
        <v>0</v>
      </c>
      <c r="BE244" s="28">
        <v>0</v>
      </c>
      <c r="BF244" s="28">
        <f>244</f>
        <v>244</v>
      </c>
      <c r="BH244" s="28">
        <f t="shared" si="305"/>
        <v>0</v>
      </c>
      <c r="BI244" s="28">
        <f t="shared" si="306"/>
        <v>0</v>
      </c>
      <c r="BJ244" s="28">
        <f t="shared" si="307"/>
        <v>0</v>
      </c>
      <c r="BK244" s="28"/>
      <c r="BL244" s="28"/>
      <c r="BW244" s="28">
        <v>12</v>
      </c>
      <c r="BX244" s="4" t="s">
        <v>696</v>
      </c>
    </row>
    <row r="245" spans="1:76" x14ac:dyDescent="0.25">
      <c r="A245" s="30" t="s">
        <v>697</v>
      </c>
      <c r="B245" s="31" t="s">
        <v>698</v>
      </c>
      <c r="C245" s="115" t="s">
        <v>699</v>
      </c>
      <c r="D245" s="116"/>
      <c r="E245" s="31" t="s">
        <v>56</v>
      </c>
      <c r="F245" s="32">
        <v>1</v>
      </c>
      <c r="G245" s="32">
        <v>0</v>
      </c>
      <c r="H245" s="32">
        <f t="shared" si="286"/>
        <v>0</v>
      </c>
      <c r="I245" s="32">
        <f t="shared" si="287"/>
        <v>0</v>
      </c>
      <c r="J245" s="32">
        <f t="shared" si="288"/>
        <v>0</v>
      </c>
      <c r="K245" s="33" t="s">
        <v>57</v>
      </c>
      <c r="Z245" s="28">
        <f t="shared" si="289"/>
        <v>0</v>
      </c>
      <c r="AB245" s="28">
        <f t="shared" si="290"/>
        <v>0</v>
      </c>
      <c r="AC245" s="28">
        <f t="shared" si="291"/>
        <v>0</v>
      </c>
      <c r="AD245" s="28">
        <f t="shared" si="292"/>
        <v>0</v>
      </c>
      <c r="AE245" s="28">
        <f t="shared" si="293"/>
        <v>0</v>
      </c>
      <c r="AF245" s="28">
        <f t="shared" si="294"/>
        <v>0</v>
      </c>
      <c r="AG245" s="28">
        <f t="shared" si="295"/>
        <v>0</v>
      </c>
      <c r="AH245" s="28">
        <f t="shared" si="296"/>
        <v>0</v>
      </c>
      <c r="AI245" s="10" t="s">
        <v>50</v>
      </c>
      <c r="AJ245" s="28">
        <f t="shared" si="297"/>
        <v>0</v>
      </c>
      <c r="AK245" s="28">
        <f t="shared" si="298"/>
        <v>0</v>
      </c>
      <c r="AL245" s="28">
        <f t="shared" si="299"/>
        <v>0</v>
      </c>
      <c r="AN245" s="28">
        <v>12</v>
      </c>
      <c r="AO245" s="28">
        <f>G245*1</f>
        <v>0</v>
      </c>
      <c r="AP245" s="28">
        <f>G245*(1-1)</f>
        <v>0</v>
      </c>
      <c r="AQ245" s="29" t="s">
        <v>53</v>
      </c>
      <c r="AV245" s="28">
        <f t="shared" si="300"/>
        <v>0</v>
      </c>
      <c r="AW245" s="28">
        <f t="shared" si="301"/>
        <v>0</v>
      </c>
      <c r="AX245" s="28">
        <f t="shared" si="302"/>
        <v>0</v>
      </c>
      <c r="AY245" s="29" t="s">
        <v>687</v>
      </c>
      <c r="AZ245" s="29" t="s">
        <v>671</v>
      </c>
      <c r="BA245" s="10" t="s">
        <v>60</v>
      </c>
      <c r="BC245" s="28">
        <f t="shared" si="303"/>
        <v>0</v>
      </c>
      <c r="BD245" s="28">
        <f t="shared" si="304"/>
        <v>0</v>
      </c>
      <c r="BE245" s="28">
        <v>0</v>
      </c>
      <c r="BF245" s="28">
        <f>245</f>
        <v>245</v>
      </c>
      <c r="BH245" s="28">
        <f t="shared" si="305"/>
        <v>0</v>
      </c>
      <c r="BI245" s="28">
        <f t="shared" si="306"/>
        <v>0</v>
      </c>
      <c r="BJ245" s="28">
        <f t="shared" si="307"/>
        <v>0</v>
      </c>
      <c r="BK245" s="28"/>
      <c r="BL245" s="28"/>
      <c r="BW245" s="28">
        <v>12</v>
      </c>
      <c r="BX245" s="4" t="s">
        <v>699</v>
      </c>
    </row>
    <row r="246" spans="1:76" x14ac:dyDescent="0.25">
      <c r="A246" s="30" t="s">
        <v>700</v>
      </c>
      <c r="B246" s="31" t="s">
        <v>701</v>
      </c>
      <c r="C246" s="115" t="s">
        <v>702</v>
      </c>
      <c r="D246" s="116"/>
      <c r="E246" s="31" t="s">
        <v>56</v>
      </c>
      <c r="F246" s="32">
        <v>1</v>
      </c>
      <c r="G246" s="32">
        <v>0</v>
      </c>
      <c r="H246" s="32">
        <f t="shared" si="286"/>
        <v>0</v>
      </c>
      <c r="I246" s="32">
        <f t="shared" si="287"/>
        <v>0</v>
      </c>
      <c r="J246" s="32">
        <f t="shared" si="288"/>
        <v>0</v>
      </c>
      <c r="K246" s="33" t="s">
        <v>57</v>
      </c>
      <c r="Z246" s="28">
        <f t="shared" si="289"/>
        <v>0</v>
      </c>
      <c r="AB246" s="28">
        <f t="shared" si="290"/>
        <v>0</v>
      </c>
      <c r="AC246" s="28">
        <f t="shared" si="291"/>
        <v>0</v>
      </c>
      <c r="AD246" s="28">
        <f t="shared" si="292"/>
        <v>0</v>
      </c>
      <c r="AE246" s="28">
        <f t="shared" si="293"/>
        <v>0</v>
      </c>
      <c r="AF246" s="28">
        <f t="shared" si="294"/>
        <v>0</v>
      </c>
      <c r="AG246" s="28">
        <f t="shared" si="295"/>
        <v>0</v>
      </c>
      <c r="AH246" s="28">
        <f t="shared" si="296"/>
        <v>0</v>
      </c>
      <c r="AI246" s="10" t="s">
        <v>50</v>
      </c>
      <c r="AJ246" s="28">
        <f t="shared" si="297"/>
        <v>0</v>
      </c>
      <c r="AK246" s="28">
        <f t="shared" si="298"/>
        <v>0</v>
      </c>
      <c r="AL246" s="28">
        <f t="shared" si="299"/>
        <v>0</v>
      </c>
      <c r="AN246" s="28">
        <v>12</v>
      </c>
      <c r="AO246" s="28">
        <f>G246*0</f>
        <v>0</v>
      </c>
      <c r="AP246" s="28">
        <f>G246*(1-0)</f>
        <v>0</v>
      </c>
      <c r="AQ246" s="29" t="s">
        <v>61</v>
      </c>
      <c r="AV246" s="28">
        <f t="shared" si="300"/>
        <v>0</v>
      </c>
      <c r="AW246" s="28">
        <f t="shared" si="301"/>
        <v>0</v>
      </c>
      <c r="AX246" s="28">
        <f t="shared" si="302"/>
        <v>0</v>
      </c>
      <c r="AY246" s="29" t="s">
        <v>687</v>
      </c>
      <c r="AZ246" s="29" t="s">
        <v>671</v>
      </c>
      <c r="BA246" s="10" t="s">
        <v>60</v>
      </c>
      <c r="BC246" s="28">
        <f t="shared" si="303"/>
        <v>0</v>
      </c>
      <c r="BD246" s="28">
        <f t="shared" si="304"/>
        <v>0</v>
      </c>
      <c r="BE246" s="28">
        <v>0</v>
      </c>
      <c r="BF246" s="28">
        <f>246</f>
        <v>246</v>
      </c>
      <c r="BH246" s="28">
        <f t="shared" si="305"/>
        <v>0</v>
      </c>
      <c r="BI246" s="28">
        <f t="shared" si="306"/>
        <v>0</v>
      </c>
      <c r="BJ246" s="28">
        <f t="shared" si="307"/>
        <v>0</v>
      </c>
      <c r="BK246" s="28"/>
      <c r="BL246" s="28"/>
      <c r="BW246" s="28">
        <v>12</v>
      </c>
      <c r="BX246" s="4" t="s">
        <v>702</v>
      </c>
    </row>
    <row r="247" spans="1:76" x14ac:dyDescent="0.25">
      <c r="A247" s="30" t="s">
        <v>703</v>
      </c>
      <c r="B247" s="31" t="s">
        <v>704</v>
      </c>
      <c r="C247" s="115" t="s">
        <v>705</v>
      </c>
      <c r="D247" s="116"/>
      <c r="E247" s="31" t="s">
        <v>56</v>
      </c>
      <c r="F247" s="32">
        <v>1</v>
      </c>
      <c r="G247" s="32">
        <v>0</v>
      </c>
      <c r="H247" s="32">
        <f t="shared" si="286"/>
        <v>0</v>
      </c>
      <c r="I247" s="32">
        <f t="shared" si="287"/>
        <v>0</v>
      </c>
      <c r="J247" s="32">
        <f t="shared" si="288"/>
        <v>0</v>
      </c>
      <c r="K247" s="33" t="s">
        <v>57</v>
      </c>
      <c r="Z247" s="28">
        <f t="shared" si="289"/>
        <v>0</v>
      </c>
      <c r="AB247" s="28">
        <f t="shared" si="290"/>
        <v>0</v>
      </c>
      <c r="AC247" s="28">
        <f t="shared" si="291"/>
        <v>0</v>
      </c>
      <c r="AD247" s="28">
        <f t="shared" si="292"/>
        <v>0</v>
      </c>
      <c r="AE247" s="28">
        <f t="shared" si="293"/>
        <v>0</v>
      </c>
      <c r="AF247" s="28">
        <f t="shared" si="294"/>
        <v>0</v>
      </c>
      <c r="AG247" s="28">
        <f t="shared" si="295"/>
        <v>0</v>
      </c>
      <c r="AH247" s="28">
        <f t="shared" si="296"/>
        <v>0</v>
      </c>
      <c r="AI247" s="10" t="s">
        <v>50</v>
      </c>
      <c r="AJ247" s="28">
        <f t="shared" si="297"/>
        <v>0</v>
      </c>
      <c r="AK247" s="28">
        <f t="shared" si="298"/>
        <v>0</v>
      </c>
      <c r="AL247" s="28">
        <f t="shared" si="299"/>
        <v>0</v>
      </c>
      <c r="AN247" s="28">
        <v>12</v>
      </c>
      <c r="AO247" s="28">
        <f>G247*1</f>
        <v>0</v>
      </c>
      <c r="AP247" s="28">
        <f>G247*(1-1)</f>
        <v>0</v>
      </c>
      <c r="AQ247" s="29" t="s">
        <v>53</v>
      </c>
      <c r="AV247" s="28">
        <f t="shared" si="300"/>
        <v>0</v>
      </c>
      <c r="AW247" s="28">
        <f t="shared" si="301"/>
        <v>0</v>
      </c>
      <c r="AX247" s="28">
        <f t="shared" si="302"/>
        <v>0</v>
      </c>
      <c r="AY247" s="29" t="s">
        <v>687</v>
      </c>
      <c r="AZ247" s="29" t="s">
        <v>671</v>
      </c>
      <c r="BA247" s="10" t="s">
        <v>60</v>
      </c>
      <c r="BC247" s="28">
        <f t="shared" si="303"/>
        <v>0</v>
      </c>
      <c r="BD247" s="28">
        <f t="shared" si="304"/>
        <v>0</v>
      </c>
      <c r="BE247" s="28">
        <v>0</v>
      </c>
      <c r="BF247" s="28">
        <f>247</f>
        <v>247</v>
      </c>
      <c r="BH247" s="28">
        <f t="shared" si="305"/>
        <v>0</v>
      </c>
      <c r="BI247" s="28">
        <f t="shared" si="306"/>
        <v>0</v>
      </c>
      <c r="BJ247" s="28">
        <f t="shared" si="307"/>
        <v>0</v>
      </c>
      <c r="BK247" s="28"/>
      <c r="BL247" s="28"/>
      <c r="BW247" s="28">
        <v>12</v>
      </c>
      <c r="BX247" s="4" t="s">
        <v>705</v>
      </c>
    </row>
    <row r="248" spans="1:76" x14ac:dyDescent="0.25">
      <c r="A248" s="30" t="s">
        <v>706</v>
      </c>
      <c r="B248" s="31" t="s">
        <v>707</v>
      </c>
      <c r="C248" s="115" t="s">
        <v>708</v>
      </c>
      <c r="D248" s="116"/>
      <c r="E248" s="31" t="s">
        <v>56</v>
      </c>
      <c r="F248" s="32">
        <v>9</v>
      </c>
      <c r="G248" s="32">
        <v>0</v>
      </c>
      <c r="H248" s="32">
        <f t="shared" si="286"/>
        <v>0</v>
      </c>
      <c r="I248" s="32">
        <f t="shared" si="287"/>
        <v>0</v>
      </c>
      <c r="J248" s="32">
        <f t="shared" si="288"/>
        <v>0</v>
      </c>
      <c r="K248" s="33" t="s">
        <v>57</v>
      </c>
      <c r="Z248" s="28">
        <f t="shared" si="289"/>
        <v>0</v>
      </c>
      <c r="AB248" s="28">
        <f t="shared" si="290"/>
        <v>0</v>
      </c>
      <c r="AC248" s="28">
        <f t="shared" si="291"/>
        <v>0</v>
      </c>
      <c r="AD248" s="28">
        <f t="shared" si="292"/>
        <v>0</v>
      </c>
      <c r="AE248" s="28">
        <f t="shared" si="293"/>
        <v>0</v>
      </c>
      <c r="AF248" s="28">
        <f t="shared" si="294"/>
        <v>0</v>
      </c>
      <c r="AG248" s="28">
        <f t="shared" si="295"/>
        <v>0</v>
      </c>
      <c r="AH248" s="28">
        <f t="shared" si="296"/>
        <v>0</v>
      </c>
      <c r="AI248" s="10" t="s">
        <v>50</v>
      </c>
      <c r="AJ248" s="28">
        <f t="shared" si="297"/>
        <v>0</v>
      </c>
      <c r="AK248" s="28">
        <f t="shared" si="298"/>
        <v>0</v>
      </c>
      <c r="AL248" s="28">
        <f t="shared" si="299"/>
        <v>0</v>
      </c>
      <c r="AN248" s="28">
        <v>12</v>
      </c>
      <c r="AO248" s="28">
        <f>G248*0</f>
        <v>0</v>
      </c>
      <c r="AP248" s="28">
        <f>G248*(1-0)</f>
        <v>0</v>
      </c>
      <c r="AQ248" s="29" t="s">
        <v>61</v>
      </c>
      <c r="AV248" s="28">
        <f t="shared" si="300"/>
        <v>0</v>
      </c>
      <c r="AW248" s="28">
        <f t="shared" si="301"/>
        <v>0</v>
      </c>
      <c r="AX248" s="28">
        <f t="shared" si="302"/>
        <v>0</v>
      </c>
      <c r="AY248" s="29" t="s">
        <v>687</v>
      </c>
      <c r="AZ248" s="29" t="s">
        <v>671</v>
      </c>
      <c r="BA248" s="10" t="s">
        <v>60</v>
      </c>
      <c r="BC248" s="28">
        <f t="shared" si="303"/>
        <v>0</v>
      </c>
      <c r="BD248" s="28">
        <f t="shared" si="304"/>
        <v>0</v>
      </c>
      <c r="BE248" s="28">
        <v>0</v>
      </c>
      <c r="BF248" s="28">
        <f>248</f>
        <v>248</v>
      </c>
      <c r="BH248" s="28">
        <f t="shared" si="305"/>
        <v>0</v>
      </c>
      <c r="BI248" s="28">
        <f t="shared" si="306"/>
        <v>0</v>
      </c>
      <c r="BJ248" s="28">
        <f t="shared" si="307"/>
        <v>0</v>
      </c>
      <c r="BK248" s="28"/>
      <c r="BL248" s="28"/>
      <c r="BW248" s="28">
        <v>12</v>
      </c>
      <c r="BX248" s="4" t="s">
        <v>708</v>
      </c>
    </row>
    <row r="249" spans="1:76" x14ac:dyDescent="0.25">
      <c r="A249" s="30" t="s">
        <v>709</v>
      </c>
      <c r="B249" s="31" t="s">
        <v>710</v>
      </c>
      <c r="C249" s="115" t="s">
        <v>711</v>
      </c>
      <c r="D249" s="116"/>
      <c r="E249" s="31" t="s">
        <v>56</v>
      </c>
      <c r="F249" s="32">
        <v>2</v>
      </c>
      <c r="G249" s="32">
        <v>0</v>
      </c>
      <c r="H249" s="32">
        <f t="shared" si="286"/>
        <v>0</v>
      </c>
      <c r="I249" s="32">
        <f t="shared" si="287"/>
        <v>0</v>
      </c>
      <c r="J249" s="32">
        <f t="shared" si="288"/>
        <v>0</v>
      </c>
      <c r="K249" s="33" t="s">
        <v>57</v>
      </c>
      <c r="Z249" s="28">
        <f t="shared" si="289"/>
        <v>0</v>
      </c>
      <c r="AB249" s="28">
        <f t="shared" si="290"/>
        <v>0</v>
      </c>
      <c r="AC249" s="28">
        <f t="shared" si="291"/>
        <v>0</v>
      </c>
      <c r="AD249" s="28">
        <f t="shared" si="292"/>
        <v>0</v>
      </c>
      <c r="AE249" s="28">
        <f t="shared" si="293"/>
        <v>0</v>
      </c>
      <c r="AF249" s="28">
        <f t="shared" si="294"/>
        <v>0</v>
      </c>
      <c r="AG249" s="28">
        <f t="shared" si="295"/>
        <v>0</v>
      </c>
      <c r="AH249" s="28">
        <f t="shared" si="296"/>
        <v>0</v>
      </c>
      <c r="AI249" s="10" t="s">
        <v>50</v>
      </c>
      <c r="AJ249" s="28">
        <f t="shared" si="297"/>
        <v>0</v>
      </c>
      <c r="AK249" s="28">
        <f t="shared" si="298"/>
        <v>0</v>
      </c>
      <c r="AL249" s="28">
        <f t="shared" si="299"/>
        <v>0</v>
      </c>
      <c r="AN249" s="28">
        <v>12</v>
      </c>
      <c r="AO249" s="28">
        <f>G249*1</f>
        <v>0</v>
      </c>
      <c r="AP249" s="28">
        <f>G249*(1-1)</f>
        <v>0</v>
      </c>
      <c r="AQ249" s="29" t="s">
        <v>53</v>
      </c>
      <c r="AV249" s="28">
        <f t="shared" si="300"/>
        <v>0</v>
      </c>
      <c r="AW249" s="28">
        <f t="shared" si="301"/>
        <v>0</v>
      </c>
      <c r="AX249" s="28">
        <f t="shared" si="302"/>
        <v>0</v>
      </c>
      <c r="AY249" s="29" t="s">
        <v>687</v>
      </c>
      <c r="AZ249" s="29" t="s">
        <v>671</v>
      </c>
      <c r="BA249" s="10" t="s">
        <v>60</v>
      </c>
      <c r="BC249" s="28">
        <f t="shared" si="303"/>
        <v>0</v>
      </c>
      <c r="BD249" s="28">
        <f t="shared" si="304"/>
        <v>0</v>
      </c>
      <c r="BE249" s="28">
        <v>0</v>
      </c>
      <c r="BF249" s="28">
        <f>249</f>
        <v>249</v>
      </c>
      <c r="BH249" s="28">
        <f t="shared" si="305"/>
        <v>0</v>
      </c>
      <c r="BI249" s="28">
        <f t="shared" si="306"/>
        <v>0</v>
      </c>
      <c r="BJ249" s="28">
        <f t="shared" si="307"/>
        <v>0</v>
      </c>
      <c r="BK249" s="28"/>
      <c r="BL249" s="28"/>
      <c r="BW249" s="28">
        <v>12</v>
      </c>
      <c r="BX249" s="4" t="s">
        <v>711</v>
      </c>
    </row>
    <row r="250" spans="1:76" x14ac:dyDescent="0.25">
      <c r="A250" s="30" t="s">
        <v>712</v>
      </c>
      <c r="B250" s="31" t="s">
        <v>713</v>
      </c>
      <c r="C250" s="115" t="s">
        <v>714</v>
      </c>
      <c r="D250" s="116"/>
      <c r="E250" s="31" t="s">
        <v>56</v>
      </c>
      <c r="F250" s="32">
        <v>1</v>
      </c>
      <c r="G250" s="32">
        <v>0</v>
      </c>
      <c r="H250" s="32">
        <f t="shared" si="286"/>
        <v>0</v>
      </c>
      <c r="I250" s="32">
        <f t="shared" si="287"/>
        <v>0</v>
      </c>
      <c r="J250" s="32">
        <f t="shared" si="288"/>
        <v>0</v>
      </c>
      <c r="K250" s="33" t="s">
        <v>57</v>
      </c>
      <c r="Z250" s="28">
        <f t="shared" si="289"/>
        <v>0</v>
      </c>
      <c r="AB250" s="28">
        <f t="shared" si="290"/>
        <v>0</v>
      </c>
      <c r="AC250" s="28">
        <f t="shared" si="291"/>
        <v>0</v>
      </c>
      <c r="AD250" s="28">
        <f t="shared" si="292"/>
        <v>0</v>
      </c>
      <c r="AE250" s="28">
        <f t="shared" si="293"/>
        <v>0</v>
      </c>
      <c r="AF250" s="28">
        <f t="shared" si="294"/>
        <v>0</v>
      </c>
      <c r="AG250" s="28">
        <f t="shared" si="295"/>
        <v>0</v>
      </c>
      <c r="AH250" s="28">
        <f t="shared" si="296"/>
        <v>0</v>
      </c>
      <c r="AI250" s="10" t="s">
        <v>50</v>
      </c>
      <c r="AJ250" s="28">
        <f t="shared" si="297"/>
        <v>0</v>
      </c>
      <c r="AK250" s="28">
        <f t="shared" si="298"/>
        <v>0</v>
      </c>
      <c r="AL250" s="28">
        <f t="shared" si="299"/>
        <v>0</v>
      </c>
      <c r="AN250" s="28">
        <v>12</v>
      </c>
      <c r="AO250" s="28">
        <f>G250*1</f>
        <v>0</v>
      </c>
      <c r="AP250" s="28">
        <f>G250*(1-1)</f>
        <v>0</v>
      </c>
      <c r="AQ250" s="29" t="s">
        <v>53</v>
      </c>
      <c r="AV250" s="28">
        <f t="shared" si="300"/>
        <v>0</v>
      </c>
      <c r="AW250" s="28">
        <f t="shared" si="301"/>
        <v>0</v>
      </c>
      <c r="AX250" s="28">
        <f t="shared" si="302"/>
        <v>0</v>
      </c>
      <c r="AY250" s="29" t="s">
        <v>687</v>
      </c>
      <c r="AZ250" s="29" t="s">
        <v>671</v>
      </c>
      <c r="BA250" s="10" t="s">
        <v>60</v>
      </c>
      <c r="BC250" s="28">
        <f t="shared" si="303"/>
        <v>0</v>
      </c>
      <c r="BD250" s="28">
        <f t="shared" si="304"/>
        <v>0</v>
      </c>
      <c r="BE250" s="28">
        <v>0</v>
      </c>
      <c r="BF250" s="28">
        <f>250</f>
        <v>250</v>
      </c>
      <c r="BH250" s="28">
        <f t="shared" si="305"/>
        <v>0</v>
      </c>
      <c r="BI250" s="28">
        <f t="shared" si="306"/>
        <v>0</v>
      </c>
      <c r="BJ250" s="28">
        <f t="shared" si="307"/>
        <v>0</v>
      </c>
      <c r="BK250" s="28"/>
      <c r="BL250" s="28"/>
      <c r="BW250" s="28">
        <v>12</v>
      </c>
      <c r="BX250" s="4" t="s">
        <v>714</v>
      </c>
    </row>
    <row r="251" spans="1:76" x14ac:dyDescent="0.25">
      <c r="A251" s="30" t="s">
        <v>715</v>
      </c>
      <c r="B251" s="31" t="s">
        <v>716</v>
      </c>
      <c r="C251" s="115" t="s">
        <v>717</v>
      </c>
      <c r="D251" s="116"/>
      <c r="E251" s="31" t="s">
        <v>56</v>
      </c>
      <c r="F251" s="32">
        <v>6</v>
      </c>
      <c r="G251" s="32">
        <v>0</v>
      </c>
      <c r="H251" s="32">
        <f t="shared" si="286"/>
        <v>0</v>
      </c>
      <c r="I251" s="32">
        <f t="shared" si="287"/>
        <v>0</v>
      </c>
      <c r="J251" s="32">
        <f t="shared" si="288"/>
        <v>0</v>
      </c>
      <c r="K251" s="33" t="s">
        <v>57</v>
      </c>
      <c r="Z251" s="28">
        <f t="shared" si="289"/>
        <v>0</v>
      </c>
      <c r="AB251" s="28">
        <f t="shared" si="290"/>
        <v>0</v>
      </c>
      <c r="AC251" s="28">
        <f t="shared" si="291"/>
        <v>0</v>
      </c>
      <c r="AD251" s="28">
        <f t="shared" si="292"/>
        <v>0</v>
      </c>
      <c r="AE251" s="28">
        <f t="shared" si="293"/>
        <v>0</v>
      </c>
      <c r="AF251" s="28">
        <f t="shared" si="294"/>
        <v>0</v>
      </c>
      <c r="AG251" s="28">
        <f t="shared" si="295"/>
        <v>0</v>
      </c>
      <c r="AH251" s="28">
        <f t="shared" si="296"/>
        <v>0</v>
      </c>
      <c r="AI251" s="10" t="s">
        <v>50</v>
      </c>
      <c r="AJ251" s="28">
        <f t="shared" si="297"/>
        <v>0</v>
      </c>
      <c r="AK251" s="28">
        <f t="shared" si="298"/>
        <v>0</v>
      </c>
      <c r="AL251" s="28">
        <f t="shared" si="299"/>
        <v>0</v>
      </c>
      <c r="AN251" s="28">
        <v>12</v>
      </c>
      <c r="AO251" s="28">
        <f>G251*1</f>
        <v>0</v>
      </c>
      <c r="AP251" s="28">
        <f>G251*(1-1)</f>
        <v>0</v>
      </c>
      <c r="AQ251" s="29" t="s">
        <v>53</v>
      </c>
      <c r="AV251" s="28">
        <f t="shared" si="300"/>
        <v>0</v>
      </c>
      <c r="AW251" s="28">
        <f t="shared" si="301"/>
        <v>0</v>
      </c>
      <c r="AX251" s="28">
        <f t="shared" si="302"/>
        <v>0</v>
      </c>
      <c r="AY251" s="29" t="s">
        <v>687</v>
      </c>
      <c r="AZ251" s="29" t="s">
        <v>671</v>
      </c>
      <c r="BA251" s="10" t="s">
        <v>60</v>
      </c>
      <c r="BC251" s="28">
        <f t="shared" si="303"/>
        <v>0</v>
      </c>
      <c r="BD251" s="28">
        <f t="shared" si="304"/>
        <v>0</v>
      </c>
      <c r="BE251" s="28">
        <v>0</v>
      </c>
      <c r="BF251" s="28">
        <f>251</f>
        <v>251</v>
      </c>
      <c r="BH251" s="28">
        <f t="shared" si="305"/>
        <v>0</v>
      </c>
      <c r="BI251" s="28">
        <f t="shared" si="306"/>
        <v>0</v>
      </c>
      <c r="BJ251" s="28">
        <f t="shared" si="307"/>
        <v>0</v>
      </c>
      <c r="BK251" s="28"/>
      <c r="BL251" s="28"/>
      <c r="BW251" s="28">
        <v>12</v>
      </c>
      <c r="BX251" s="4" t="s">
        <v>717</v>
      </c>
    </row>
    <row r="252" spans="1:76" x14ac:dyDescent="0.25">
      <c r="A252" s="30" t="s">
        <v>718</v>
      </c>
      <c r="B252" s="31" t="s">
        <v>719</v>
      </c>
      <c r="C252" s="115" t="s">
        <v>720</v>
      </c>
      <c r="D252" s="116"/>
      <c r="E252" s="31" t="s">
        <v>56</v>
      </c>
      <c r="F252" s="32">
        <v>21</v>
      </c>
      <c r="G252" s="32">
        <v>0</v>
      </c>
      <c r="H252" s="32">
        <f t="shared" si="286"/>
        <v>0</v>
      </c>
      <c r="I252" s="32">
        <f t="shared" si="287"/>
        <v>0</v>
      </c>
      <c r="J252" s="32">
        <f t="shared" si="288"/>
        <v>0</v>
      </c>
      <c r="K252" s="33" t="s">
        <v>57</v>
      </c>
      <c r="Z252" s="28">
        <f t="shared" si="289"/>
        <v>0</v>
      </c>
      <c r="AB252" s="28">
        <f t="shared" si="290"/>
        <v>0</v>
      </c>
      <c r="AC252" s="28">
        <f t="shared" si="291"/>
        <v>0</v>
      </c>
      <c r="AD252" s="28">
        <f t="shared" si="292"/>
        <v>0</v>
      </c>
      <c r="AE252" s="28">
        <f t="shared" si="293"/>
        <v>0</v>
      </c>
      <c r="AF252" s="28">
        <f t="shared" si="294"/>
        <v>0</v>
      </c>
      <c r="AG252" s="28">
        <f t="shared" si="295"/>
        <v>0</v>
      </c>
      <c r="AH252" s="28">
        <f t="shared" si="296"/>
        <v>0</v>
      </c>
      <c r="AI252" s="10" t="s">
        <v>50</v>
      </c>
      <c r="AJ252" s="28">
        <f t="shared" si="297"/>
        <v>0</v>
      </c>
      <c r="AK252" s="28">
        <f t="shared" si="298"/>
        <v>0</v>
      </c>
      <c r="AL252" s="28">
        <f t="shared" si="299"/>
        <v>0</v>
      </c>
      <c r="AN252" s="28">
        <v>12</v>
      </c>
      <c r="AO252" s="28">
        <f>G252*0.567125382</f>
        <v>0</v>
      </c>
      <c r="AP252" s="28">
        <f>G252*(1-0.567125382)</f>
        <v>0</v>
      </c>
      <c r="AQ252" s="29" t="s">
        <v>61</v>
      </c>
      <c r="AV252" s="28">
        <f t="shared" si="300"/>
        <v>0</v>
      </c>
      <c r="AW252" s="28">
        <f t="shared" si="301"/>
        <v>0</v>
      </c>
      <c r="AX252" s="28">
        <f t="shared" si="302"/>
        <v>0</v>
      </c>
      <c r="AY252" s="29" t="s">
        <v>687</v>
      </c>
      <c r="AZ252" s="29" t="s">
        <v>671</v>
      </c>
      <c r="BA252" s="10" t="s">
        <v>60</v>
      </c>
      <c r="BC252" s="28">
        <f t="shared" si="303"/>
        <v>0</v>
      </c>
      <c r="BD252" s="28">
        <f t="shared" si="304"/>
        <v>0</v>
      </c>
      <c r="BE252" s="28">
        <v>0</v>
      </c>
      <c r="BF252" s="28">
        <f>252</f>
        <v>252</v>
      </c>
      <c r="BH252" s="28">
        <f t="shared" si="305"/>
        <v>0</v>
      </c>
      <c r="BI252" s="28">
        <f t="shared" si="306"/>
        <v>0</v>
      </c>
      <c r="BJ252" s="28">
        <f t="shared" si="307"/>
        <v>0</v>
      </c>
      <c r="BK252" s="28"/>
      <c r="BL252" s="28"/>
      <c r="BW252" s="28">
        <v>12</v>
      </c>
      <c r="BX252" s="4" t="s">
        <v>720</v>
      </c>
    </row>
    <row r="253" spans="1:76" ht="13.5" customHeight="1" x14ac:dyDescent="0.25">
      <c r="A253" s="34"/>
      <c r="B253" s="35" t="s">
        <v>65</v>
      </c>
      <c r="C253" s="117" t="s">
        <v>721</v>
      </c>
      <c r="D253" s="118"/>
      <c r="E253" s="118"/>
      <c r="F253" s="118"/>
      <c r="G253" s="118"/>
      <c r="H253" s="118"/>
      <c r="I253" s="118"/>
      <c r="J253" s="118"/>
      <c r="K253" s="119"/>
    </row>
    <row r="254" spans="1:76" x14ac:dyDescent="0.25">
      <c r="A254" s="24" t="s">
        <v>722</v>
      </c>
      <c r="B254" s="25" t="s">
        <v>723</v>
      </c>
      <c r="C254" s="113" t="s">
        <v>724</v>
      </c>
      <c r="D254" s="114"/>
      <c r="E254" s="25" t="s">
        <v>56</v>
      </c>
      <c r="F254" s="26">
        <v>3</v>
      </c>
      <c r="G254" s="26">
        <v>0</v>
      </c>
      <c r="H254" s="26">
        <f>F254*AO254</f>
        <v>0</v>
      </c>
      <c r="I254" s="26">
        <f>F254*AP254</f>
        <v>0</v>
      </c>
      <c r="J254" s="26">
        <f>F254*G254</f>
        <v>0</v>
      </c>
      <c r="K254" s="27" t="s">
        <v>57</v>
      </c>
      <c r="Z254" s="28">
        <f>IF(AQ254="5",BJ254,0)</f>
        <v>0</v>
      </c>
      <c r="AB254" s="28">
        <f>IF(AQ254="1",BH254,0)</f>
        <v>0</v>
      </c>
      <c r="AC254" s="28">
        <f>IF(AQ254="1",BI254,0)</f>
        <v>0</v>
      </c>
      <c r="AD254" s="28">
        <f>IF(AQ254="7",BH254,0)</f>
        <v>0</v>
      </c>
      <c r="AE254" s="28">
        <f>IF(AQ254="7",BI254,0)</f>
        <v>0</v>
      </c>
      <c r="AF254" s="28">
        <f>IF(AQ254="2",BH254,0)</f>
        <v>0</v>
      </c>
      <c r="AG254" s="28">
        <f>IF(AQ254="2",BI254,0)</f>
        <v>0</v>
      </c>
      <c r="AH254" s="28">
        <f>IF(AQ254="0",BJ254,0)</f>
        <v>0</v>
      </c>
      <c r="AI254" s="10" t="s">
        <v>50</v>
      </c>
      <c r="AJ254" s="28">
        <f>IF(AN254=0,J254,0)</f>
        <v>0</v>
      </c>
      <c r="AK254" s="28">
        <f>IF(AN254=12,J254,0)</f>
        <v>0</v>
      </c>
      <c r="AL254" s="28">
        <f>IF(AN254=21,J254,0)</f>
        <v>0</v>
      </c>
      <c r="AN254" s="28">
        <v>12</v>
      </c>
      <c r="AO254" s="28">
        <f>G254*0.766569338</f>
        <v>0</v>
      </c>
      <c r="AP254" s="28">
        <f>G254*(1-0.766569338)</f>
        <v>0</v>
      </c>
      <c r="AQ254" s="29" t="s">
        <v>61</v>
      </c>
      <c r="AV254" s="28">
        <f>AW254+AX254</f>
        <v>0</v>
      </c>
      <c r="AW254" s="28">
        <f>F254*AO254</f>
        <v>0</v>
      </c>
      <c r="AX254" s="28">
        <f>F254*AP254</f>
        <v>0</v>
      </c>
      <c r="AY254" s="29" t="s">
        <v>687</v>
      </c>
      <c r="AZ254" s="29" t="s">
        <v>671</v>
      </c>
      <c r="BA254" s="10" t="s">
        <v>60</v>
      </c>
      <c r="BC254" s="28">
        <f>AW254+AX254</f>
        <v>0</v>
      </c>
      <c r="BD254" s="28">
        <f>G254/(100-BE254)*100</f>
        <v>0</v>
      </c>
      <c r="BE254" s="28">
        <v>0</v>
      </c>
      <c r="BF254" s="28">
        <f>254</f>
        <v>254</v>
      </c>
      <c r="BH254" s="28">
        <f>F254*AO254</f>
        <v>0</v>
      </c>
      <c r="BI254" s="28">
        <f>F254*AP254</f>
        <v>0</v>
      </c>
      <c r="BJ254" s="28">
        <f>F254*G254</f>
        <v>0</v>
      </c>
      <c r="BK254" s="28"/>
      <c r="BL254" s="28"/>
      <c r="BW254" s="28">
        <v>12</v>
      </c>
      <c r="BX254" s="4" t="s">
        <v>724</v>
      </c>
    </row>
    <row r="255" spans="1:76" ht="13.5" customHeight="1" x14ac:dyDescent="0.25">
      <c r="A255" s="34"/>
      <c r="B255" s="35" t="s">
        <v>65</v>
      </c>
      <c r="C255" s="117" t="s">
        <v>725</v>
      </c>
      <c r="D255" s="118"/>
      <c r="E255" s="118"/>
      <c r="F255" s="118"/>
      <c r="G255" s="118"/>
      <c r="H255" s="118"/>
      <c r="I255" s="118"/>
      <c r="J255" s="118"/>
      <c r="K255" s="119"/>
    </row>
    <row r="256" spans="1:76" x14ac:dyDescent="0.25">
      <c r="A256" s="24" t="s">
        <v>726</v>
      </c>
      <c r="B256" s="25" t="s">
        <v>727</v>
      </c>
      <c r="C256" s="113" t="s">
        <v>728</v>
      </c>
      <c r="D256" s="114"/>
      <c r="E256" s="25" t="s">
        <v>56</v>
      </c>
      <c r="F256" s="26">
        <v>2</v>
      </c>
      <c r="G256" s="26">
        <v>0</v>
      </c>
      <c r="H256" s="26">
        <f>F256*AO256</f>
        <v>0</v>
      </c>
      <c r="I256" s="26">
        <f>F256*AP256</f>
        <v>0</v>
      </c>
      <c r="J256" s="26">
        <f>F256*G256</f>
        <v>0</v>
      </c>
      <c r="K256" s="27" t="s">
        <v>57</v>
      </c>
      <c r="Z256" s="28">
        <f>IF(AQ256="5",BJ256,0)</f>
        <v>0</v>
      </c>
      <c r="AB256" s="28">
        <f>IF(AQ256="1",BH256,0)</f>
        <v>0</v>
      </c>
      <c r="AC256" s="28">
        <f>IF(AQ256="1",BI256,0)</f>
        <v>0</v>
      </c>
      <c r="AD256" s="28">
        <f>IF(AQ256="7",BH256,0)</f>
        <v>0</v>
      </c>
      <c r="AE256" s="28">
        <f>IF(AQ256="7",BI256,0)</f>
        <v>0</v>
      </c>
      <c r="AF256" s="28">
        <f>IF(AQ256="2",BH256,0)</f>
        <v>0</v>
      </c>
      <c r="AG256" s="28">
        <f>IF(AQ256="2",BI256,0)</f>
        <v>0</v>
      </c>
      <c r="AH256" s="28">
        <f>IF(AQ256="0",BJ256,0)</f>
        <v>0</v>
      </c>
      <c r="AI256" s="10" t="s">
        <v>50</v>
      </c>
      <c r="AJ256" s="28">
        <f>IF(AN256=0,J256,0)</f>
        <v>0</v>
      </c>
      <c r="AK256" s="28">
        <f>IF(AN256=12,J256,0)</f>
        <v>0</v>
      </c>
      <c r="AL256" s="28">
        <f>IF(AN256=21,J256,0)</f>
        <v>0</v>
      </c>
      <c r="AN256" s="28">
        <v>12</v>
      </c>
      <c r="AO256" s="28">
        <f>G256*0.720341612</f>
        <v>0</v>
      </c>
      <c r="AP256" s="28">
        <f>G256*(1-0.720341612)</f>
        <v>0</v>
      </c>
      <c r="AQ256" s="29" t="s">
        <v>61</v>
      </c>
      <c r="AV256" s="28">
        <f>AW256+AX256</f>
        <v>0</v>
      </c>
      <c r="AW256" s="28">
        <f>F256*AO256</f>
        <v>0</v>
      </c>
      <c r="AX256" s="28">
        <f>F256*AP256</f>
        <v>0</v>
      </c>
      <c r="AY256" s="29" t="s">
        <v>687</v>
      </c>
      <c r="AZ256" s="29" t="s">
        <v>671</v>
      </c>
      <c r="BA256" s="10" t="s">
        <v>60</v>
      </c>
      <c r="BC256" s="28">
        <f>AW256+AX256</f>
        <v>0</v>
      </c>
      <c r="BD256" s="28">
        <f>G256/(100-BE256)*100</f>
        <v>0</v>
      </c>
      <c r="BE256" s="28">
        <v>0</v>
      </c>
      <c r="BF256" s="28">
        <f>256</f>
        <v>256</v>
      </c>
      <c r="BH256" s="28">
        <f>F256*AO256</f>
        <v>0</v>
      </c>
      <c r="BI256" s="28">
        <f>F256*AP256</f>
        <v>0</v>
      </c>
      <c r="BJ256" s="28">
        <f>F256*G256</f>
        <v>0</v>
      </c>
      <c r="BK256" s="28"/>
      <c r="BL256" s="28"/>
      <c r="BW256" s="28">
        <v>12</v>
      </c>
      <c r="BX256" s="4" t="s">
        <v>728</v>
      </c>
    </row>
    <row r="257" spans="1:76" ht="13.5" customHeight="1" x14ac:dyDescent="0.25">
      <c r="A257" s="34"/>
      <c r="B257" s="35" t="s">
        <v>65</v>
      </c>
      <c r="C257" s="117" t="s">
        <v>725</v>
      </c>
      <c r="D257" s="118"/>
      <c r="E257" s="118"/>
      <c r="F257" s="118"/>
      <c r="G257" s="118"/>
      <c r="H257" s="118"/>
      <c r="I257" s="118"/>
      <c r="J257" s="118"/>
      <c r="K257" s="119"/>
    </row>
    <row r="258" spans="1:76" x14ac:dyDescent="0.25">
      <c r="A258" s="24" t="s">
        <v>729</v>
      </c>
      <c r="B258" s="25" t="s">
        <v>730</v>
      </c>
      <c r="C258" s="113" t="s">
        <v>731</v>
      </c>
      <c r="D258" s="114"/>
      <c r="E258" s="25" t="s">
        <v>56</v>
      </c>
      <c r="F258" s="26">
        <v>1</v>
      </c>
      <c r="G258" s="26">
        <v>0</v>
      </c>
      <c r="H258" s="26">
        <f>F258*AO258</f>
        <v>0</v>
      </c>
      <c r="I258" s="26">
        <f>F258*AP258</f>
        <v>0</v>
      </c>
      <c r="J258" s="26">
        <f>F258*G258</f>
        <v>0</v>
      </c>
      <c r="K258" s="27" t="s">
        <v>57</v>
      </c>
      <c r="Z258" s="28">
        <f>IF(AQ258="5",BJ258,0)</f>
        <v>0</v>
      </c>
      <c r="AB258" s="28">
        <f>IF(AQ258="1",BH258,0)</f>
        <v>0</v>
      </c>
      <c r="AC258" s="28">
        <f>IF(AQ258="1",BI258,0)</f>
        <v>0</v>
      </c>
      <c r="AD258" s="28">
        <f>IF(AQ258="7",BH258,0)</f>
        <v>0</v>
      </c>
      <c r="AE258" s="28">
        <f>IF(AQ258="7",BI258,0)</f>
        <v>0</v>
      </c>
      <c r="AF258" s="28">
        <f>IF(AQ258="2",BH258,0)</f>
        <v>0</v>
      </c>
      <c r="AG258" s="28">
        <f>IF(AQ258="2",BI258,0)</f>
        <v>0</v>
      </c>
      <c r="AH258" s="28">
        <f>IF(AQ258="0",BJ258,0)</f>
        <v>0</v>
      </c>
      <c r="AI258" s="10" t="s">
        <v>50</v>
      </c>
      <c r="AJ258" s="28">
        <f>IF(AN258=0,J258,0)</f>
        <v>0</v>
      </c>
      <c r="AK258" s="28">
        <f>IF(AN258=12,J258,0)</f>
        <v>0</v>
      </c>
      <c r="AL258" s="28">
        <f>IF(AN258=21,J258,0)</f>
        <v>0</v>
      </c>
      <c r="AN258" s="28">
        <v>12</v>
      </c>
      <c r="AO258" s="28">
        <f>G258*0.7767</f>
        <v>0</v>
      </c>
      <c r="AP258" s="28">
        <f>G258*(1-0.7767)</f>
        <v>0</v>
      </c>
      <c r="AQ258" s="29" t="s">
        <v>61</v>
      </c>
      <c r="AV258" s="28">
        <f>AW258+AX258</f>
        <v>0</v>
      </c>
      <c r="AW258" s="28">
        <f>F258*AO258</f>
        <v>0</v>
      </c>
      <c r="AX258" s="28">
        <f>F258*AP258</f>
        <v>0</v>
      </c>
      <c r="AY258" s="29" t="s">
        <v>687</v>
      </c>
      <c r="AZ258" s="29" t="s">
        <v>671</v>
      </c>
      <c r="BA258" s="10" t="s">
        <v>60</v>
      </c>
      <c r="BC258" s="28">
        <f>AW258+AX258</f>
        <v>0</v>
      </c>
      <c r="BD258" s="28">
        <f>G258/(100-BE258)*100</f>
        <v>0</v>
      </c>
      <c r="BE258" s="28">
        <v>0</v>
      </c>
      <c r="BF258" s="28">
        <f>258</f>
        <v>258</v>
      </c>
      <c r="BH258" s="28">
        <f>F258*AO258</f>
        <v>0</v>
      </c>
      <c r="BI258" s="28">
        <f>F258*AP258</f>
        <v>0</v>
      </c>
      <c r="BJ258" s="28">
        <f>F258*G258</f>
        <v>0</v>
      </c>
      <c r="BK258" s="28"/>
      <c r="BL258" s="28"/>
      <c r="BW258" s="28">
        <v>12</v>
      </c>
      <c r="BX258" s="4" t="s">
        <v>731</v>
      </c>
    </row>
    <row r="259" spans="1:76" ht="13.5" customHeight="1" x14ac:dyDescent="0.25">
      <c r="A259" s="34"/>
      <c r="B259" s="35" t="s">
        <v>65</v>
      </c>
      <c r="C259" s="117" t="s">
        <v>725</v>
      </c>
      <c r="D259" s="118"/>
      <c r="E259" s="118"/>
      <c r="F259" s="118"/>
      <c r="G259" s="118"/>
      <c r="H259" s="118"/>
      <c r="I259" s="118"/>
      <c r="J259" s="118"/>
      <c r="K259" s="119"/>
    </row>
    <row r="260" spans="1:76" x14ac:dyDescent="0.25">
      <c r="A260" s="24" t="s">
        <v>732</v>
      </c>
      <c r="B260" s="25" t="s">
        <v>733</v>
      </c>
      <c r="C260" s="113" t="s">
        <v>734</v>
      </c>
      <c r="D260" s="114"/>
      <c r="E260" s="25" t="s">
        <v>56</v>
      </c>
      <c r="F260" s="26">
        <v>1</v>
      </c>
      <c r="G260" s="26">
        <v>0</v>
      </c>
      <c r="H260" s="26">
        <f t="shared" ref="H260:H275" si="308">F260*AO260</f>
        <v>0</v>
      </c>
      <c r="I260" s="26">
        <f t="shared" ref="I260:I275" si="309">F260*AP260</f>
        <v>0</v>
      </c>
      <c r="J260" s="26">
        <f t="shared" ref="J260:J275" si="310">F260*G260</f>
        <v>0</v>
      </c>
      <c r="K260" s="27" t="s">
        <v>57</v>
      </c>
      <c r="Z260" s="28">
        <f t="shared" ref="Z260:Z275" si="311">IF(AQ260="5",BJ260,0)</f>
        <v>0</v>
      </c>
      <c r="AB260" s="28">
        <f t="shared" ref="AB260:AB275" si="312">IF(AQ260="1",BH260,0)</f>
        <v>0</v>
      </c>
      <c r="AC260" s="28">
        <f t="shared" ref="AC260:AC275" si="313">IF(AQ260="1",BI260,0)</f>
        <v>0</v>
      </c>
      <c r="AD260" s="28">
        <f t="shared" ref="AD260:AD275" si="314">IF(AQ260="7",BH260,0)</f>
        <v>0</v>
      </c>
      <c r="AE260" s="28">
        <f t="shared" ref="AE260:AE275" si="315">IF(AQ260="7",BI260,0)</f>
        <v>0</v>
      </c>
      <c r="AF260" s="28">
        <f t="shared" ref="AF260:AF275" si="316">IF(AQ260="2",BH260,0)</f>
        <v>0</v>
      </c>
      <c r="AG260" s="28">
        <f t="shared" ref="AG260:AG275" si="317">IF(AQ260="2",BI260,0)</f>
        <v>0</v>
      </c>
      <c r="AH260" s="28">
        <f t="shared" ref="AH260:AH275" si="318">IF(AQ260="0",BJ260,0)</f>
        <v>0</v>
      </c>
      <c r="AI260" s="10" t="s">
        <v>50</v>
      </c>
      <c r="AJ260" s="28">
        <f t="shared" ref="AJ260:AJ275" si="319">IF(AN260=0,J260,0)</f>
        <v>0</v>
      </c>
      <c r="AK260" s="28">
        <f t="shared" ref="AK260:AK275" si="320">IF(AN260=12,J260,0)</f>
        <v>0</v>
      </c>
      <c r="AL260" s="28">
        <f t="shared" ref="AL260:AL275" si="321">IF(AN260=21,J260,0)</f>
        <v>0</v>
      </c>
      <c r="AN260" s="28">
        <v>12</v>
      </c>
      <c r="AO260" s="28">
        <f>G260*0</f>
        <v>0</v>
      </c>
      <c r="AP260" s="28">
        <f>G260*(1-0)</f>
        <v>0</v>
      </c>
      <c r="AQ260" s="29" t="s">
        <v>61</v>
      </c>
      <c r="AV260" s="28">
        <f t="shared" ref="AV260:AV275" si="322">AW260+AX260</f>
        <v>0</v>
      </c>
      <c r="AW260" s="28">
        <f t="shared" ref="AW260:AW275" si="323">F260*AO260</f>
        <v>0</v>
      </c>
      <c r="AX260" s="28">
        <f t="shared" ref="AX260:AX275" si="324">F260*AP260</f>
        <v>0</v>
      </c>
      <c r="AY260" s="29" t="s">
        <v>687</v>
      </c>
      <c r="AZ260" s="29" t="s">
        <v>671</v>
      </c>
      <c r="BA260" s="10" t="s">
        <v>60</v>
      </c>
      <c r="BC260" s="28">
        <f t="shared" ref="BC260:BC275" si="325">AW260+AX260</f>
        <v>0</v>
      </c>
      <c r="BD260" s="28">
        <f t="shared" ref="BD260:BD275" si="326">G260/(100-BE260)*100</f>
        <v>0</v>
      </c>
      <c r="BE260" s="28">
        <v>0</v>
      </c>
      <c r="BF260" s="28">
        <f>260</f>
        <v>260</v>
      </c>
      <c r="BH260" s="28">
        <f t="shared" ref="BH260:BH275" si="327">F260*AO260</f>
        <v>0</v>
      </c>
      <c r="BI260" s="28">
        <f t="shared" ref="BI260:BI275" si="328">F260*AP260</f>
        <v>0</v>
      </c>
      <c r="BJ260" s="28">
        <f t="shared" ref="BJ260:BJ275" si="329">F260*G260</f>
        <v>0</v>
      </c>
      <c r="BK260" s="28"/>
      <c r="BL260" s="28"/>
      <c r="BW260" s="28">
        <v>12</v>
      </c>
      <c r="BX260" s="4" t="s">
        <v>734</v>
      </c>
    </row>
    <row r="261" spans="1:76" x14ac:dyDescent="0.25">
      <c r="A261" s="30" t="s">
        <v>735</v>
      </c>
      <c r="B261" s="31" t="s">
        <v>736</v>
      </c>
      <c r="C261" s="115" t="s">
        <v>737</v>
      </c>
      <c r="D261" s="116"/>
      <c r="E261" s="31" t="s">
        <v>56</v>
      </c>
      <c r="F261" s="32">
        <v>1</v>
      </c>
      <c r="G261" s="32">
        <v>0</v>
      </c>
      <c r="H261" s="32">
        <f t="shared" si="308"/>
        <v>0</v>
      </c>
      <c r="I261" s="32">
        <f t="shared" si="309"/>
        <v>0</v>
      </c>
      <c r="J261" s="32">
        <f t="shared" si="310"/>
        <v>0</v>
      </c>
      <c r="K261" s="33" t="s">
        <v>57</v>
      </c>
      <c r="Z261" s="28">
        <f t="shared" si="311"/>
        <v>0</v>
      </c>
      <c r="AB261" s="28">
        <f t="shared" si="312"/>
        <v>0</v>
      </c>
      <c r="AC261" s="28">
        <f t="shared" si="313"/>
        <v>0</v>
      </c>
      <c r="AD261" s="28">
        <f t="shared" si="314"/>
        <v>0</v>
      </c>
      <c r="AE261" s="28">
        <f t="shared" si="315"/>
        <v>0</v>
      </c>
      <c r="AF261" s="28">
        <f t="shared" si="316"/>
        <v>0</v>
      </c>
      <c r="AG261" s="28">
        <f t="shared" si="317"/>
        <v>0</v>
      </c>
      <c r="AH261" s="28">
        <f t="shared" si="318"/>
        <v>0</v>
      </c>
      <c r="AI261" s="10" t="s">
        <v>50</v>
      </c>
      <c r="AJ261" s="28">
        <f t="shared" si="319"/>
        <v>0</v>
      </c>
      <c r="AK261" s="28">
        <f t="shared" si="320"/>
        <v>0</v>
      </c>
      <c r="AL261" s="28">
        <f t="shared" si="321"/>
        <v>0</v>
      </c>
      <c r="AN261" s="28">
        <v>12</v>
      </c>
      <c r="AO261" s="28">
        <f>G261*1</f>
        <v>0</v>
      </c>
      <c r="AP261" s="28">
        <f>G261*(1-1)</f>
        <v>0</v>
      </c>
      <c r="AQ261" s="29" t="s">
        <v>53</v>
      </c>
      <c r="AV261" s="28">
        <f t="shared" si="322"/>
        <v>0</v>
      </c>
      <c r="AW261" s="28">
        <f t="shared" si="323"/>
        <v>0</v>
      </c>
      <c r="AX261" s="28">
        <f t="shared" si="324"/>
        <v>0</v>
      </c>
      <c r="AY261" s="29" t="s">
        <v>687</v>
      </c>
      <c r="AZ261" s="29" t="s">
        <v>671</v>
      </c>
      <c r="BA261" s="10" t="s">
        <v>60</v>
      </c>
      <c r="BC261" s="28">
        <f t="shared" si="325"/>
        <v>0</v>
      </c>
      <c r="BD261" s="28">
        <f t="shared" si="326"/>
        <v>0</v>
      </c>
      <c r="BE261" s="28">
        <v>0</v>
      </c>
      <c r="BF261" s="28">
        <f>261</f>
        <v>261</v>
      </c>
      <c r="BH261" s="28">
        <f t="shared" si="327"/>
        <v>0</v>
      </c>
      <c r="BI261" s="28">
        <f t="shared" si="328"/>
        <v>0</v>
      </c>
      <c r="BJ261" s="28">
        <f t="shared" si="329"/>
        <v>0</v>
      </c>
      <c r="BK261" s="28"/>
      <c r="BL261" s="28"/>
      <c r="BW261" s="28">
        <v>12</v>
      </c>
      <c r="BX261" s="4" t="s">
        <v>737</v>
      </c>
    </row>
    <row r="262" spans="1:76" x14ac:dyDescent="0.25">
      <c r="A262" s="30" t="s">
        <v>738</v>
      </c>
      <c r="B262" s="31" t="s">
        <v>739</v>
      </c>
      <c r="C262" s="115" t="s">
        <v>740</v>
      </c>
      <c r="D262" s="116"/>
      <c r="E262" s="31" t="s">
        <v>56</v>
      </c>
      <c r="F262" s="32">
        <v>2</v>
      </c>
      <c r="G262" s="32">
        <v>0</v>
      </c>
      <c r="H262" s="32">
        <f t="shared" si="308"/>
        <v>0</v>
      </c>
      <c r="I262" s="32">
        <f t="shared" si="309"/>
        <v>0</v>
      </c>
      <c r="J262" s="32">
        <f t="shared" si="310"/>
        <v>0</v>
      </c>
      <c r="K262" s="33" t="s">
        <v>57</v>
      </c>
      <c r="Z262" s="28">
        <f t="shared" si="311"/>
        <v>0</v>
      </c>
      <c r="AB262" s="28">
        <f t="shared" si="312"/>
        <v>0</v>
      </c>
      <c r="AC262" s="28">
        <f t="shared" si="313"/>
        <v>0</v>
      </c>
      <c r="AD262" s="28">
        <f t="shared" si="314"/>
        <v>0</v>
      </c>
      <c r="AE262" s="28">
        <f t="shared" si="315"/>
        <v>0</v>
      </c>
      <c r="AF262" s="28">
        <f t="shared" si="316"/>
        <v>0</v>
      </c>
      <c r="AG262" s="28">
        <f t="shared" si="317"/>
        <v>0</v>
      </c>
      <c r="AH262" s="28">
        <f t="shared" si="318"/>
        <v>0</v>
      </c>
      <c r="AI262" s="10" t="s">
        <v>50</v>
      </c>
      <c r="AJ262" s="28">
        <f t="shared" si="319"/>
        <v>0</v>
      </c>
      <c r="AK262" s="28">
        <f t="shared" si="320"/>
        <v>0</v>
      </c>
      <c r="AL262" s="28">
        <f t="shared" si="321"/>
        <v>0</v>
      </c>
      <c r="AN262" s="28">
        <v>12</v>
      </c>
      <c r="AO262" s="28">
        <f>G262*0</f>
        <v>0</v>
      </c>
      <c r="AP262" s="28">
        <f>G262*(1-0)</f>
        <v>0</v>
      </c>
      <c r="AQ262" s="29" t="s">
        <v>61</v>
      </c>
      <c r="AV262" s="28">
        <f t="shared" si="322"/>
        <v>0</v>
      </c>
      <c r="AW262" s="28">
        <f t="shared" si="323"/>
        <v>0</v>
      </c>
      <c r="AX262" s="28">
        <f t="shared" si="324"/>
        <v>0</v>
      </c>
      <c r="AY262" s="29" t="s">
        <v>687</v>
      </c>
      <c r="AZ262" s="29" t="s">
        <v>671</v>
      </c>
      <c r="BA262" s="10" t="s">
        <v>60</v>
      </c>
      <c r="BC262" s="28">
        <f t="shared" si="325"/>
        <v>0</v>
      </c>
      <c r="BD262" s="28">
        <f t="shared" si="326"/>
        <v>0</v>
      </c>
      <c r="BE262" s="28">
        <v>0</v>
      </c>
      <c r="BF262" s="28">
        <f>262</f>
        <v>262</v>
      </c>
      <c r="BH262" s="28">
        <f t="shared" si="327"/>
        <v>0</v>
      </c>
      <c r="BI262" s="28">
        <f t="shared" si="328"/>
        <v>0</v>
      </c>
      <c r="BJ262" s="28">
        <f t="shared" si="329"/>
        <v>0</v>
      </c>
      <c r="BK262" s="28"/>
      <c r="BL262" s="28"/>
      <c r="BW262" s="28">
        <v>12</v>
      </c>
      <c r="BX262" s="4" t="s">
        <v>740</v>
      </c>
    </row>
    <row r="263" spans="1:76" x14ac:dyDescent="0.25">
      <c r="A263" s="30" t="s">
        <v>741</v>
      </c>
      <c r="B263" s="31" t="s">
        <v>742</v>
      </c>
      <c r="C263" s="115" t="s">
        <v>743</v>
      </c>
      <c r="D263" s="116"/>
      <c r="E263" s="31" t="s">
        <v>56</v>
      </c>
      <c r="F263" s="32">
        <v>1</v>
      </c>
      <c r="G263" s="32">
        <v>0</v>
      </c>
      <c r="H263" s="32">
        <f t="shared" si="308"/>
        <v>0</v>
      </c>
      <c r="I263" s="32">
        <f t="shared" si="309"/>
        <v>0</v>
      </c>
      <c r="J263" s="32">
        <f t="shared" si="310"/>
        <v>0</v>
      </c>
      <c r="K263" s="33" t="s">
        <v>57</v>
      </c>
      <c r="Z263" s="28">
        <f t="shared" si="311"/>
        <v>0</v>
      </c>
      <c r="AB263" s="28">
        <f t="shared" si="312"/>
        <v>0</v>
      </c>
      <c r="AC263" s="28">
        <f t="shared" si="313"/>
        <v>0</v>
      </c>
      <c r="AD263" s="28">
        <f t="shared" si="314"/>
        <v>0</v>
      </c>
      <c r="AE263" s="28">
        <f t="shared" si="315"/>
        <v>0</v>
      </c>
      <c r="AF263" s="28">
        <f t="shared" si="316"/>
        <v>0</v>
      </c>
      <c r="AG263" s="28">
        <f t="shared" si="317"/>
        <v>0</v>
      </c>
      <c r="AH263" s="28">
        <f t="shared" si="318"/>
        <v>0</v>
      </c>
      <c r="AI263" s="10" t="s">
        <v>50</v>
      </c>
      <c r="AJ263" s="28">
        <f t="shared" si="319"/>
        <v>0</v>
      </c>
      <c r="AK263" s="28">
        <f t="shared" si="320"/>
        <v>0</v>
      </c>
      <c r="AL263" s="28">
        <f t="shared" si="321"/>
        <v>0</v>
      </c>
      <c r="AN263" s="28">
        <v>12</v>
      </c>
      <c r="AO263" s="28">
        <f>G263*1</f>
        <v>0</v>
      </c>
      <c r="AP263" s="28">
        <f>G263*(1-1)</f>
        <v>0</v>
      </c>
      <c r="AQ263" s="29" t="s">
        <v>53</v>
      </c>
      <c r="AV263" s="28">
        <f t="shared" si="322"/>
        <v>0</v>
      </c>
      <c r="AW263" s="28">
        <f t="shared" si="323"/>
        <v>0</v>
      </c>
      <c r="AX263" s="28">
        <f t="shared" si="324"/>
        <v>0</v>
      </c>
      <c r="AY263" s="29" t="s">
        <v>687</v>
      </c>
      <c r="AZ263" s="29" t="s">
        <v>671</v>
      </c>
      <c r="BA263" s="10" t="s">
        <v>60</v>
      </c>
      <c r="BC263" s="28">
        <f t="shared" si="325"/>
        <v>0</v>
      </c>
      <c r="BD263" s="28">
        <f t="shared" si="326"/>
        <v>0</v>
      </c>
      <c r="BE263" s="28">
        <v>0</v>
      </c>
      <c r="BF263" s="28">
        <f>263</f>
        <v>263</v>
      </c>
      <c r="BH263" s="28">
        <f t="shared" si="327"/>
        <v>0</v>
      </c>
      <c r="BI263" s="28">
        <f t="shared" si="328"/>
        <v>0</v>
      </c>
      <c r="BJ263" s="28">
        <f t="shared" si="329"/>
        <v>0</v>
      </c>
      <c r="BK263" s="28"/>
      <c r="BL263" s="28"/>
      <c r="BW263" s="28">
        <v>12</v>
      </c>
      <c r="BX263" s="4" t="s">
        <v>743</v>
      </c>
    </row>
    <row r="264" spans="1:76" x14ac:dyDescent="0.25">
      <c r="A264" s="30" t="s">
        <v>744</v>
      </c>
      <c r="B264" s="31" t="s">
        <v>745</v>
      </c>
      <c r="C264" s="115" t="s">
        <v>746</v>
      </c>
      <c r="D264" s="116"/>
      <c r="E264" s="31" t="s">
        <v>56</v>
      </c>
      <c r="F264" s="32">
        <v>2</v>
      </c>
      <c r="G264" s="32">
        <v>0</v>
      </c>
      <c r="H264" s="32">
        <f t="shared" si="308"/>
        <v>0</v>
      </c>
      <c r="I264" s="32">
        <f t="shared" si="309"/>
        <v>0</v>
      </c>
      <c r="J264" s="32">
        <f t="shared" si="310"/>
        <v>0</v>
      </c>
      <c r="K264" s="33" t="s">
        <v>57</v>
      </c>
      <c r="Z264" s="28">
        <f t="shared" si="311"/>
        <v>0</v>
      </c>
      <c r="AB264" s="28">
        <f t="shared" si="312"/>
        <v>0</v>
      </c>
      <c r="AC264" s="28">
        <f t="shared" si="313"/>
        <v>0</v>
      </c>
      <c r="AD264" s="28">
        <f t="shared" si="314"/>
        <v>0</v>
      </c>
      <c r="AE264" s="28">
        <f t="shared" si="315"/>
        <v>0</v>
      </c>
      <c r="AF264" s="28">
        <f t="shared" si="316"/>
        <v>0</v>
      </c>
      <c r="AG264" s="28">
        <f t="shared" si="317"/>
        <v>0</v>
      </c>
      <c r="AH264" s="28">
        <f t="shared" si="318"/>
        <v>0</v>
      </c>
      <c r="AI264" s="10" t="s">
        <v>50</v>
      </c>
      <c r="AJ264" s="28">
        <f t="shared" si="319"/>
        <v>0</v>
      </c>
      <c r="AK264" s="28">
        <f t="shared" si="320"/>
        <v>0</v>
      </c>
      <c r="AL264" s="28">
        <f t="shared" si="321"/>
        <v>0</v>
      </c>
      <c r="AN264" s="28">
        <v>12</v>
      </c>
      <c r="AO264" s="28">
        <f>G264*1</f>
        <v>0</v>
      </c>
      <c r="AP264" s="28">
        <f>G264*(1-1)</f>
        <v>0</v>
      </c>
      <c r="AQ264" s="29" t="s">
        <v>53</v>
      </c>
      <c r="AV264" s="28">
        <f t="shared" si="322"/>
        <v>0</v>
      </c>
      <c r="AW264" s="28">
        <f t="shared" si="323"/>
        <v>0</v>
      </c>
      <c r="AX264" s="28">
        <f t="shared" si="324"/>
        <v>0</v>
      </c>
      <c r="AY264" s="29" t="s">
        <v>687</v>
      </c>
      <c r="AZ264" s="29" t="s">
        <v>671</v>
      </c>
      <c r="BA264" s="10" t="s">
        <v>60</v>
      </c>
      <c r="BC264" s="28">
        <f t="shared" si="325"/>
        <v>0</v>
      </c>
      <c r="BD264" s="28">
        <f t="shared" si="326"/>
        <v>0</v>
      </c>
      <c r="BE264" s="28">
        <v>0</v>
      </c>
      <c r="BF264" s="28">
        <f>264</f>
        <v>264</v>
      </c>
      <c r="BH264" s="28">
        <f t="shared" si="327"/>
        <v>0</v>
      </c>
      <c r="BI264" s="28">
        <f t="shared" si="328"/>
        <v>0</v>
      </c>
      <c r="BJ264" s="28">
        <f t="shared" si="329"/>
        <v>0</v>
      </c>
      <c r="BK264" s="28"/>
      <c r="BL264" s="28"/>
      <c r="BW264" s="28">
        <v>12</v>
      </c>
      <c r="BX264" s="4" t="s">
        <v>746</v>
      </c>
    </row>
    <row r="265" spans="1:76" x14ac:dyDescent="0.25">
      <c r="A265" s="30" t="s">
        <v>747</v>
      </c>
      <c r="B265" s="31" t="s">
        <v>748</v>
      </c>
      <c r="C265" s="115" t="s">
        <v>749</v>
      </c>
      <c r="D265" s="116"/>
      <c r="E265" s="31" t="s">
        <v>56</v>
      </c>
      <c r="F265" s="32">
        <v>16</v>
      </c>
      <c r="G265" s="32">
        <v>0</v>
      </c>
      <c r="H265" s="32">
        <f t="shared" si="308"/>
        <v>0</v>
      </c>
      <c r="I265" s="32">
        <f t="shared" si="309"/>
        <v>0</v>
      </c>
      <c r="J265" s="32">
        <f t="shared" si="310"/>
        <v>0</v>
      </c>
      <c r="K265" s="33" t="s">
        <v>57</v>
      </c>
      <c r="Z265" s="28">
        <f t="shared" si="311"/>
        <v>0</v>
      </c>
      <c r="AB265" s="28">
        <f t="shared" si="312"/>
        <v>0</v>
      </c>
      <c r="AC265" s="28">
        <f t="shared" si="313"/>
        <v>0</v>
      </c>
      <c r="AD265" s="28">
        <f t="shared" si="314"/>
        <v>0</v>
      </c>
      <c r="AE265" s="28">
        <f t="shared" si="315"/>
        <v>0</v>
      </c>
      <c r="AF265" s="28">
        <f t="shared" si="316"/>
        <v>0</v>
      </c>
      <c r="AG265" s="28">
        <f t="shared" si="317"/>
        <v>0</v>
      </c>
      <c r="AH265" s="28">
        <f t="shared" si="318"/>
        <v>0</v>
      </c>
      <c r="AI265" s="10" t="s">
        <v>50</v>
      </c>
      <c r="AJ265" s="28">
        <f t="shared" si="319"/>
        <v>0</v>
      </c>
      <c r="AK265" s="28">
        <f t="shared" si="320"/>
        <v>0</v>
      </c>
      <c r="AL265" s="28">
        <f t="shared" si="321"/>
        <v>0</v>
      </c>
      <c r="AN265" s="28">
        <v>12</v>
      </c>
      <c r="AO265" s="28">
        <f>G265*1</f>
        <v>0</v>
      </c>
      <c r="AP265" s="28">
        <f>G265*(1-1)</f>
        <v>0</v>
      </c>
      <c r="AQ265" s="29" t="s">
        <v>53</v>
      </c>
      <c r="AV265" s="28">
        <f t="shared" si="322"/>
        <v>0</v>
      </c>
      <c r="AW265" s="28">
        <f t="shared" si="323"/>
        <v>0</v>
      </c>
      <c r="AX265" s="28">
        <f t="shared" si="324"/>
        <v>0</v>
      </c>
      <c r="AY265" s="29" t="s">
        <v>687</v>
      </c>
      <c r="AZ265" s="29" t="s">
        <v>671</v>
      </c>
      <c r="BA265" s="10" t="s">
        <v>60</v>
      </c>
      <c r="BC265" s="28">
        <f t="shared" si="325"/>
        <v>0</v>
      </c>
      <c r="BD265" s="28">
        <f t="shared" si="326"/>
        <v>0</v>
      </c>
      <c r="BE265" s="28">
        <v>0</v>
      </c>
      <c r="BF265" s="28">
        <f>265</f>
        <v>265</v>
      </c>
      <c r="BH265" s="28">
        <f t="shared" si="327"/>
        <v>0</v>
      </c>
      <c r="BI265" s="28">
        <f t="shared" si="328"/>
        <v>0</v>
      </c>
      <c r="BJ265" s="28">
        <f t="shared" si="329"/>
        <v>0</v>
      </c>
      <c r="BK265" s="28"/>
      <c r="BL265" s="28"/>
      <c r="BW265" s="28">
        <v>12</v>
      </c>
      <c r="BX265" s="4" t="s">
        <v>749</v>
      </c>
    </row>
    <row r="266" spans="1:76" x14ac:dyDescent="0.25">
      <c r="A266" s="30" t="s">
        <v>750</v>
      </c>
      <c r="B266" s="31" t="s">
        <v>751</v>
      </c>
      <c r="C266" s="115" t="s">
        <v>752</v>
      </c>
      <c r="D266" s="116"/>
      <c r="E266" s="31" t="s">
        <v>56</v>
      </c>
      <c r="F266" s="32">
        <v>5</v>
      </c>
      <c r="G266" s="32">
        <v>0</v>
      </c>
      <c r="H266" s="32">
        <f t="shared" si="308"/>
        <v>0</v>
      </c>
      <c r="I266" s="32">
        <f t="shared" si="309"/>
        <v>0</v>
      </c>
      <c r="J266" s="32">
        <f t="shared" si="310"/>
        <v>0</v>
      </c>
      <c r="K266" s="33" t="s">
        <v>57</v>
      </c>
      <c r="Z266" s="28">
        <f t="shared" si="311"/>
        <v>0</v>
      </c>
      <c r="AB266" s="28">
        <f t="shared" si="312"/>
        <v>0</v>
      </c>
      <c r="AC266" s="28">
        <f t="shared" si="313"/>
        <v>0</v>
      </c>
      <c r="AD266" s="28">
        <f t="shared" si="314"/>
        <v>0</v>
      </c>
      <c r="AE266" s="28">
        <f t="shared" si="315"/>
        <v>0</v>
      </c>
      <c r="AF266" s="28">
        <f t="shared" si="316"/>
        <v>0</v>
      </c>
      <c r="AG266" s="28">
        <f t="shared" si="317"/>
        <v>0</v>
      </c>
      <c r="AH266" s="28">
        <f t="shared" si="318"/>
        <v>0</v>
      </c>
      <c r="AI266" s="10" t="s">
        <v>50</v>
      </c>
      <c r="AJ266" s="28">
        <f t="shared" si="319"/>
        <v>0</v>
      </c>
      <c r="AK266" s="28">
        <f t="shared" si="320"/>
        <v>0</v>
      </c>
      <c r="AL266" s="28">
        <f t="shared" si="321"/>
        <v>0</v>
      </c>
      <c r="AN266" s="28">
        <v>12</v>
      </c>
      <c r="AO266" s="28">
        <f>G266*1</f>
        <v>0</v>
      </c>
      <c r="AP266" s="28">
        <f>G266*(1-1)</f>
        <v>0</v>
      </c>
      <c r="AQ266" s="29" t="s">
        <v>53</v>
      </c>
      <c r="AV266" s="28">
        <f t="shared" si="322"/>
        <v>0</v>
      </c>
      <c r="AW266" s="28">
        <f t="shared" si="323"/>
        <v>0</v>
      </c>
      <c r="AX266" s="28">
        <f t="shared" si="324"/>
        <v>0</v>
      </c>
      <c r="AY266" s="29" t="s">
        <v>687</v>
      </c>
      <c r="AZ266" s="29" t="s">
        <v>671</v>
      </c>
      <c r="BA266" s="10" t="s">
        <v>60</v>
      </c>
      <c r="BC266" s="28">
        <f t="shared" si="325"/>
        <v>0</v>
      </c>
      <c r="BD266" s="28">
        <f t="shared" si="326"/>
        <v>0</v>
      </c>
      <c r="BE266" s="28">
        <v>0</v>
      </c>
      <c r="BF266" s="28">
        <f>266</f>
        <v>266</v>
      </c>
      <c r="BH266" s="28">
        <f t="shared" si="327"/>
        <v>0</v>
      </c>
      <c r="BI266" s="28">
        <f t="shared" si="328"/>
        <v>0</v>
      </c>
      <c r="BJ266" s="28">
        <f t="shared" si="329"/>
        <v>0</v>
      </c>
      <c r="BK266" s="28"/>
      <c r="BL266" s="28"/>
      <c r="BW266" s="28">
        <v>12</v>
      </c>
      <c r="BX266" s="4" t="s">
        <v>752</v>
      </c>
    </row>
    <row r="267" spans="1:76" x14ac:dyDescent="0.25">
      <c r="A267" s="30" t="s">
        <v>753</v>
      </c>
      <c r="B267" s="31" t="s">
        <v>754</v>
      </c>
      <c r="C267" s="115" t="s">
        <v>755</v>
      </c>
      <c r="D267" s="116"/>
      <c r="E267" s="31" t="s">
        <v>56</v>
      </c>
      <c r="F267" s="32">
        <v>1</v>
      </c>
      <c r="G267" s="32">
        <v>0</v>
      </c>
      <c r="H267" s="32">
        <f t="shared" si="308"/>
        <v>0</v>
      </c>
      <c r="I267" s="32">
        <f t="shared" si="309"/>
        <v>0</v>
      </c>
      <c r="J267" s="32">
        <f t="shared" si="310"/>
        <v>0</v>
      </c>
      <c r="K267" s="33" t="s">
        <v>57</v>
      </c>
      <c r="Z267" s="28">
        <f t="shared" si="311"/>
        <v>0</v>
      </c>
      <c r="AB267" s="28">
        <f t="shared" si="312"/>
        <v>0</v>
      </c>
      <c r="AC267" s="28">
        <f t="shared" si="313"/>
        <v>0</v>
      </c>
      <c r="AD267" s="28">
        <f t="shared" si="314"/>
        <v>0</v>
      </c>
      <c r="AE267" s="28">
        <f t="shared" si="315"/>
        <v>0</v>
      </c>
      <c r="AF267" s="28">
        <f t="shared" si="316"/>
        <v>0</v>
      </c>
      <c r="AG267" s="28">
        <f t="shared" si="317"/>
        <v>0</v>
      </c>
      <c r="AH267" s="28">
        <f t="shared" si="318"/>
        <v>0</v>
      </c>
      <c r="AI267" s="10" t="s">
        <v>50</v>
      </c>
      <c r="AJ267" s="28">
        <f t="shared" si="319"/>
        <v>0</v>
      </c>
      <c r="AK267" s="28">
        <f t="shared" si="320"/>
        <v>0</v>
      </c>
      <c r="AL267" s="28">
        <f t="shared" si="321"/>
        <v>0</v>
      </c>
      <c r="AN267" s="28">
        <v>12</v>
      </c>
      <c r="AO267" s="28">
        <f>G267*1</f>
        <v>0</v>
      </c>
      <c r="AP267" s="28">
        <f>G267*(1-1)</f>
        <v>0</v>
      </c>
      <c r="AQ267" s="29" t="s">
        <v>53</v>
      </c>
      <c r="AV267" s="28">
        <f t="shared" si="322"/>
        <v>0</v>
      </c>
      <c r="AW267" s="28">
        <f t="shared" si="323"/>
        <v>0</v>
      </c>
      <c r="AX267" s="28">
        <f t="shared" si="324"/>
        <v>0</v>
      </c>
      <c r="AY267" s="29" t="s">
        <v>687</v>
      </c>
      <c r="AZ267" s="29" t="s">
        <v>671</v>
      </c>
      <c r="BA267" s="10" t="s">
        <v>60</v>
      </c>
      <c r="BC267" s="28">
        <f t="shared" si="325"/>
        <v>0</v>
      </c>
      <c r="BD267" s="28">
        <f t="shared" si="326"/>
        <v>0</v>
      </c>
      <c r="BE267" s="28">
        <v>0</v>
      </c>
      <c r="BF267" s="28">
        <f>267</f>
        <v>267</v>
      </c>
      <c r="BH267" s="28">
        <f t="shared" si="327"/>
        <v>0</v>
      </c>
      <c r="BI267" s="28">
        <f t="shared" si="328"/>
        <v>0</v>
      </c>
      <c r="BJ267" s="28">
        <f t="shared" si="329"/>
        <v>0</v>
      </c>
      <c r="BK267" s="28"/>
      <c r="BL267" s="28"/>
      <c r="BW267" s="28">
        <v>12</v>
      </c>
      <c r="BX267" s="4" t="s">
        <v>755</v>
      </c>
    </row>
    <row r="268" spans="1:76" x14ac:dyDescent="0.25">
      <c r="A268" s="30" t="s">
        <v>756</v>
      </c>
      <c r="B268" s="31" t="s">
        <v>757</v>
      </c>
      <c r="C268" s="115" t="s">
        <v>758</v>
      </c>
      <c r="D268" s="116"/>
      <c r="E268" s="31" t="s">
        <v>56</v>
      </c>
      <c r="F268" s="32">
        <v>1</v>
      </c>
      <c r="G268" s="32">
        <v>0</v>
      </c>
      <c r="H268" s="32">
        <f t="shared" si="308"/>
        <v>0</v>
      </c>
      <c r="I268" s="32">
        <f t="shared" si="309"/>
        <v>0</v>
      </c>
      <c r="J268" s="32">
        <f t="shared" si="310"/>
        <v>0</v>
      </c>
      <c r="K268" s="33" t="s">
        <v>57</v>
      </c>
      <c r="Z268" s="28">
        <f t="shared" si="311"/>
        <v>0</v>
      </c>
      <c r="AB268" s="28">
        <f t="shared" si="312"/>
        <v>0</v>
      </c>
      <c r="AC268" s="28">
        <f t="shared" si="313"/>
        <v>0</v>
      </c>
      <c r="AD268" s="28">
        <f t="shared" si="314"/>
        <v>0</v>
      </c>
      <c r="AE268" s="28">
        <f t="shared" si="315"/>
        <v>0</v>
      </c>
      <c r="AF268" s="28">
        <f t="shared" si="316"/>
        <v>0</v>
      </c>
      <c r="AG268" s="28">
        <f t="shared" si="317"/>
        <v>0</v>
      </c>
      <c r="AH268" s="28">
        <f t="shared" si="318"/>
        <v>0</v>
      </c>
      <c r="AI268" s="10" t="s">
        <v>50</v>
      </c>
      <c r="AJ268" s="28">
        <f t="shared" si="319"/>
        <v>0</v>
      </c>
      <c r="AK268" s="28">
        <f t="shared" si="320"/>
        <v>0</v>
      </c>
      <c r="AL268" s="28">
        <f t="shared" si="321"/>
        <v>0</v>
      </c>
      <c r="AN268" s="28">
        <v>12</v>
      </c>
      <c r="AO268" s="28">
        <f>G268*0</f>
        <v>0</v>
      </c>
      <c r="AP268" s="28">
        <f>G268*(1-0)</f>
        <v>0</v>
      </c>
      <c r="AQ268" s="29" t="s">
        <v>61</v>
      </c>
      <c r="AV268" s="28">
        <f t="shared" si="322"/>
        <v>0</v>
      </c>
      <c r="AW268" s="28">
        <f t="shared" si="323"/>
        <v>0</v>
      </c>
      <c r="AX268" s="28">
        <f t="shared" si="324"/>
        <v>0</v>
      </c>
      <c r="AY268" s="29" t="s">
        <v>687</v>
      </c>
      <c r="AZ268" s="29" t="s">
        <v>671</v>
      </c>
      <c r="BA268" s="10" t="s">
        <v>60</v>
      </c>
      <c r="BC268" s="28">
        <f t="shared" si="325"/>
        <v>0</v>
      </c>
      <c r="BD268" s="28">
        <f t="shared" si="326"/>
        <v>0</v>
      </c>
      <c r="BE268" s="28">
        <v>0</v>
      </c>
      <c r="BF268" s="28">
        <f>268</f>
        <v>268</v>
      </c>
      <c r="BH268" s="28">
        <f t="shared" si="327"/>
        <v>0</v>
      </c>
      <c r="BI268" s="28">
        <f t="shared" si="328"/>
        <v>0</v>
      </c>
      <c r="BJ268" s="28">
        <f t="shared" si="329"/>
        <v>0</v>
      </c>
      <c r="BK268" s="28"/>
      <c r="BL268" s="28"/>
      <c r="BW268" s="28">
        <v>12</v>
      </c>
      <c r="BX268" s="4" t="s">
        <v>758</v>
      </c>
    </row>
    <row r="269" spans="1:76" x14ac:dyDescent="0.25">
      <c r="A269" s="30" t="s">
        <v>759</v>
      </c>
      <c r="B269" s="31" t="s">
        <v>760</v>
      </c>
      <c r="C269" s="115" t="s">
        <v>761</v>
      </c>
      <c r="D269" s="116"/>
      <c r="E269" s="31" t="s">
        <v>56</v>
      </c>
      <c r="F269" s="32">
        <v>1</v>
      </c>
      <c r="G269" s="32">
        <v>0</v>
      </c>
      <c r="H269" s="32">
        <f t="shared" si="308"/>
        <v>0</v>
      </c>
      <c r="I269" s="32">
        <f t="shared" si="309"/>
        <v>0</v>
      </c>
      <c r="J269" s="32">
        <f t="shared" si="310"/>
        <v>0</v>
      </c>
      <c r="K269" s="33" t="s">
        <v>57</v>
      </c>
      <c r="Z269" s="28">
        <f t="shared" si="311"/>
        <v>0</v>
      </c>
      <c r="AB269" s="28">
        <f t="shared" si="312"/>
        <v>0</v>
      </c>
      <c r="AC269" s="28">
        <f t="shared" si="313"/>
        <v>0</v>
      </c>
      <c r="AD269" s="28">
        <f t="shared" si="314"/>
        <v>0</v>
      </c>
      <c r="AE269" s="28">
        <f t="shared" si="315"/>
        <v>0</v>
      </c>
      <c r="AF269" s="28">
        <f t="shared" si="316"/>
        <v>0</v>
      </c>
      <c r="AG269" s="28">
        <f t="shared" si="317"/>
        <v>0</v>
      </c>
      <c r="AH269" s="28">
        <f t="shared" si="318"/>
        <v>0</v>
      </c>
      <c r="AI269" s="10" t="s">
        <v>50</v>
      </c>
      <c r="AJ269" s="28">
        <f t="shared" si="319"/>
        <v>0</v>
      </c>
      <c r="AK269" s="28">
        <f t="shared" si="320"/>
        <v>0</v>
      </c>
      <c r="AL269" s="28">
        <f t="shared" si="321"/>
        <v>0</v>
      </c>
      <c r="AN269" s="28">
        <v>12</v>
      </c>
      <c r="AO269" s="28">
        <f>G269*1</f>
        <v>0</v>
      </c>
      <c r="AP269" s="28">
        <f>G269*(1-1)</f>
        <v>0</v>
      </c>
      <c r="AQ269" s="29" t="s">
        <v>53</v>
      </c>
      <c r="AV269" s="28">
        <f t="shared" si="322"/>
        <v>0</v>
      </c>
      <c r="AW269" s="28">
        <f t="shared" si="323"/>
        <v>0</v>
      </c>
      <c r="AX269" s="28">
        <f t="shared" si="324"/>
        <v>0</v>
      </c>
      <c r="AY269" s="29" t="s">
        <v>687</v>
      </c>
      <c r="AZ269" s="29" t="s">
        <v>671</v>
      </c>
      <c r="BA269" s="10" t="s">
        <v>60</v>
      </c>
      <c r="BC269" s="28">
        <f t="shared" si="325"/>
        <v>0</v>
      </c>
      <c r="BD269" s="28">
        <f t="shared" si="326"/>
        <v>0</v>
      </c>
      <c r="BE269" s="28">
        <v>0</v>
      </c>
      <c r="BF269" s="28">
        <f>269</f>
        <v>269</v>
      </c>
      <c r="BH269" s="28">
        <f t="shared" si="327"/>
        <v>0</v>
      </c>
      <c r="BI269" s="28">
        <f t="shared" si="328"/>
        <v>0</v>
      </c>
      <c r="BJ269" s="28">
        <f t="shared" si="329"/>
        <v>0</v>
      </c>
      <c r="BK269" s="28"/>
      <c r="BL269" s="28"/>
      <c r="BW269" s="28">
        <v>12</v>
      </c>
      <c r="BX269" s="4" t="s">
        <v>761</v>
      </c>
    </row>
    <row r="270" spans="1:76" x14ac:dyDescent="0.25">
      <c r="A270" s="30" t="s">
        <v>762</v>
      </c>
      <c r="B270" s="31" t="s">
        <v>763</v>
      </c>
      <c r="C270" s="115" t="s">
        <v>764</v>
      </c>
      <c r="D270" s="116"/>
      <c r="E270" s="31" t="s">
        <v>56</v>
      </c>
      <c r="F270" s="32">
        <v>2</v>
      </c>
      <c r="G270" s="32">
        <v>0</v>
      </c>
      <c r="H270" s="32">
        <f t="shared" si="308"/>
        <v>0</v>
      </c>
      <c r="I270" s="32">
        <f t="shared" si="309"/>
        <v>0</v>
      </c>
      <c r="J270" s="32">
        <f t="shared" si="310"/>
        <v>0</v>
      </c>
      <c r="K270" s="33" t="s">
        <v>57</v>
      </c>
      <c r="Z270" s="28">
        <f t="shared" si="311"/>
        <v>0</v>
      </c>
      <c r="AB270" s="28">
        <f t="shared" si="312"/>
        <v>0</v>
      </c>
      <c r="AC270" s="28">
        <f t="shared" si="313"/>
        <v>0</v>
      </c>
      <c r="AD270" s="28">
        <f t="shared" si="314"/>
        <v>0</v>
      </c>
      <c r="AE270" s="28">
        <f t="shared" si="315"/>
        <v>0</v>
      </c>
      <c r="AF270" s="28">
        <f t="shared" si="316"/>
        <v>0</v>
      </c>
      <c r="AG270" s="28">
        <f t="shared" si="317"/>
        <v>0</v>
      </c>
      <c r="AH270" s="28">
        <f t="shared" si="318"/>
        <v>0</v>
      </c>
      <c r="AI270" s="10" t="s">
        <v>50</v>
      </c>
      <c r="AJ270" s="28">
        <f t="shared" si="319"/>
        <v>0</v>
      </c>
      <c r="AK270" s="28">
        <f t="shared" si="320"/>
        <v>0</v>
      </c>
      <c r="AL270" s="28">
        <f t="shared" si="321"/>
        <v>0</v>
      </c>
      <c r="AN270" s="28">
        <v>12</v>
      </c>
      <c r="AO270" s="28">
        <f>G270*0</f>
        <v>0</v>
      </c>
      <c r="AP270" s="28">
        <f>G270*(1-0)</f>
        <v>0</v>
      </c>
      <c r="AQ270" s="29" t="s">
        <v>61</v>
      </c>
      <c r="AV270" s="28">
        <f t="shared" si="322"/>
        <v>0</v>
      </c>
      <c r="AW270" s="28">
        <f t="shared" si="323"/>
        <v>0</v>
      </c>
      <c r="AX270" s="28">
        <f t="shared" si="324"/>
        <v>0</v>
      </c>
      <c r="AY270" s="29" t="s">
        <v>687</v>
      </c>
      <c r="AZ270" s="29" t="s">
        <v>671</v>
      </c>
      <c r="BA270" s="10" t="s">
        <v>60</v>
      </c>
      <c r="BC270" s="28">
        <f t="shared" si="325"/>
        <v>0</v>
      </c>
      <c r="BD270" s="28">
        <f t="shared" si="326"/>
        <v>0</v>
      </c>
      <c r="BE270" s="28">
        <v>0</v>
      </c>
      <c r="BF270" s="28">
        <f>270</f>
        <v>270</v>
      </c>
      <c r="BH270" s="28">
        <f t="shared" si="327"/>
        <v>0</v>
      </c>
      <c r="BI270" s="28">
        <f t="shared" si="328"/>
        <v>0</v>
      </c>
      <c r="BJ270" s="28">
        <f t="shared" si="329"/>
        <v>0</v>
      </c>
      <c r="BK270" s="28"/>
      <c r="BL270" s="28"/>
      <c r="BW270" s="28">
        <v>12</v>
      </c>
      <c r="BX270" s="4" t="s">
        <v>764</v>
      </c>
    </row>
    <row r="271" spans="1:76" x14ac:dyDescent="0.25">
      <c r="A271" s="30" t="s">
        <v>765</v>
      </c>
      <c r="B271" s="31" t="s">
        <v>766</v>
      </c>
      <c r="C271" s="115" t="s">
        <v>767</v>
      </c>
      <c r="D271" s="116"/>
      <c r="E271" s="31" t="s">
        <v>56</v>
      </c>
      <c r="F271" s="32">
        <v>1</v>
      </c>
      <c r="G271" s="32">
        <v>0</v>
      </c>
      <c r="H271" s="32">
        <f t="shared" si="308"/>
        <v>0</v>
      </c>
      <c r="I271" s="32">
        <f t="shared" si="309"/>
        <v>0</v>
      </c>
      <c r="J271" s="32">
        <f t="shared" si="310"/>
        <v>0</v>
      </c>
      <c r="K271" s="33" t="s">
        <v>57</v>
      </c>
      <c r="Z271" s="28">
        <f t="shared" si="311"/>
        <v>0</v>
      </c>
      <c r="AB271" s="28">
        <f t="shared" si="312"/>
        <v>0</v>
      </c>
      <c r="AC271" s="28">
        <f t="shared" si="313"/>
        <v>0</v>
      </c>
      <c r="AD271" s="28">
        <f t="shared" si="314"/>
        <v>0</v>
      </c>
      <c r="AE271" s="28">
        <f t="shared" si="315"/>
        <v>0</v>
      </c>
      <c r="AF271" s="28">
        <f t="shared" si="316"/>
        <v>0</v>
      </c>
      <c r="AG271" s="28">
        <f t="shared" si="317"/>
        <v>0</v>
      </c>
      <c r="AH271" s="28">
        <f t="shared" si="318"/>
        <v>0</v>
      </c>
      <c r="AI271" s="10" t="s">
        <v>50</v>
      </c>
      <c r="AJ271" s="28">
        <f t="shared" si="319"/>
        <v>0</v>
      </c>
      <c r="AK271" s="28">
        <f t="shared" si="320"/>
        <v>0</v>
      </c>
      <c r="AL271" s="28">
        <f t="shared" si="321"/>
        <v>0</v>
      </c>
      <c r="AN271" s="28">
        <v>12</v>
      </c>
      <c r="AO271" s="28">
        <f>G271*1</f>
        <v>0</v>
      </c>
      <c r="AP271" s="28">
        <f>G271*(1-1)</f>
        <v>0</v>
      </c>
      <c r="AQ271" s="29" t="s">
        <v>53</v>
      </c>
      <c r="AV271" s="28">
        <f t="shared" si="322"/>
        <v>0</v>
      </c>
      <c r="AW271" s="28">
        <f t="shared" si="323"/>
        <v>0</v>
      </c>
      <c r="AX271" s="28">
        <f t="shared" si="324"/>
        <v>0</v>
      </c>
      <c r="AY271" s="29" t="s">
        <v>687</v>
      </c>
      <c r="AZ271" s="29" t="s">
        <v>671</v>
      </c>
      <c r="BA271" s="10" t="s">
        <v>60</v>
      </c>
      <c r="BC271" s="28">
        <f t="shared" si="325"/>
        <v>0</v>
      </c>
      <c r="BD271" s="28">
        <f t="shared" si="326"/>
        <v>0</v>
      </c>
      <c r="BE271" s="28">
        <v>0</v>
      </c>
      <c r="BF271" s="28">
        <f>271</f>
        <v>271</v>
      </c>
      <c r="BH271" s="28">
        <f t="shared" si="327"/>
        <v>0</v>
      </c>
      <c r="BI271" s="28">
        <f t="shared" si="328"/>
        <v>0</v>
      </c>
      <c r="BJ271" s="28">
        <f t="shared" si="329"/>
        <v>0</v>
      </c>
      <c r="BK271" s="28"/>
      <c r="BL271" s="28"/>
      <c r="BW271" s="28">
        <v>12</v>
      </c>
      <c r="BX271" s="4" t="s">
        <v>767</v>
      </c>
    </row>
    <row r="272" spans="1:76" x14ac:dyDescent="0.25">
      <c r="A272" s="30" t="s">
        <v>768</v>
      </c>
      <c r="B272" s="31" t="s">
        <v>698</v>
      </c>
      <c r="C272" s="115" t="s">
        <v>769</v>
      </c>
      <c r="D272" s="116"/>
      <c r="E272" s="31" t="s">
        <v>56</v>
      </c>
      <c r="F272" s="32">
        <v>1</v>
      </c>
      <c r="G272" s="32">
        <v>0</v>
      </c>
      <c r="H272" s="32">
        <f t="shared" si="308"/>
        <v>0</v>
      </c>
      <c r="I272" s="32">
        <f t="shared" si="309"/>
        <v>0</v>
      </c>
      <c r="J272" s="32">
        <f t="shared" si="310"/>
        <v>0</v>
      </c>
      <c r="K272" s="33" t="s">
        <v>57</v>
      </c>
      <c r="Z272" s="28">
        <f t="shared" si="311"/>
        <v>0</v>
      </c>
      <c r="AB272" s="28">
        <f t="shared" si="312"/>
        <v>0</v>
      </c>
      <c r="AC272" s="28">
        <f t="shared" si="313"/>
        <v>0</v>
      </c>
      <c r="AD272" s="28">
        <f t="shared" si="314"/>
        <v>0</v>
      </c>
      <c r="AE272" s="28">
        <f t="shared" si="315"/>
        <v>0</v>
      </c>
      <c r="AF272" s="28">
        <f t="shared" si="316"/>
        <v>0</v>
      </c>
      <c r="AG272" s="28">
        <f t="shared" si="317"/>
        <v>0</v>
      </c>
      <c r="AH272" s="28">
        <f t="shared" si="318"/>
        <v>0</v>
      </c>
      <c r="AI272" s="10" t="s">
        <v>50</v>
      </c>
      <c r="AJ272" s="28">
        <f t="shared" si="319"/>
        <v>0</v>
      </c>
      <c r="AK272" s="28">
        <f t="shared" si="320"/>
        <v>0</v>
      </c>
      <c r="AL272" s="28">
        <f t="shared" si="321"/>
        <v>0</v>
      </c>
      <c r="AN272" s="28">
        <v>12</v>
      </c>
      <c r="AO272" s="28">
        <f>G272*1</f>
        <v>0</v>
      </c>
      <c r="AP272" s="28">
        <f>G272*(1-1)</f>
        <v>0</v>
      </c>
      <c r="AQ272" s="29" t="s">
        <v>53</v>
      </c>
      <c r="AV272" s="28">
        <f t="shared" si="322"/>
        <v>0</v>
      </c>
      <c r="AW272" s="28">
        <f t="shared" si="323"/>
        <v>0</v>
      </c>
      <c r="AX272" s="28">
        <f t="shared" si="324"/>
        <v>0</v>
      </c>
      <c r="AY272" s="29" t="s">
        <v>687</v>
      </c>
      <c r="AZ272" s="29" t="s">
        <v>671</v>
      </c>
      <c r="BA272" s="10" t="s">
        <v>60</v>
      </c>
      <c r="BC272" s="28">
        <f t="shared" si="325"/>
        <v>0</v>
      </c>
      <c r="BD272" s="28">
        <f t="shared" si="326"/>
        <v>0</v>
      </c>
      <c r="BE272" s="28">
        <v>0</v>
      </c>
      <c r="BF272" s="28">
        <f>272</f>
        <v>272</v>
      </c>
      <c r="BH272" s="28">
        <f t="shared" si="327"/>
        <v>0</v>
      </c>
      <c r="BI272" s="28">
        <f t="shared" si="328"/>
        <v>0</v>
      </c>
      <c r="BJ272" s="28">
        <f t="shared" si="329"/>
        <v>0</v>
      </c>
      <c r="BK272" s="28"/>
      <c r="BL272" s="28"/>
      <c r="BW272" s="28">
        <v>12</v>
      </c>
      <c r="BX272" s="4" t="s">
        <v>769</v>
      </c>
    </row>
    <row r="273" spans="1:76" x14ac:dyDescent="0.25">
      <c r="A273" s="30" t="s">
        <v>770</v>
      </c>
      <c r="B273" s="31" t="s">
        <v>771</v>
      </c>
      <c r="C273" s="115" t="s">
        <v>772</v>
      </c>
      <c r="D273" s="116"/>
      <c r="E273" s="31" t="s">
        <v>56</v>
      </c>
      <c r="F273" s="32">
        <v>1</v>
      </c>
      <c r="G273" s="32">
        <v>0</v>
      </c>
      <c r="H273" s="32">
        <f t="shared" si="308"/>
        <v>0</v>
      </c>
      <c r="I273" s="32">
        <f t="shared" si="309"/>
        <v>0</v>
      </c>
      <c r="J273" s="32">
        <f t="shared" si="310"/>
        <v>0</v>
      </c>
      <c r="K273" s="33" t="s">
        <v>57</v>
      </c>
      <c r="Z273" s="28">
        <f t="shared" si="311"/>
        <v>0</v>
      </c>
      <c r="AB273" s="28">
        <f t="shared" si="312"/>
        <v>0</v>
      </c>
      <c r="AC273" s="28">
        <f t="shared" si="313"/>
        <v>0</v>
      </c>
      <c r="AD273" s="28">
        <f t="shared" si="314"/>
        <v>0</v>
      </c>
      <c r="AE273" s="28">
        <f t="shared" si="315"/>
        <v>0</v>
      </c>
      <c r="AF273" s="28">
        <f t="shared" si="316"/>
        <v>0</v>
      </c>
      <c r="AG273" s="28">
        <f t="shared" si="317"/>
        <v>0</v>
      </c>
      <c r="AH273" s="28">
        <f t="shared" si="318"/>
        <v>0</v>
      </c>
      <c r="AI273" s="10" t="s">
        <v>50</v>
      </c>
      <c r="AJ273" s="28">
        <f t="shared" si="319"/>
        <v>0</v>
      </c>
      <c r="AK273" s="28">
        <f t="shared" si="320"/>
        <v>0</v>
      </c>
      <c r="AL273" s="28">
        <f t="shared" si="321"/>
        <v>0</v>
      </c>
      <c r="AN273" s="28">
        <v>12</v>
      </c>
      <c r="AO273" s="28">
        <f>G273*1</f>
        <v>0</v>
      </c>
      <c r="AP273" s="28">
        <f>G273*(1-1)</f>
        <v>0</v>
      </c>
      <c r="AQ273" s="29" t="s">
        <v>53</v>
      </c>
      <c r="AV273" s="28">
        <f t="shared" si="322"/>
        <v>0</v>
      </c>
      <c r="AW273" s="28">
        <f t="shared" si="323"/>
        <v>0</v>
      </c>
      <c r="AX273" s="28">
        <f t="shared" si="324"/>
        <v>0</v>
      </c>
      <c r="AY273" s="29" t="s">
        <v>687</v>
      </c>
      <c r="AZ273" s="29" t="s">
        <v>671</v>
      </c>
      <c r="BA273" s="10" t="s">
        <v>60</v>
      </c>
      <c r="BC273" s="28">
        <f t="shared" si="325"/>
        <v>0</v>
      </c>
      <c r="BD273" s="28">
        <f t="shared" si="326"/>
        <v>0</v>
      </c>
      <c r="BE273" s="28">
        <v>0</v>
      </c>
      <c r="BF273" s="28">
        <f>273</f>
        <v>273</v>
      </c>
      <c r="BH273" s="28">
        <f t="shared" si="327"/>
        <v>0</v>
      </c>
      <c r="BI273" s="28">
        <f t="shared" si="328"/>
        <v>0</v>
      </c>
      <c r="BJ273" s="28">
        <f t="shared" si="329"/>
        <v>0</v>
      </c>
      <c r="BK273" s="28"/>
      <c r="BL273" s="28"/>
      <c r="BW273" s="28">
        <v>12</v>
      </c>
      <c r="BX273" s="4" t="s">
        <v>772</v>
      </c>
    </row>
    <row r="274" spans="1:76" x14ac:dyDescent="0.25">
      <c r="A274" s="30" t="s">
        <v>773</v>
      </c>
      <c r="B274" s="31" t="s">
        <v>774</v>
      </c>
      <c r="C274" s="115" t="s">
        <v>775</v>
      </c>
      <c r="D274" s="116"/>
      <c r="E274" s="31" t="s">
        <v>686</v>
      </c>
      <c r="F274" s="32">
        <v>1</v>
      </c>
      <c r="G274" s="32">
        <v>0</v>
      </c>
      <c r="H274" s="32">
        <f t="shared" si="308"/>
        <v>0</v>
      </c>
      <c r="I274" s="32">
        <f t="shared" si="309"/>
        <v>0</v>
      </c>
      <c r="J274" s="32">
        <f t="shared" si="310"/>
        <v>0</v>
      </c>
      <c r="K274" s="33" t="s">
        <v>57</v>
      </c>
      <c r="Z274" s="28">
        <f t="shared" si="311"/>
        <v>0</v>
      </c>
      <c r="AB274" s="28">
        <f t="shared" si="312"/>
        <v>0</v>
      </c>
      <c r="AC274" s="28">
        <f t="shared" si="313"/>
        <v>0</v>
      </c>
      <c r="AD274" s="28">
        <f t="shared" si="314"/>
        <v>0</v>
      </c>
      <c r="AE274" s="28">
        <f t="shared" si="315"/>
        <v>0</v>
      </c>
      <c r="AF274" s="28">
        <f t="shared" si="316"/>
        <v>0</v>
      </c>
      <c r="AG274" s="28">
        <f t="shared" si="317"/>
        <v>0</v>
      </c>
      <c r="AH274" s="28">
        <f t="shared" si="318"/>
        <v>0</v>
      </c>
      <c r="AI274" s="10" t="s">
        <v>50</v>
      </c>
      <c r="AJ274" s="28">
        <f t="shared" si="319"/>
        <v>0</v>
      </c>
      <c r="AK274" s="28">
        <f t="shared" si="320"/>
        <v>0</v>
      </c>
      <c r="AL274" s="28">
        <f t="shared" si="321"/>
        <v>0</v>
      </c>
      <c r="AN274" s="28">
        <v>12</v>
      </c>
      <c r="AO274" s="28">
        <f>G274*0.179308306</f>
        <v>0</v>
      </c>
      <c r="AP274" s="28">
        <f>G274*(1-0.179308306)</f>
        <v>0</v>
      </c>
      <c r="AQ274" s="29" t="s">
        <v>61</v>
      </c>
      <c r="AV274" s="28">
        <f t="shared" si="322"/>
        <v>0</v>
      </c>
      <c r="AW274" s="28">
        <f t="shared" si="323"/>
        <v>0</v>
      </c>
      <c r="AX274" s="28">
        <f t="shared" si="324"/>
        <v>0</v>
      </c>
      <c r="AY274" s="29" t="s">
        <v>687</v>
      </c>
      <c r="AZ274" s="29" t="s">
        <v>671</v>
      </c>
      <c r="BA274" s="10" t="s">
        <v>60</v>
      </c>
      <c r="BC274" s="28">
        <f t="shared" si="325"/>
        <v>0</v>
      </c>
      <c r="BD274" s="28">
        <f t="shared" si="326"/>
        <v>0</v>
      </c>
      <c r="BE274" s="28">
        <v>0</v>
      </c>
      <c r="BF274" s="28">
        <f>274</f>
        <v>274</v>
      </c>
      <c r="BH274" s="28">
        <f t="shared" si="327"/>
        <v>0</v>
      </c>
      <c r="BI274" s="28">
        <f t="shared" si="328"/>
        <v>0</v>
      </c>
      <c r="BJ274" s="28">
        <f t="shared" si="329"/>
        <v>0</v>
      </c>
      <c r="BK274" s="28"/>
      <c r="BL274" s="28"/>
      <c r="BW274" s="28">
        <v>12</v>
      </c>
      <c r="BX274" s="4" t="s">
        <v>775</v>
      </c>
    </row>
    <row r="275" spans="1:76" x14ac:dyDescent="0.25">
      <c r="A275" s="30" t="s">
        <v>776</v>
      </c>
      <c r="B275" s="31" t="s">
        <v>102</v>
      </c>
      <c r="C275" s="115" t="s">
        <v>103</v>
      </c>
      <c r="D275" s="116"/>
      <c r="E275" s="31" t="s">
        <v>87</v>
      </c>
      <c r="F275" s="32">
        <v>1.8599999999999998E-2</v>
      </c>
      <c r="G275" s="32">
        <v>0</v>
      </c>
      <c r="H275" s="32">
        <f t="shared" si="308"/>
        <v>0</v>
      </c>
      <c r="I275" s="32">
        <f t="shared" si="309"/>
        <v>0</v>
      </c>
      <c r="J275" s="32">
        <f t="shared" si="310"/>
        <v>0</v>
      </c>
      <c r="K275" s="33" t="s">
        <v>57</v>
      </c>
      <c r="Z275" s="28">
        <f t="shared" si="311"/>
        <v>0</v>
      </c>
      <c r="AB275" s="28">
        <f t="shared" si="312"/>
        <v>0</v>
      </c>
      <c r="AC275" s="28">
        <f t="shared" si="313"/>
        <v>0</v>
      </c>
      <c r="AD275" s="28">
        <f t="shared" si="314"/>
        <v>0</v>
      </c>
      <c r="AE275" s="28">
        <f t="shared" si="315"/>
        <v>0</v>
      </c>
      <c r="AF275" s="28">
        <f t="shared" si="316"/>
        <v>0</v>
      </c>
      <c r="AG275" s="28">
        <f t="shared" si="317"/>
        <v>0</v>
      </c>
      <c r="AH275" s="28">
        <f t="shared" si="318"/>
        <v>0</v>
      </c>
      <c r="AI275" s="10" t="s">
        <v>50</v>
      </c>
      <c r="AJ275" s="28">
        <f t="shared" si="319"/>
        <v>0</v>
      </c>
      <c r="AK275" s="28">
        <f t="shared" si="320"/>
        <v>0</v>
      </c>
      <c r="AL275" s="28">
        <f t="shared" si="321"/>
        <v>0</v>
      </c>
      <c r="AN275" s="28">
        <v>12</v>
      </c>
      <c r="AO275" s="28">
        <f>G275*0</f>
        <v>0</v>
      </c>
      <c r="AP275" s="28">
        <f>G275*(1-0)</f>
        <v>0</v>
      </c>
      <c r="AQ275" s="29" t="s">
        <v>74</v>
      </c>
      <c r="AV275" s="28">
        <f t="shared" si="322"/>
        <v>0</v>
      </c>
      <c r="AW275" s="28">
        <f t="shared" si="323"/>
        <v>0</v>
      </c>
      <c r="AX275" s="28">
        <f t="shared" si="324"/>
        <v>0</v>
      </c>
      <c r="AY275" s="29" t="s">
        <v>687</v>
      </c>
      <c r="AZ275" s="29" t="s">
        <v>671</v>
      </c>
      <c r="BA275" s="10" t="s">
        <v>60</v>
      </c>
      <c r="BC275" s="28">
        <f t="shared" si="325"/>
        <v>0</v>
      </c>
      <c r="BD275" s="28">
        <f t="shared" si="326"/>
        <v>0</v>
      </c>
      <c r="BE275" s="28">
        <v>0</v>
      </c>
      <c r="BF275" s="28">
        <f>275</f>
        <v>275</v>
      </c>
      <c r="BH275" s="28">
        <f t="shared" si="327"/>
        <v>0</v>
      </c>
      <c r="BI275" s="28">
        <f t="shared" si="328"/>
        <v>0</v>
      </c>
      <c r="BJ275" s="28">
        <f t="shared" si="329"/>
        <v>0</v>
      </c>
      <c r="BK275" s="28"/>
      <c r="BL275" s="28"/>
      <c r="BW275" s="28">
        <v>12</v>
      </c>
      <c r="BX275" s="4" t="s">
        <v>103</v>
      </c>
    </row>
    <row r="276" spans="1:76" x14ac:dyDescent="0.25">
      <c r="A276" s="36" t="s">
        <v>50</v>
      </c>
      <c r="B276" s="37" t="s">
        <v>777</v>
      </c>
      <c r="C276" s="120" t="s">
        <v>778</v>
      </c>
      <c r="D276" s="121"/>
      <c r="E276" s="38" t="s">
        <v>4</v>
      </c>
      <c r="F276" s="38" t="s">
        <v>4</v>
      </c>
      <c r="G276" s="38" t="s">
        <v>4</v>
      </c>
      <c r="H276" s="39">
        <f>SUM(H277:H299)</f>
        <v>0</v>
      </c>
      <c r="I276" s="39">
        <f>SUM(I277:I299)</f>
        <v>0</v>
      </c>
      <c r="J276" s="39">
        <f>SUM(J277:J299)</f>
        <v>0</v>
      </c>
      <c r="K276" s="40" t="s">
        <v>50</v>
      </c>
      <c r="AI276" s="10" t="s">
        <v>50</v>
      </c>
      <c r="AS276" s="1">
        <f>SUM(AJ277:AJ299)</f>
        <v>0</v>
      </c>
      <c r="AT276" s="1">
        <f>SUM(AK277:AK299)</f>
        <v>0</v>
      </c>
      <c r="AU276" s="1">
        <f>SUM(AL277:AL299)</f>
        <v>0</v>
      </c>
    </row>
    <row r="277" spans="1:76" x14ac:dyDescent="0.25">
      <c r="A277" s="24" t="s">
        <v>779</v>
      </c>
      <c r="B277" s="25" t="s">
        <v>780</v>
      </c>
      <c r="C277" s="113" t="s">
        <v>781</v>
      </c>
      <c r="D277" s="114"/>
      <c r="E277" s="25" t="s">
        <v>77</v>
      </c>
      <c r="F277" s="26">
        <v>20</v>
      </c>
      <c r="G277" s="26">
        <v>0</v>
      </c>
      <c r="H277" s="26">
        <f>F277*AO277</f>
        <v>0</v>
      </c>
      <c r="I277" s="26">
        <f>F277*AP277</f>
        <v>0</v>
      </c>
      <c r="J277" s="26">
        <f>F277*G277</f>
        <v>0</v>
      </c>
      <c r="K277" s="27" t="s">
        <v>57</v>
      </c>
      <c r="Z277" s="28">
        <f>IF(AQ277="5",BJ277,0)</f>
        <v>0</v>
      </c>
      <c r="AB277" s="28">
        <f>IF(AQ277="1",BH277,0)</f>
        <v>0</v>
      </c>
      <c r="AC277" s="28">
        <f>IF(AQ277="1",BI277,0)</f>
        <v>0</v>
      </c>
      <c r="AD277" s="28">
        <f>IF(AQ277="7",BH277,0)</f>
        <v>0</v>
      </c>
      <c r="AE277" s="28">
        <f>IF(AQ277="7",BI277,0)</f>
        <v>0</v>
      </c>
      <c r="AF277" s="28">
        <f>IF(AQ277="2",BH277,0)</f>
        <v>0</v>
      </c>
      <c r="AG277" s="28">
        <f>IF(AQ277="2",BI277,0)</f>
        <v>0</v>
      </c>
      <c r="AH277" s="28">
        <f>IF(AQ277="0",BJ277,0)</f>
        <v>0</v>
      </c>
      <c r="AI277" s="10" t="s">
        <v>50</v>
      </c>
      <c r="AJ277" s="28">
        <f>IF(AN277=0,J277,0)</f>
        <v>0</v>
      </c>
      <c r="AK277" s="28">
        <f>IF(AN277=12,J277,0)</f>
        <v>0</v>
      </c>
      <c r="AL277" s="28">
        <f>IF(AN277=21,J277,0)</f>
        <v>0</v>
      </c>
      <c r="AN277" s="28">
        <v>12</v>
      </c>
      <c r="AO277" s="28">
        <f>G277*0.631032258</f>
        <v>0</v>
      </c>
      <c r="AP277" s="28">
        <f>G277*(1-0.631032258)</f>
        <v>0</v>
      </c>
      <c r="AQ277" s="29" t="s">
        <v>61</v>
      </c>
      <c r="AV277" s="28">
        <f>AW277+AX277</f>
        <v>0</v>
      </c>
      <c r="AW277" s="28">
        <f>F277*AO277</f>
        <v>0</v>
      </c>
      <c r="AX277" s="28">
        <f>F277*AP277</f>
        <v>0</v>
      </c>
      <c r="AY277" s="29" t="s">
        <v>782</v>
      </c>
      <c r="AZ277" s="29" t="s">
        <v>671</v>
      </c>
      <c r="BA277" s="10" t="s">
        <v>60</v>
      </c>
      <c r="BC277" s="28">
        <f>AW277+AX277</f>
        <v>0</v>
      </c>
      <c r="BD277" s="28">
        <f>G277/(100-BE277)*100</f>
        <v>0</v>
      </c>
      <c r="BE277" s="28">
        <v>0</v>
      </c>
      <c r="BF277" s="28">
        <f>277</f>
        <v>277</v>
      </c>
      <c r="BH277" s="28">
        <f>F277*AO277</f>
        <v>0</v>
      </c>
      <c r="BI277" s="28">
        <f>F277*AP277</f>
        <v>0</v>
      </c>
      <c r="BJ277" s="28">
        <f>F277*G277</f>
        <v>0</v>
      </c>
      <c r="BK277" s="28"/>
      <c r="BL277" s="28"/>
      <c r="BW277" s="28">
        <v>12</v>
      </c>
      <c r="BX277" s="4" t="s">
        <v>781</v>
      </c>
    </row>
    <row r="278" spans="1:76" ht="13.5" customHeight="1" x14ac:dyDescent="0.25">
      <c r="A278" s="34"/>
      <c r="B278" s="35" t="s">
        <v>65</v>
      </c>
      <c r="C278" s="117" t="s">
        <v>783</v>
      </c>
      <c r="D278" s="118"/>
      <c r="E278" s="118"/>
      <c r="F278" s="118"/>
      <c r="G278" s="118"/>
      <c r="H278" s="118"/>
      <c r="I278" s="118"/>
      <c r="J278" s="118"/>
      <c r="K278" s="119"/>
    </row>
    <row r="279" spans="1:76" x14ac:dyDescent="0.25">
      <c r="A279" s="24" t="s">
        <v>784</v>
      </c>
      <c r="B279" s="25" t="s">
        <v>785</v>
      </c>
      <c r="C279" s="113" t="s">
        <v>786</v>
      </c>
      <c r="D279" s="114"/>
      <c r="E279" s="25" t="s">
        <v>77</v>
      </c>
      <c r="F279" s="26">
        <v>10</v>
      </c>
      <c r="G279" s="26">
        <v>0</v>
      </c>
      <c r="H279" s="26">
        <f>F279*AO279</f>
        <v>0</v>
      </c>
      <c r="I279" s="26">
        <f>F279*AP279</f>
        <v>0</v>
      </c>
      <c r="J279" s="26">
        <f>F279*G279</f>
        <v>0</v>
      </c>
      <c r="K279" s="27" t="s">
        <v>57</v>
      </c>
      <c r="Z279" s="28">
        <f>IF(AQ279="5",BJ279,0)</f>
        <v>0</v>
      </c>
      <c r="AB279" s="28">
        <f>IF(AQ279="1",BH279,0)</f>
        <v>0</v>
      </c>
      <c r="AC279" s="28">
        <f>IF(AQ279="1",BI279,0)</f>
        <v>0</v>
      </c>
      <c r="AD279" s="28">
        <f>IF(AQ279="7",BH279,0)</f>
        <v>0</v>
      </c>
      <c r="AE279" s="28">
        <f>IF(AQ279="7",BI279,0)</f>
        <v>0</v>
      </c>
      <c r="AF279" s="28">
        <f>IF(AQ279="2",BH279,0)</f>
        <v>0</v>
      </c>
      <c r="AG279" s="28">
        <f>IF(AQ279="2",BI279,0)</f>
        <v>0</v>
      </c>
      <c r="AH279" s="28">
        <f>IF(AQ279="0",BJ279,0)</f>
        <v>0</v>
      </c>
      <c r="AI279" s="10" t="s">
        <v>50</v>
      </c>
      <c r="AJ279" s="28">
        <f>IF(AN279=0,J279,0)</f>
        <v>0</v>
      </c>
      <c r="AK279" s="28">
        <f>IF(AN279=12,J279,0)</f>
        <v>0</v>
      </c>
      <c r="AL279" s="28">
        <f>IF(AN279=21,J279,0)</f>
        <v>0</v>
      </c>
      <c r="AN279" s="28">
        <v>12</v>
      </c>
      <c r="AO279" s="28">
        <f>G279*0.41517761</f>
        <v>0</v>
      </c>
      <c r="AP279" s="28">
        <f>G279*(1-0.41517761)</f>
        <v>0</v>
      </c>
      <c r="AQ279" s="29" t="s">
        <v>61</v>
      </c>
      <c r="AV279" s="28">
        <f>AW279+AX279</f>
        <v>0</v>
      </c>
      <c r="AW279" s="28">
        <f>F279*AO279</f>
        <v>0</v>
      </c>
      <c r="AX279" s="28">
        <f>F279*AP279</f>
        <v>0</v>
      </c>
      <c r="AY279" s="29" t="s">
        <v>782</v>
      </c>
      <c r="AZ279" s="29" t="s">
        <v>671</v>
      </c>
      <c r="BA279" s="10" t="s">
        <v>60</v>
      </c>
      <c r="BC279" s="28">
        <f>AW279+AX279</f>
        <v>0</v>
      </c>
      <c r="BD279" s="28">
        <f>G279/(100-BE279)*100</f>
        <v>0</v>
      </c>
      <c r="BE279" s="28">
        <v>0</v>
      </c>
      <c r="BF279" s="28">
        <f>279</f>
        <v>279</v>
      </c>
      <c r="BH279" s="28">
        <f>F279*AO279</f>
        <v>0</v>
      </c>
      <c r="BI279" s="28">
        <f>F279*AP279</f>
        <v>0</v>
      </c>
      <c r="BJ279" s="28">
        <f>F279*G279</f>
        <v>0</v>
      </c>
      <c r="BK279" s="28"/>
      <c r="BL279" s="28"/>
      <c r="BW279" s="28">
        <v>12</v>
      </c>
      <c r="BX279" s="4" t="s">
        <v>786</v>
      </c>
    </row>
    <row r="280" spans="1:76" ht="13.5" customHeight="1" x14ac:dyDescent="0.25">
      <c r="A280" s="34"/>
      <c r="B280" s="35" t="s">
        <v>65</v>
      </c>
      <c r="C280" s="117" t="s">
        <v>787</v>
      </c>
      <c r="D280" s="118"/>
      <c r="E280" s="118"/>
      <c r="F280" s="118"/>
      <c r="G280" s="118"/>
      <c r="H280" s="118"/>
      <c r="I280" s="118"/>
      <c r="J280" s="118"/>
      <c r="K280" s="119"/>
    </row>
    <row r="281" spans="1:76" x14ac:dyDescent="0.25">
      <c r="A281" s="24" t="s">
        <v>788</v>
      </c>
      <c r="B281" s="25" t="s">
        <v>789</v>
      </c>
      <c r="C281" s="113" t="s">
        <v>790</v>
      </c>
      <c r="D281" s="114"/>
      <c r="E281" s="25" t="s">
        <v>77</v>
      </c>
      <c r="F281" s="26">
        <v>200</v>
      </c>
      <c r="G281" s="26">
        <v>0</v>
      </c>
      <c r="H281" s="26">
        <f>F281*AO281</f>
        <v>0</v>
      </c>
      <c r="I281" s="26">
        <f>F281*AP281</f>
        <v>0</v>
      </c>
      <c r="J281" s="26">
        <f>F281*G281</f>
        <v>0</v>
      </c>
      <c r="K281" s="27" t="s">
        <v>57</v>
      </c>
      <c r="Z281" s="28">
        <f>IF(AQ281="5",BJ281,0)</f>
        <v>0</v>
      </c>
      <c r="AB281" s="28">
        <f>IF(AQ281="1",BH281,0)</f>
        <v>0</v>
      </c>
      <c r="AC281" s="28">
        <f>IF(AQ281="1",BI281,0)</f>
        <v>0</v>
      </c>
      <c r="AD281" s="28">
        <f>IF(AQ281="7",BH281,0)</f>
        <v>0</v>
      </c>
      <c r="AE281" s="28">
        <f>IF(AQ281="7",BI281,0)</f>
        <v>0</v>
      </c>
      <c r="AF281" s="28">
        <f>IF(AQ281="2",BH281,0)</f>
        <v>0</v>
      </c>
      <c r="AG281" s="28">
        <f>IF(AQ281="2",BI281,0)</f>
        <v>0</v>
      </c>
      <c r="AH281" s="28">
        <f>IF(AQ281="0",BJ281,0)</f>
        <v>0</v>
      </c>
      <c r="AI281" s="10" t="s">
        <v>50</v>
      </c>
      <c r="AJ281" s="28">
        <f>IF(AN281=0,J281,0)</f>
        <v>0</v>
      </c>
      <c r="AK281" s="28">
        <f>IF(AN281=12,J281,0)</f>
        <v>0</v>
      </c>
      <c r="AL281" s="28">
        <f>IF(AN281=21,J281,0)</f>
        <v>0</v>
      </c>
      <c r="AN281" s="28">
        <v>12</v>
      </c>
      <c r="AO281" s="28">
        <f>G281*0.315471698</f>
        <v>0</v>
      </c>
      <c r="AP281" s="28">
        <f>G281*(1-0.315471698)</f>
        <v>0</v>
      </c>
      <c r="AQ281" s="29" t="s">
        <v>61</v>
      </c>
      <c r="AV281" s="28">
        <f>AW281+AX281</f>
        <v>0</v>
      </c>
      <c r="AW281" s="28">
        <f>F281*AO281</f>
        <v>0</v>
      </c>
      <c r="AX281" s="28">
        <f>F281*AP281</f>
        <v>0</v>
      </c>
      <c r="AY281" s="29" t="s">
        <v>782</v>
      </c>
      <c r="AZ281" s="29" t="s">
        <v>671</v>
      </c>
      <c r="BA281" s="10" t="s">
        <v>60</v>
      </c>
      <c r="BC281" s="28">
        <f>AW281+AX281</f>
        <v>0</v>
      </c>
      <c r="BD281" s="28">
        <f>G281/(100-BE281)*100</f>
        <v>0</v>
      </c>
      <c r="BE281" s="28">
        <v>0</v>
      </c>
      <c r="BF281" s="28">
        <f>281</f>
        <v>281</v>
      </c>
      <c r="BH281" s="28">
        <f>F281*AO281</f>
        <v>0</v>
      </c>
      <c r="BI281" s="28">
        <f>F281*AP281</f>
        <v>0</v>
      </c>
      <c r="BJ281" s="28">
        <f>F281*G281</f>
        <v>0</v>
      </c>
      <c r="BK281" s="28"/>
      <c r="BL281" s="28"/>
      <c r="BW281" s="28">
        <v>12</v>
      </c>
      <c r="BX281" s="4" t="s">
        <v>790</v>
      </c>
    </row>
    <row r="282" spans="1:76" ht="13.5" customHeight="1" x14ac:dyDescent="0.25">
      <c r="A282" s="34"/>
      <c r="B282" s="35" t="s">
        <v>65</v>
      </c>
      <c r="C282" s="117" t="s">
        <v>791</v>
      </c>
      <c r="D282" s="118"/>
      <c r="E282" s="118"/>
      <c r="F282" s="118"/>
      <c r="G282" s="118"/>
      <c r="H282" s="118"/>
      <c r="I282" s="118"/>
      <c r="J282" s="118"/>
      <c r="K282" s="119"/>
    </row>
    <row r="283" spans="1:76" x14ac:dyDescent="0.25">
      <c r="A283" s="24" t="s">
        <v>792</v>
      </c>
      <c r="B283" s="25" t="s">
        <v>793</v>
      </c>
      <c r="C283" s="113" t="s">
        <v>794</v>
      </c>
      <c r="D283" s="114"/>
      <c r="E283" s="25" t="s">
        <v>77</v>
      </c>
      <c r="F283" s="26">
        <v>200</v>
      </c>
      <c r="G283" s="26">
        <v>0</v>
      </c>
      <c r="H283" s="26">
        <f>F283*AO283</f>
        <v>0</v>
      </c>
      <c r="I283" s="26">
        <f>F283*AP283</f>
        <v>0</v>
      </c>
      <c r="J283" s="26">
        <f>F283*G283</f>
        <v>0</v>
      </c>
      <c r="K283" s="27" t="s">
        <v>57</v>
      </c>
      <c r="Z283" s="28">
        <f>IF(AQ283="5",BJ283,0)</f>
        <v>0</v>
      </c>
      <c r="AB283" s="28">
        <f>IF(AQ283="1",BH283,0)</f>
        <v>0</v>
      </c>
      <c r="AC283" s="28">
        <f>IF(AQ283="1",BI283,0)</f>
        <v>0</v>
      </c>
      <c r="AD283" s="28">
        <f>IF(AQ283="7",BH283,0)</f>
        <v>0</v>
      </c>
      <c r="AE283" s="28">
        <f>IF(AQ283="7",BI283,0)</f>
        <v>0</v>
      </c>
      <c r="AF283" s="28">
        <f>IF(AQ283="2",BH283,0)</f>
        <v>0</v>
      </c>
      <c r="AG283" s="28">
        <f>IF(AQ283="2",BI283,0)</f>
        <v>0</v>
      </c>
      <c r="AH283" s="28">
        <f>IF(AQ283="0",BJ283,0)</f>
        <v>0</v>
      </c>
      <c r="AI283" s="10" t="s">
        <v>50</v>
      </c>
      <c r="AJ283" s="28">
        <f>IF(AN283=0,J283,0)</f>
        <v>0</v>
      </c>
      <c r="AK283" s="28">
        <f>IF(AN283=12,J283,0)</f>
        <v>0</v>
      </c>
      <c r="AL283" s="28">
        <f>IF(AN283=21,J283,0)</f>
        <v>0</v>
      </c>
      <c r="AN283" s="28">
        <v>12</v>
      </c>
      <c r="AO283" s="28">
        <f>G283*0.225783476</f>
        <v>0</v>
      </c>
      <c r="AP283" s="28">
        <f>G283*(1-0.225783476)</f>
        <v>0</v>
      </c>
      <c r="AQ283" s="29" t="s">
        <v>61</v>
      </c>
      <c r="AV283" s="28">
        <f>AW283+AX283</f>
        <v>0</v>
      </c>
      <c r="AW283" s="28">
        <f>F283*AO283</f>
        <v>0</v>
      </c>
      <c r="AX283" s="28">
        <f>F283*AP283</f>
        <v>0</v>
      </c>
      <c r="AY283" s="29" t="s">
        <v>782</v>
      </c>
      <c r="AZ283" s="29" t="s">
        <v>671</v>
      </c>
      <c r="BA283" s="10" t="s">
        <v>60</v>
      </c>
      <c r="BC283" s="28">
        <f>AW283+AX283</f>
        <v>0</v>
      </c>
      <c r="BD283" s="28">
        <f>G283/(100-BE283)*100</f>
        <v>0</v>
      </c>
      <c r="BE283" s="28">
        <v>0</v>
      </c>
      <c r="BF283" s="28">
        <f>283</f>
        <v>283</v>
      </c>
      <c r="BH283" s="28">
        <f>F283*AO283</f>
        <v>0</v>
      </c>
      <c r="BI283" s="28">
        <f>F283*AP283</f>
        <v>0</v>
      </c>
      <c r="BJ283" s="28">
        <f>F283*G283</f>
        <v>0</v>
      </c>
      <c r="BK283" s="28"/>
      <c r="BL283" s="28"/>
      <c r="BW283" s="28">
        <v>12</v>
      </c>
      <c r="BX283" s="4" t="s">
        <v>794</v>
      </c>
    </row>
    <row r="284" spans="1:76" ht="13.5" customHeight="1" x14ac:dyDescent="0.25">
      <c r="A284" s="34"/>
      <c r="B284" s="35" t="s">
        <v>65</v>
      </c>
      <c r="C284" s="117" t="s">
        <v>795</v>
      </c>
      <c r="D284" s="118"/>
      <c r="E284" s="118"/>
      <c r="F284" s="118"/>
      <c r="G284" s="118"/>
      <c r="H284" s="118"/>
      <c r="I284" s="118"/>
      <c r="J284" s="118"/>
      <c r="K284" s="119"/>
    </row>
    <row r="285" spans="1:76" x14ac:dyDescent="0.25">
      <c r="A285" s="24" t="s">
        <v>796</v>
      </c>
      <c r="B285" s="25" t="s">
        <v>797</v>
      </c>
      <c r="C285" s="113" t="s">
        <v>798</v>
      </c>
      <c r="D285" s="114"/>
      <c r="E285" s="25" t="s">
        <v>77</v>
      </c>
      <c r="F285" s="26">
        <v>50</v>
      </c>
      <c r="G285" s="26">
        <v>0</v>
      </c>
      <c r="H285" s="26">
        <f>F285*AO285</f>
        <v>0</v>
      </c>
      <c r="I285" s="26">
        <f>F285*AP285</f>
        <v>0</v>
      </c>
      <c r="J285" s="26">
        <f>F285*G285</f>
        <v>0</v>
      </c>
      <c r="K285" s="27" t="s">
        <v>57</v>
      </c>
      <c r="Z285" s="28">
        <f>IF(AQ285="5",BJ285,0)</f>
        <v>0</v>
      </c>
      <c r="AB285" s="28">
        <f>IF(AQ285="1",BH285,0)</f>
        <v>0</v>
      </c>
      <c r="AC285" s="28">
        <f>IF(AQ285="1",BI285,0)</f>
        <v>0</v>
      </c>
      <c r="AD285" s="28">
        <f>IF(AQ285="7",BH285,0)</f>
        <v>0</v>
      </c>
      <c r="AE285" s="28">
        <f>IF(AQ285="7",BI285,0)</f>
        <v>0</v>
      </c>
      <c r="AF285" s="28">
        <f>IF(AQ285="2",BH285,0)</f>
        <v>0</v>
      </c>
      <c r="AG285" s="28">
        <f>IF(AQ285="2",BI285,0)</f>
        <v>0</v>
      </c>
      <c r="AH285" s="28">
        <f>IF(AQ285="0",BJ285,0)</f>
        <v>0</v>
      </c>
      <c r="AI285" s="10" t="s">
        <v>50</v>
      </c>
      <c r="AJ285" s="28">
        <f>IF(AN285=0,J285,0)</f>
        <v>0</v>
      </c>
      <c r="AK285" s="28">
        <f>IF(AN285=12,J285,0)</f>
        <v>0</v>
      </c>
      <c r="AL285" s="28">
        <f>IF(AN285=21,J285,0)</f>
        <v>0</v>
      </c>
      <c r="AN285" s="28">
        <v>12</v>
      </c>
      <c r="AO285" s="28">
        <f>G285*0.316100629</f>
        <v>0</v>
      </c>
      <c r="AP285" s="28">
        <f>G285*(1-0.316100629)</f>
        <v>0</v>
      </c>
      <c r="AQ285" s="29" t="s">
        <v>61</v>
      </c>
      <c r="AV285" s="28">
        <f>AW285+AX285</f>
        <v>0</v>
      </c>
      <c r="AW285" s="28">
        <f>F285*AO285</f>
        <v>0</v>
      </c>
      <c r="AX285" s="28">
        <f>F285*AP285</f>
        <v>0</v>
      </c>
      <c r="AY285" s="29" t="s">
        <v>782</v>
      </c>
      <c r="AZ285" s="29" t="s">
        <v>671</v>
      </c>
      <c r="BA285" s="10" t="s">
        <v>60</v>
      </c>
      <c r="BC285" s="28">
        <f>AW285+AX285</f>
        <v>0</v>
      </c>
      <c r="BD285" s="28">
        <f>G285/(100-BE285)*100</f>
        <v>0</v>
      </c>
      <c r="BE285" s="28">
        <v>0</v>
      </c>
      <c r="BF285" s="28">
        <f>285</f>
        <v>285</v>
      </c>
      <c r="BH285" s="28">
        <f>F285*AO285</f>
        <v>0</v>
      </c>
      <c r="BI285" s="28">
        <f>F285*AP285</f>
        <v>0</v>
      </c>
      <c r="BJ285" s="28">
        <f>F285*G285</f>
        <v>0</v>
      </c>
      <c r="BK285" s="28"/>
      <c r="BL285" s="28"/>
      <c r="BW285" s="28">
        <v>12</v>
      </c>
      <c r="BX285" s="4" t="s">
        <v>798</v>
      </c>
    </row>
    <row r="286" spans="1:76" ht="13.5" customHeight="1" x14ac:dyDescent="0.25">
      <c r="A286" s="34"/>
      <c r="B286" s="35" t="s">
        <v>65</v>
      </c>
      <c r="C286" s="117" t="s">
        <v>799</v>
      </c>
      <c r="D286" s="118"/>
      <c r="E286" s="118"/>
      <c r="F286" s="118"/>
      <c r="G286" s="118"/>
      <c r="H286" s="118"/>
      <c r="I286" s="118"/>
      <c r="J286" s="118"/>
      <c r="K286" s="119"/>
    </row>
    <row r="287" spans="1:76" x14ac:dyDescent="0.25">
      <c r="A287" s="24" t="s">
        <v>800</v>
      </c>
      <c r="B287" s="25" t="s">
        <v>801</v>
      </c>
      <c r="C287" s="113" t="s">
        <v>802</v>
      </c>
      <c r="D287" s="114"/>
      <c r="E287" s="25" t="s">
        <v>77</v>
      </c>
      <c r="F287" s="26">
        <v>25</v>
      </c>
      <c r="G287" s="26">
        <v>0</v>
      </c>
      <c r="H287" s="26">
        <f>F287*AO287</f>
        <v>0</v>
      </c>
      <c r="I287" s="26">
        <f>F287*AP287</f>
        <v>0</v>
      </c>
      <c r="J287" s="26">
        <f>F287*G287</f>
        <v>0</v>
      </c>
      <c r="K287" s="27" t="s">
        <v>57</v>
      </c>
      <c r="Z287" s="28">
        <f>IF(AQ287="5",BJ287,0)</f>
        <v>0</v>
      </c>
      <c r="AB287" s="28">
        <f>IF(AQ287="1",BH287,0)</f>
        <v>0</v>
      </c>
      <c r="AC287" s="28">
        <f>IF(AQ287="1",BI287,0)</f>
        <v>0</v>
      </c>
      <c r="AD287" s="28">
        <f>IF(AQ287="7",BH287,0)</f>
        <v>0</v>
      </c>
      <c r="AE287" s="28">
        <f>IF(AQ287="7",BI287,0)</f>
        <v>0</v>
      </c>
      <c r="AF287" s="28">
        <f>IF(AQ287="2",BH287,0)</f>
        <v>0</v>
      </c>
      <c r="AG287" s="28">
        <f>IF(AQ287="2",BI287,0)</f>
        <v>0</v>
      </c>
      <c r="AH287" s="28">
        <f>IF(AQ287="0",BJ287,0)</f>
        <v>0</v>
      </c>
      <c r="AI287" s="10" t="s">
        <v>50</v>
      </c>
      <c r="AJ287" s="28">
        <f>IF(AN287=0,J287,0)</f>
        <v>0</v>
      </c>
      <c r="AK287" s="28">
        <f>IF(AN287=12,J287,0)</f>
        <v>0</v>
      </c>
      <c r="AL287" s="28">
        <f>IF(AN287=21,J287,0)</f>
        <v>0</v>
      </c>
      <c r="AN287" s="28">
        <v>12</v>
      </c>
      <c r="AO287" s="28">
        <f>G287*0</f>
        <v>0</v>
      </c>
      <c r="AP287" s="28">
        <f>G287*(1-0)</f>
        <v>0</v>
      </c>
      <c r="AQ287" s="29" t="s">
        <v>61</v>
      </c>
      <c r="AV287" s="28">
        <f>AW287+AX287</f>
        <v>0</v>
      </c>
      <c r="AW287" s="28">
        <f>F287*AO287</f>
        <v>0</v>
      </c>
      <c r="AX287" s="28">
        <f>F287*AP287</f>
        <v>0</v>
      </c>
      <c r="AY287" s="29" t="s">
        <v>782</v>
      </c>
      <c r="AZ287" s="29" t="s">
        <v>671</v>
      </c>
      <c r="BA287" s="10" t="s">
        <v>60</v>
      </c>
      <c r="BC287" s="28">
        <f>AW287+AX287</f>
        <v>0</v>
      </c>
      <c r="BD287" s="28">
        <f>G287/(100-BE287)*100</f>
        <v>0</v>
      </c>
      <c r="BE287" s="28">
        <v>0</v>
      </c>
      <c r="BF287" s="28">
        <f>287</f>
        <v>287</v>
      </c>
      <c r="BH287" s="28">
        <f>F287*AO287</f>
        <v>0</v>
      </c>
      <c r="BI287" s="28">
        <f>F287*AP287</f>
        <v>0</v>
      </c>
      <c r="BJ287" s="28">
        <f>F287*G287</f>
        <v>0</v>
      </c>
      <c r="BK287" s="28"/>
      <c r="BL287" s="28"/>
      <c r="BW287" s="28">
        <v>12</v>
      </c>
      <c r="BX287" s="4" t="s">
        <v>802</v>
      </c>
    </row>
    <row r="288" spans="1:76" ht="13.5" customHeight="1" x14ac:dyDescent="0.25">
      <c r="A288" s="34"/>
      <c r="B288" s="35" t="s">
        <v>65</v>
      </c>
      <c r="C288" s="117" t="s">
        <v>803</v>
      </c>
      <c r="D288" s="118"/>
      <c r="E288" s="118"/>
      <c r="F288" s="118"/>
      <c r="G288" s="118"/>
      <c r="H288" s="118"/>
      <c r="I288" s="118"/>
      <c r="J288" s="118"/>
      <c r="K288" s="119"/>
    </row>
    <row r="289" spans="1:76" x14ac:dyDescent="0.25">
      <c r="A289" s="24" t="s">
        <v>804</v>
      </c>
      <c r="B289" s="25" t="s">
        <v>805</v>
      </c>
      <c r="C289" s="113" t="s">
        <v>806</v>
      </c>
      <c r="D289" s="114"/>
      <c r="E289" s="25" t="s">
        <v>77</v>
      </c>
      <c r="F289" s="26">
        <v>2.5</v>
      </c>
      <c r="G289" s="26">
        <v>0</v>
      </c>
      <c r="H289" s="26">
        <f>F289*AO289</f>
        <v>0</v>
      </c>
      <c r="I289" s="26">
        <f>F289*AP289</f>
        <v>0</v>
      </c>
      <c r="J289" s="26">
        <f>F289*G289</f>
        <v>0</v>
      </c>
      <c r="K289" s="27" t="s">
        <v>57</v>
      </c>
      <c r="Z289" s="28">
        <f>IF(AQ289="5",BJ289,0)</f>
        <v>0</v>
      </c>
      <c r="AB289" s="28">
        <f>IF(AQ289="1",BH289,0)</f>
        <v>0</v>
      </c>
      <c r="AC289" s="28">
        <f>IF(AQ289="1",BI289,0)</f>
        <v>0</v>
      </c>
      <c r="AD289" s="28">
        <f>IF(AQ289="7",BH289,0)</f>
        <v>0</v>
      </c>
      <c r="AE289" s="28">
        <f>IF(AQ289="7",BI289,0)</f>
        <v>0</v>
      </c>
      <c r="AF289" s="28">
        <f>IF(AQ289="2",BH289,0)</f>
        <v>0</v>
      </c>
      <c r="AG289" s="28">
        <f>IF(AQ289="2",BI289,0)</f>
        <v>0</v>
      </c>
      <c r="AH289" s="28">
        <f>IF(AQ289="0",BJ289,0)</f>
        <v>0</v>
      </c>
      <c r="AI289" s="10" t="s">
        <v>50</v>
      </c>
      <c r="AJ289" s="28">
        <f>IF(AN289=0,J289,0)</f>
        <v>0</v>
      </c>
      <c r="AK289" s="28">
        <f>IF(AN289=12,J289,0)</f>
        <v>0</v>
      </c>
      <c r="AL289" s="28">
        <f>IF(AN289=21,J289,0)</f>
        <v>0</v>
      </c>
      <c r="AN289" s="28">
        <v>12</v>
      </c>
      <c r="AO289" s="28">
        <f>G289*0.782058229</f>
        <v>0</v>
      </c>
      <c r="AP289" s="28">
        <f>G289*(1-0.782058229)</f>
        <v>0</v>
      </c>
      <c r="AQ289" s="29" t="s">
        <v>61</v>
      </c>
      <c r="AV289" s="28">
        <f>AW289+AX289</f>
        <v>0</v>
      </c>
      <c r="AW289" s="28">
        <f>F289*AO289</f>
        <v>0</v>
      </c>
      <c r="AX289" s="28">
        <f>F289*AP289</f>
        <v>0</v>
      </c>
      <c r="AY289" s="29" t="s">
        <v>782</v>
      </c>
      <c r="AZ289" s="29" t="s">
        <v>671</v>
      </c>
      <c r="BA289" s="10" t="s">
        <v>60</v>
      </c>
      <c r="BC289" s="28">
        <f>AW289+AX289</f>
        <v>0</v>
      </c>
      <c r="BD289" s="28">
        <f>G289/(100-BE289)*100</f>
        <v>0</v>
      </c>
      <c r="BE289" s="28">
        <v>0</v>
      </c>
      <c r="BF289" s="28">
        <f>289</f>
        <v>289</v>
      </c>
      <c r="BH289" s="28">
        <f>F289*AO289</f>
        <v>0</v>
      </c>
      <c r="BI289" s="28">
        <f>F289*AP289</f>
        <v>0</v>
      </c>
      <c r="BJ289" s="28">
        <f>F289*G289</f>
        <v>0</v>
      </c>
      <c r="BK289" s="28"/>
      <c r="BL289" s="28"/>
      <c r="BW289" s="28">
        <v>12</v>
      </c>
      <c r="BX289" s="4" t="s">
        <v>806</v>
      </c>
    </row>
    <row r="290" spans="1:76" ht="13.5" customHeight="1" x14ac:dyDescent="0.25">
      <c r="A290" s="34"/>
      <c r="B290" s="35" t="s">
        <v>65</v>
      </c>
      <c r="C290" s="117" t="s">
        <v>807</v>
      </c>
      <c r="D290" s="118"/>
      <c r="E290" s="118"/>
      <c r="F290" s="118"/>
      <c r="G290" s="118"/>
      <c r="H290" s="118"/>
      <c r="I290" s="118"/>
      <c r="J290" s="118"/>
      <c r="K290" s="119"/>
    </row>
    <row r="291" spans="1:76" x14ac:dyDescent="0.25">
      <c r="A291" s="24" t="s">
        <v>808</v>
      </c>
      <c r="B291" s="25" t="s">
        <v>809</v>
      </c>
      <c r="C291" s="113" t="s">
        <v>810</v>
      </c>
      <c r="D291" s="114"/>
      <c r="E291" s="25" t="s">
        <v>77</v>
      </c>
      <c r="F291" s="26">
        <v>25</v>
      </c>
      <c r="G291" s="26">
        <v>0</v>
      </c>
      <c r="H291" s="26">
        <f>F291*AO291</f>
        <v>0</v>
      </c>
      <c r="I291" s="26">
        <f>F291*AP291</f>
        <v>0</v>
      </c>
      <c r="J291" s="26">
        <f>F291*G291</f>
        <v>0</v>
      </c>
      <c r="K291" s="27" t="s">
        <v>57</v>
      </c>
      <c r="Z291" s="28">
        <f>IF(AQ291="5",BJ291,0)</f>
        <v>0</v>
      </c>
      <c r="AB291" s="28">
        <f>IF(AQ291="1",BH291,0)</f>
        <v>0</v>
      </c>
      <c r="AC291" s="28">
        <f>IF(AQ291="1",BI291,0)</f>
        <v>0</v>
      </c>
      <c r="AD291" s="28">
        <f>IF(AQ291="7",BH291,0)</f>
        <v>0</v>
      </c>
      <c r="AE291" s="28">
        <f>IF(AQ291="7",BI291,0)</f>
        <v>0</v>
      </c>
      <c r="AF291" s="28">
        <f>IF(AQ291="2",BH291,0)</f>
        <v>0</v>
      </c>
      <c r="AG291" s="28">
        <f>IF(AQ291="2",BI291,0)</f>
        <v>0</v>
      </c>
      <c r="AH291" s="28">
        <f>IF(AQ291="0",BJ291,0)</f>
        <v>0</v>
      </c>
      <c r="AI291" s="10" t="s">
        <v>50</v>
      </c>
      <c r="AJ291" s="28">
        <f>IF(AN291=0,J291,0)</f>
        <v>0</v>
      </c>
      <c r="AK291" s="28">
        <f>IF(AN291=12,J291,0)</f>
        <v>0</v>
      </c>
      <c r="AL291" s="28">
        <f>IF(AN291=21,J291,0)</f>
        <v>0</v>
      </c>
      <c r="AN291" s="28">
        <v>12</v>
      </c>
      <c r="AO291" s="28">
        <f>G291*0.387610313</f>
        <v>0</v>
      </c>
      <c r="AP291" s="28">
        <f>G291*(1-0.387610313)</f>
        <v>0</v>
      </c>
      <c r="AQ291" s="29" t="s">
        <v>61</v>
      </c>
      <c r="AV291" s="28">
        <f>AW291+AX291</f>
        <v>0</v>
      </c>
      <c r="AW291" s="28">
        <f>F291*AO291</f>
        <v>0</v>
      </c>
      <c r="AX291" s="28">
        <f>F291*AP291</f>
        <v>0</v>
      </c>
      <c r="AY291" s="29" t="s">
        <v>782</v>
      </c>
      <c r="AZ291" s="29" t="s">
        <v>671</v>
      </c>
      <c r="BA291" s="10" t="s">
        <v>60</v>
      </c>
      <c r="BC291" s="28">
        <f>AW291+AX291</f>
        <v>0</v>
      </c>
      <c r="BD291" s="28">
        <f>G291/(100-BE291)*100</f>
        <v>0</v>
      </c>
      <c r="BE291" s="28">
        <v>0</v>
      </c>
      <c r="BF291" s="28">
        <f>291</f>
        <v>291</v>
      </c>
      <c r="BH291" s="28">
        <f>F291*AO291</f>
        <v>0</v>
      </c>
      <c r="BI291" s="28">
        <f>F291*AP291</f>
        <v>0</v>
      </c>
      <c r="BJ291" s="28">
        <f>F291*G291</f>
        <v>0</v>
      </c>
      <c r="BK291" s="28"/>
      <c r="BL291" s="28"/>
      <c r="BW291" s="28">
        <v>12</v>
      </c>
      <c r="BX291" s="4" t="s">
        <v>810</v>
      </c>
    </row>
    <row r="292" spans="1:76" ht="13.5" customHeight="1" x14ac:dyDescent="0.25">
      <c r="A292" s="34"/>
      <c r="B292" s="35" t="s">
        <v>65</v>
      </c>
      <c r="C292" s="117" t="s">
        <v>811</v>
      </c>
      <c r="D292" s="118"/>
      <c r="E292" s="118"/>
      <c r="F292" s="118"/>
      <c r="G292" s="118"/>
      <c r="H292" s="118"/>
      <c r="I292" s="118"/>
      <c r="J292" s="118"/>
      <c r="K292" s="119"/>
    </row>
    <row r="293" spans="1:76" x14ac:dyDescent="0.25">
      <c r="A293" s="24" t="s">
        <v>812</v>
      </c>
      <c r="B293" s="25" t="s">
        <v>813</v>
      </c>
      <c r="C293" s="113" t="s">
        <v>814</v>
      </c>
      <c r="D293" s="114"/>
      <c r="E293" s="25" t="s">
        <v>77</v>
      </c>
      <c r="F293" s="26">
        <v>50</v>
      </c>
      <c r="G293" s="26">
        <v>0</v>
      </c>
      <c r="H293" s="26">
        <f>F293*AO293</f>
        <v>0</v>
      </c>
      <c r="I293" s="26">
        <f>F293*AP293</f>
        <v>0</v>
      </c>
      <c r="J293" s="26">
        <f>F293*G293</f>
        <v>0</v>
      </c>
      <c r="K293" s="27" t="s">
        <v>57</v>
      </c>
      <c r="Z293" s="28">
        <f>IF(AQ293="5",BJ293,0)</f>
        <v>0</v>
      </c>
      <c r="AB293" s="28">
        <f>IF(AQ293="1",BH293,0)</f>
        <v>0</v>
      </c>
      <c r="AC293" s="28">
        <f>IF(AQ293="1",BI293,0)</f>
        <v>0</v>
      </c>
      <c r="AD293" s="28">
        <f>IF(AQ293="7",BH293,0)</f>
        <v>0</v>
      </c>
      <c r="AE293" s="28">
        <f>IF(AQ293="7",BI293,0)</f>
        <v>0</v>
      </c>
      <c r="AF293" s="28">
        <f>IF(AQ293="2",BH293,0)</f>
        <v>0</v>
      </c>
      <c r="AG293" s="28">
        <f>IF(AQ293="2",BI293,0)</f>
        <v>0</v>
      </c>
      <c r="AH293" s="28">
        <f>IF(AQ293="0",BJ293,0)</f>
        <v>0</v>
      </c>
      <c r="AI293" s="10" t="s">
        <v>50</v>
      </c>
      <c r="AJ293" s="28">
        <f>IF(AN293=0,J293,0)</f>
        <v>0</v>
      </c>
      <c r="AK293" s="28">
        <f>IF(AN293=12,J293,0)</f>
        <v>0</v>
      </c>
      <c r="AL293" s="28">
        <f>IF(AN293=21,J293,0)</f>
        <v>0</v>
      </c>
      <c r="AN293" s="28">
        <v>12</v>
      </c>
      <c r="AO293" s="28">
        <f>G293*0.447290333</f>
        <v>0</v>
      </c>
      <c r="AP293" s="28">
        <f>G293*(1-0.447290333)</f>
        <v>0</v>
      </c>
      <c r="AQ293" s="29" t="s">
        <v>61</v>
      </c>
      <c r="AV293" s="28">
        <f>AW293+AX293</f>
        <v>0</v>
      </c>
      <c r="AW293" s="28">
        <f>F293*AO293</f>
        <v>0</v>
      </c>
      <c r="AX293" s="28">
        <f>F293*AP293</f>
        <v>0</v>
      </c>
      <c r="AY293" s="29" t="s">
        <v>782</v>
      </c>
      <c r="AZ293" s="29" t="s">
        <v>671</v>
      </c>
      <c r="BA293" s="10" t="s">
        <v>60</v>
      </c>
      <c r="BC293" s="28">
        <f>AW293+AX293</f>
        <v>0</v>
      </c>
      <c r="BD293" s="28">
        <f>G293/(100-BE293)*100</f>
        <v>0</v>
      </c>
      <c r="BE293" s="28">
        <v>0</v>
      </c>
      <c r="BF293" s="28">
        <f>293</f>
        <v>293</v>
      </c>
      <c r="BH293" s="28">
        <f>F293*AO293</f>
        <v>0</v>
      </c>
      <c r="BI293" s="28">
        <f>F293*AP293</f>
        <v>0</v>
      </c>
      <c r="BJ293" s="28">
        <f>F293*G293</f>
        <v>0</v>
      </c>
      <c r="BK293" s="28"/>
      <c r="BL293" s="28"/>
      <c r="BW293" s="28">
        <v>12</v>
      </c>
      <c r="BX293" s="4" t="s">
        <v>814</v>
      </c>
    </row>
    <row r="294" spans="1:76" ht="13.5" customHeight="1" x14ac:dyDescent="0.25">
      <c r="A294" s="34"/>
      <c r="B294" s="35" t="s">
        <v>65</v>
      </c>
      <c r="C294" s="117" t="s">
        <v>815</v>
      </c>
      <c r="D294" s="118"/>
      <c r="E294" s="118"/>
      <c r="F294" s="118"/>
      <c r="G294" s="118"/>
      <c r="H294" s="118"/>
      <c r="I294" s="118"/>
      <c r="J294" s="118"/>
      <c r="K294" s="119"/>
    </row>
    <row r="295" spans="1:76" x14ac:dyDescent="0.25">
      <c r="A295" s="24" t="s">
        <v>816</v>
      </c>
      <c r="B295" s="25" t="s">
        <v>817</v>
      </c>
      <c r="C295" s="113" t="s">
        <v>818</v>
      </c>
      <c r="D295" s="114"/>
      <c r="E295" s="25" t="s">
        <v>77</v>
      </c>
      <c r="F295" s="26">
        <v>10</v>
      </c>
      <c r="G295" s="26">
        <v>0</v>
      </c>
      <c r="H295" s="26">
        <f>F295*AO295</f>
        <v>0</v>
      </c>
      <c r="I295" s="26">
        <f>F295*AP295</f>
        <v>0</v>
      </c>
      <c r="J295" s="26">
        <f>F295*G295</f>
        <v>0</v>
      </c>
      <c r="K295" s="27" t="s">
        <v>57</v>
      </c>
      <c r="Z295" s="28">
        <f>IF(AQ295="5",BJ295,0)</f>
        <v>0</v>
      </c>
      <c r="AB295" s="28">
        <f>IF(AQ295="1",BH295,0)</f>
        <v>0</v>
      </c>
      <c r="AC295" s="28">
        <f>IF(AQ295="1",BI295,0)</f>
        <v>0</v>
      </c>
      <c r="AD295" s="28">
        <f>IF(AQ295="7",BH295,0)</f>
        <v>0</v>
      </c>
      <c r="AE295" s="28">
        <f>IF(AQ295="7",BI295,0)</f>
        <v>0</v>
      </c>
      <c r="AF295" s="28">
        <f>IF(AQ295="2",BH295,0)</f>
        <v>0</v>
      </c>
      <c r="AG295" s="28">
        <f>IF(AQ295="2",BI295,0)</f>
        <v>0</v>
      </c>
      <c r="AH295" s="28">
        <f>IF(AQ295="0",BJ295,0)</f>
        <v>0</v>
      </c>
      <c r="AI295" s="10" t="s">
        <v>50</v>
      </c>
      <c r="AJ295" s="28">
        <f>IF(AN295=0,J295,0)</f>
        <v>0</v>
      </c>
      <c r="AK295" s="28">
        <f>IF(AN295=12,J295,0)</f>
        <v>0</v>
      </c>
      <c r="AL295" s="28">
        <f>IF(AN295=21,J295,0)</f>
        <v>0</v>
      </c>
      <c r="AN295" s="28">
        <v>12</v>
      </c>
      <c r="AO295" s="28">
        <f>G295*0.466294677</f>
        <v>0</v>
      </c>
      <c r="AP295" s="28">
        <f>G295*(1-0.466294677)</f>
        <v>0</v>
      </c>
      <c r="AQ295" s="29" t="s">
        <v>61</v>
      </c>
      <c r="AV295" s="28">
        <f>AW295+AX295</f>
        <v>0</v>
      </c>
      <c r="AW295" s="28">
        <f>F295*AO295</f>
        <v>0</v>
      </c>
      <c r="AX295" s="28">
        <f>F295*AP295</f>
        <v>0</v>
      </c>
      <c r="AY295" s="29" t="s">
        <v>782</v>
      </c>
      <c r="AZ295" s="29" t="s">
        <v>671</v>
      </c>
      <c r="BA295" s="10" t="s">
        <v>60</v>
      </c>
      <c r="BC295" s="28">
        <f>AW295+AX295</f>
        <v>0</v>
      </c>
      <c r="BD295" s="28">
        <f>G295/(100-BE295)*100</f>
        <v>0</v>
      </c>
      <c r="BE295" s="28">
        <v>0</v>
      </c>
      <c r="BF295" s="28">
        <f>295</f>
        <v>295</v>
      </c>
      <c r="BH295" s="28">
        <f>F295*AO295</f>
        <v>0</v>
      </c>
      <c r="BI295" s="28">
        <f>F295*AP295</f>
        <v>0</v>
      </c>
      <c r="BJ295" s="28">
        <f>F295*G295</f>
        <v>0</v>
      </c>
      <c r="BK295" s="28"/>
      <c r="BL295" s="28"/>
      <c r="BW295" s="28">
        <v>12</v>
      </c>
      <c r="BX295" s="4" t="s">
        <v>818</v>
      </c>
    </row>
    <row r="296" spans="1:76" ht="13.5" customHeight="1" x14ac:dyDescent="0.25">
      <c r="A296" s="34"/>
      <c r="B296" s="35" t="s">
        <v>65</v>
      </c>
      <c r="C296" s="117" t="s">
        <v>819</v>
      </c>
      <c r="D296" s="118"/>
      <c r="E296" s="118"/>
      <c r="F296" s="118"/>
      <c r="G296" s="118"/>
      <c r="H296" s="118"/>
      <c r="I296" s="118"/>
      <c r="J296" s="118"/>
      <c r="K296" s="119"/>
    </row>
    <row r="297" spans="1:76" x14ac:dyDescent="0.25">
      <c r="A297" s="24" t="s">
        <v>820</v>
      </c>
      <c r="B297" s="25" t="s">
        <v>121</v>
      </c>
      <c r="C297" s="113" t="s">
        <v>122</v>
      </c>
      <c r="D297" s="114"/>
      <c r="E297" s="25" t="s">
        <v>77</v>
      </c>
      <c r="F297" s="26">
        <v>60</v>
      </c>
      <c r="G297" s="26">
        <v>0</v>
      </c>
      <c r="H297" s="26">
        <f>F297*AO297</f>
        <v>0</v>
      </c>
      <c r="I297" s="26">
        <f>F297*AP297</f>
        <v>0</v>
      </c>
      <c r="J297" s="26">
        <f>F297*G297</f>
        <v>0</v>
      </c>
      <c r="K297" s="27" t="s">
        <v>57</v>
      </c>
      <c r="Z297" s="28">
        <f>IF(AQ297="5",BJ297,0)</f>
        <v>0</v>
      </c>
      <c r="AB297" s="28">
        <f>IF(AQ297="1",BH297,0)</f>
        <v>0</v>
      </c>
      <c r="AC297" s="28">
        <f>IF(AQ297="1",BI297,0)</f>
        <v>0</v>
      </c>
      <c r="AD297" s="28">
        <f>IF(AQ297="7",BH297,0)</f>
        <v>0</v>
      </c>
      <c r="AE297" s="28">
        <f>IF(AQ297="7",BI297,0)</f>
        <v>0</v>
      </c>
      <c r="AF297" s="28">
        <f>IF(AQ297="2",BH297,0)</f>
        <v>0</v>
      </c>
      <c r="AG297" s="28">
        <f>IF(AQ297="2",BI297,0)</f>
        <v>0</v>
      </c>
      <c r="AH297" s="28">
        <f>IF(AQ297="0",BJ297,0)</f>
        <v>0</v>
      </c>
      <c r="AI297" s="10" t="s">
        <v>50</v>
      </c>
      <c r="AJ297" s="28">
        <f>IF(AN297=0,J297,0)</f>
        <v>0</v>
      </c>
      <c r="AK297" s="28">
        <f>IF(AN297=12,J297,0)</f>
        <v>0</v>
      </c>
      <c r="AL297" s="28">
        <f>IF(AN297=21,J297,0)</f>
        <v>0</v>
      </c>
      <c r="AN297" s="28">
        <v>12</v>
      </c>
      <c r="AO297" s="28">
        <f>G297*0.436972935</f>
        <v>0</v>
      </c>
      <c r="AP297" s="28">
        <f>G297*(1-0.436972935)</f>
        <v>0</v>
      </c>
      <c r="AQ297" s="29" t="s">
        <v>53</v>
      </c>
      <c r="AV297" s="28">
        <f>AW297+AX297</f>
        <v>0</v>
      </c>
      <c r="AW297" s="28">
        <f>F297*AO297</f>
        <v>0</v>
      </c>
      <c r="AX297" s="28">
        <f>F297*AP297</f>
        <v>0</v>
      </c>
      <c r="AY297" s="29" t="s">
        <v>782</v>
      </c>
      <c r="AZ297" s="29" t="s">
        <v>671</v>
      </c>
      <c r="BA297" s="10" t="s">
        <v>60</v>
      </c>
      <c r="BC297" s="28">
        <f>AW297+AX297</f>
        <v>0</v>
      </c>
      <c r="BD297" s="28">
        <f>G297/(100-BE297)*100</f>
        <v>0</v>
      </c>
      <c r="BE297" s="28">
        <v>0</v>
      </c>
      <c r="BF297" s="28">
        <f>297</f>
        <v>297</v>
      </c>
      <c r="BH297" s="28">
        <f>F297*AO297</f>
        <v>0</v>
      </c>
      <c r="BI297" s="28">
        <f>F297*AP297</f>
        <v>0</v>
      </c>
      <c r="BJ297" s="28">
        <f>F297*G297</f>
        <v>0</v>
      </c>
      <c r="BK297" s="28"/>
      <c r="BL297" s="28"/>
      <c r="BW297" s="28">
        <v>12</v>
      </c>
      <c r="BX297" s="4" t="s">
        <v>122</v>
      </c>
    </row>
    <row r="298" spans="1:76" ht="13.5" customHeight="1" x14ac:dyDescent="0.25">
      <c r="A298" s="34"/>
      <c r="B298" s="35" t="s">
        <v>65</v>
      </c>
      <c r="C298" s="117" t="s">
        <v>123</v>
      </c>
      <c r="D298" s="118"/>
      <c r="E298" s="118"/>
      <c r="F298" s="118"/>
      <c r="G298" s="118"/>
      <c r="H298" s="118"/>
      <c r="I298" s="118"/>
      <c r="J298" s="118"/>
      <c r="K298" s="119"/>
    </row>
    <row r="299" spans="1:76" x14ac:dyDescent="0.25">
      <c r="A299" s="41" t="s">
        <v>821</v>
      </c>
      <c r="B299" s="42" t="s">
        <v>102</v>
      </c>
      <c r="C299" s="122" t="s">
        <v>103</v>
      </c>
      <c r="D299" s="123"/>
      <c r="E299" s="42" t="s">
        <v>87</v>
      </c>
      <c r="F299" s="43">
        <v>1.1392</v>
      </c>
      <c r="G299" s="43">
        <v>0</v>
      </c>
      <c r="H299" s="43">
        <f>F299*AO299</f>
        <v>0</v>
      </c>
      <c r="I299" s="43">
        <f>F299*AP299</f>
        <v>0</v>
      </c>
      <c r="J299" s="43">
        <f>F299*G299</f>
        <v>0</v>
      </c>
      <c r="K299" s="44" t="s">
        <v>57</v>
      </c>
      <c r="Z299" s="28">
        <f>IF(AQ299="5",BJ299,0)</f>
        <v>0</v>
      </c>
      <c r="AB299" s="28">
        <f>IF(AQ299="1",BH299,0)</f>
        <v>0</v>
      </c>
      <c r="AC299" s="28">
        <f>IF(AQ299="1",BI299,0)</f>
        <v>0</v>
      </c>
      <c r="AD299" s="28">
        <f>IF(AQ299="7",BH299,0)</f>
        <v>0</v>
      </c>
      <c r="AE299" s="28">
        <f>IF(AQ299="7",BI299,0)</f>
        <v>0</v>
      </c>
      <c r="AF299" s="28">
        <f>IF(AQ299="2",BH299,0)</f>
        <v>0</v>
      </c>
      <c r="AG299" s="28">
        <f>IF(AQ299="2",BI299,0)</f>
        <v>0</v>
      </c>
      <c r="AH299" s="28">
        <f>IF(AQ299="0",BJ299,0)</f>
        <v>0</v>
      </c>
      <c r="AI299" s="10" t="s">
        <v>50</v>
      </c>
      <c r="AJ299" s="28">
        <f>IF(AN299=0,J299,0)</f>
        <v>0</v>
      </c>
      <c r="AK299" s="28">
        <f>IF(AN299=12,J299,0)</f>
        <v>0</v>
      </c>
      <c r="AL299" s="28">
        <f>IF(AN299=21,J299,0)</f>
        <v>0</v>
      </c>
      <c r="AN299" s="28">
        <v>12</v>
      </c>
      <c r="AO299" s="28">
        <f>G299*0</f>
        <v>0</v>
      </c>
      <c r="AP299" s="28">
        <f>G299*(1-0)</f>
        <v>0</v>
      </c>
      <c r="AQ299" s="29" t="s">
        <v>74</v>
      </c>
      <c r="AV299" s="28">
        <f>AW299+AX299</f>
        <v>0</v>
      </c>
      <c r="AW299" s="28">
        <f>F299*AO299</f>
        <v>0</v>
      </c>
      <c r="AX299" s="28">
        <f>F299*AP299</f>
        <v>0</v>
      </c>
      <c r="AY299" s="29" t="s">
        <v>782</v>
      </c>
      <c r="AZ299" s="29" t="s">
        <v>671</v>
      </c>
      <c r="BA299" s="10" t="s">
        <v>60</v>
      </c>
      <c r="BC299" s="28">
        <f>AW299+AX299</f>
        <v>0</v>
      </c>
      <c r="BD299" s="28">
        <f>G299/(100-BE299)*100</f>
        <v>0</v>
      </c>
      <c r="BE299" s="28">
        <v>0</v>
      </c>
      <c r="BF299" s="28">
        <f>299</f>
        <v>299</v>
      </c>
      <c r="BH299" s="28">
        <f>F299*AO299</f>
        <v>0</v>
      </c>
      <c r="BI299" s="28">
        <f>F299*AP299</f>
        <v>0</v>
      </c>
      <c r="BJ299" s="28">
        <f>F299*G299</f>
        <v>0</v>
      </c>
      <c r="BK299" s="28"/>
      <c r="BL299" s="28"/>
      <c r="BW299" s="28">
        <v>12</v>
      </c>
      <c r="BX299" s="4" t="s">
        <v>103</v>
      </c>
    </row>
    <row r="300" spans="1:76" x14ac:dyDescent="0.25">
      <c r="H300" s="124" t="s">
        <v>822</v>
      </c>
      <c r="I300" s="124"/>
      <c r="J300" s="45">
        <f>J12+J29+J53+J58+J66+J89+J96+J129+J143+J151+J153+J162+J172+J176+J181+J189+J212+J224+J231+J235+J240+J276</f>
        <v>0</v>
      </c>
    </row>
    <row r="301" spans="1:76" x14ac:dyDescent="0.25">
      <c r="A301" s="46" t="s">
        <v>823</v>
      </c>
    </row>
    <row r="302" spans="1:76" ht="12.75" customHeight="1" x14ac:dyDescent="0.25">
      <c r="A302" s="97" t="s">
        <v>50</v>
      </c>
      <c r="B302" s="92"/>
      <c r="C302" s="92"/>
      <c r="D302" s="92"/>
      <c r="E302" s="92"/>
      <c r="F302" s="92"/>
      <c r="G302" s="92"/>
      <c r="H302" s="92"/>
      <c r="I302" s="92"/>
      <c r="J302" s="92"/>
      <c r="K302" s="92"/>
    </row>
  </sheetData>
  <mergeCells count="318">
    <mergeCell ref="H300:I300"/>
    <mergeCell ref="A302:K302"/>
    <mergeCell ref="C295:D295"/>
    <mergeCell ref="C296:K296"/>
    <mergeCell ref="C297:D297"/>
    <mergeCell ref="C298:K298"/>
    <mergeCell ref="C299:D299"/>
    <mergeCell ref="C290:K290"/>
    <mergeCell ref="C291:D291"/>
    <mergeCell ref="C292:K292"/>
    <mergeCell ref="C293:D293"/>
    <mergeCell ref="C294:K294"/>
    <mergeCell ref="C285:D285"/>
    <mergeCell ref="C286:K286"/>
    <mergeCell ref="C287:D287"/>
    <mergeCell ref="C288:K288"/>
    <mergeCell ref="C289:D289"/>
    <mergeCell ref="C280:K280"/>
    <mergeCell ref="C281:D281"/>
    <mergeCell ref="C282:K282"/>
    <mergeCell ref="C283:D283"/>
    <mergeCell ref="C284:K284"/>
    <mergeCell ref="C275:D275"/>
    <mergeCell ref="C276:D276"/>
    <mergeCell ref="C277:D277"/>
    <mergeCell ref="C278:K278"/>
    <mergeCell ref="C279:D279"/>
    <mergeCell ref="C270:D270"/>
    <mergeCell ref="C271:D271"/>
    <mergeCell ref="C272:D272"/>
    <mergeCell ref="C273:D273"/>
    <mergeCell ref="C274:D274"/>
    <mergeCell ref="C265:D265"/>
    <mergeCell ref="C266:D266"/>
    <mergeCell ref="C267:D267"/>
    <mergeCell ref="C268:D268"/>
    <mergeCell ref="C269:D269"/>
    <mergeCell ref="C260:D260"/>
    <mergeCell ref="C261:D261"/>
    <mergeCell ref="C262:D262"/>
    <mergeCell ref="C263:D263"/>
    <mergeCell ref="C264:D264"/>
    <mergeCell ref="C255:K255"/>
    <mergeCell ref="C256:D256"/>
    <mergeCell ref="C257:K257"/>
    <mergeCell ref="C258:D258"/>
    <mergeCell ref="C259:K259"/>
    <mergeCell ref="C250:D250"/>
    <mergeCell ref="C251:D251"/>
    <mergeCell ref="C252:D252"/>
    <mergeCell ref="C253:K253"/>
    <mergeCell ref="C254:D254"/>
    <mergeCell ref="C245:D245"/>
    <mergeCell ref="C246:D246"/>
    <mergeCell ref="C247:D247"/>
    <mergeCell ref="C248:D248"/>
    <mergeCell ref="C249:D249"/>
    <mergeCell ref="C240:D240"/>
    <mergeCell ref="C241:D241"/>
    <mergeCell ref="C242:D242"/>
    <mergeCell ref="C243:D243"/>
    <mergeCell ref="C244:D244"/>
    <mergeCell ref="C235:D235"/>
    <mergeCell ref="C236:D236"/>
    <mergeCell ref="C237:D237"/>
    <mergeCell ref="C238:D238"/>
    <mergeCell ref="C239:D239"/>
    <mergeCell ref="C230:D230"/>
    <mergeCell ref="C231:D231"/>
    <mergeCell ref="C232:D232"/>
    <mergeCell ref="C233:K233"/>
    <mergeCell ref="C234:D234"/>
    <mergeCell ref="C225:D225"/>
    <mergeCell ref="C226:K226"/>
    <mergeCell ref="C227:D227"/>
    <mergeCell ref="C228:D228"/>
    <mergeCell ref="C229:K229"/>
    <mergeCell ref="C220:K220"/>
    <mergeCell ref="C221:D221"/>
    <mergeCell ref="C222:D222"/>
    <mergeCell ref="C223:D223"/>
    <mergeCell ref="C224:D224"/>
    <mergeCell ref="C215:K215"/>
    <mergeCell ref="C216:D216"/>
    <mergeCell ref="C217:D217"/>
    <mergeCell ref="C218:D218"/>
    <mergeCell ref="C219:D219"/>
    <mergeCell ref="C210:D210"/>
    <mergeCell ref="C211:D211"/>
    <mergeCell ref="C212:D212"/>
    <mergeCell ref="C213:D213"/>
    <mergeCell ref="C214:D214"/>
    <mergeCell ref="C205:D205"/>
    <mergeCell ref="C206:D206"/>
    <mergeCell ref="C207:D207"/>
    <mergeCell ref="C208:D208"/>
    <mergeCell ref="C209:D209"/>
    <mergeCell ref="C200:D200"/>
    <mergeCell ref="C201:K201"/>
    <mergeCell ref="C202:D202"/>
    <mergeCell ref="C203:D203"/>
    <mergeCell ref="C204:D204"/>
    <mergeCell ref="C195:D195"/>
    <mergeCell ref="C196:K196"/>
    <mergeCell ref="C197:D197"/>
    <mergeCell ref="C198:D198"/>
    <mergeCell ref="C199:D199"/>
    <mergeCell ref="C190:D190"/>
    <mergeCell ref="C191:D191"/>
    <mergeCell ref="C192:D192"/>
    <mergeCell ref="C193:D193"/>
    <mergeCell ref="C194:D194"/>
    <mergeCell ref="C185:D185"/>
    <mergeCell ref="C186:D186"/>
    <mergeCell ref="C187:D187"/>
    <mergeCell ref="C188:D188"/>
    <mergeCell ref="C189:D189"/>
    <mergeCell ref="C180:D180"/>
    <mergeCell ref="C181:D181"/>
    <mergeCell ref="C182:D182"/>
    <mergeCell ref="C183:D183"/>
    <mergeCell ref="C184:K184"/>
    <mergeCell ref="C175:D175"/>
    <mergeCell ref="C176:D176"/>
    <mergeCell ref="C177:D177"/>
    <mergeCell ref="C178:D178"/>
    <mergeCell ref="C179:K179"/>
    <mergeCell ref="C170:D170"/>
    <mergeCell ref="C171:D171"/>
    <mergeCell ref="C172:D172"/>
    <mergeCell ref="C173:D173"/>
    <mergeCell ref="C174:D174"/>
    <mergeCell ref="C165:D165"/>
    <mergeCell ref="C166:D166"/>
    <mergeCell ref="C167:D167"/>
    <mergeCell ref="C168:D168"/>
    <mergeCell ref="C169:D169"/>
    <mergeCell ref="C160:D160"/>
    <mergeCell ref="C161:D161"/>
    <mergeCell ref="C162:D162"/>
    <mergeCell ref="C163:D163"/>
    <mergeCell ref="C164:K164"/>
    <mergeCell ref="C155:D155"/>
    <mergeCell ref="C156:D156"/>
    <mergeCell ref="C157:K157"/>
    <mergeCell ref="C158:D158"/>
    <mergeCell ref="C159:K159"/>
    <mergeCell ref="C150:D150"/>
    <mergeCell ref="C151:D151"/>
    <mergeCell ref="C152:D152"/>
    <mergeCell ref="C153:D153"/>
    <mergeCell ref="C154:D154"/>
    <mergeCell ref="C145:D145"/>
    <mergeCell ref="C146:D146"/>
    <mergeCell ref="C147:D147"/>
    <mergeCell ref="C148:D148"/>
    <mergeCell ref="C149:D149"/>
    <mergeCell ref="C140:D140"/>
    <mergeCell ref="C141:D141"/>
    <mergeCell ref="C142:D142"/>
    <mergeCell ref="C143:D143"/>
    <mergeCell ref="C144:D144"/>
    <mergeCell ref="C135:D135"/>
    <mergeCell ref="C136:D136"/>
    <mergeCell ref="C137:D137"/>
    <mergeCell ref="C138:D138"/>
    <mergeCell ref="C139:D139"/>
    <mergeCell ref="C130:D130"/>
    <mergeCell ref="C131:D131"/>
    <mergeCell ref="C132:D132"/>
    <mergeCell ref="C133:D133"/>
    <mergeCell ref="C134:K134"/>
    <mergeCell ref="C125:D125"/>
    <mergeCell ref="C126:K126"/>
    <mergeCell ref="C127:D127"/>
    <mergeCell ref="C128:D128"/>
    <mergeCell ref="C129:D129"/>
    <mergeCell ref="C120:D120"/>
    <mergeCell ref="C121:D121"/>
    <mergeCell ref="C122:D122"/>
    <mergeCell ref="C123:D123"/>
    <mergeCell ref="C124:D124"/>
    <mergeCell ref="C115:D115"/>
    <mergeCell ref="C116:D116"/>
    <mergeCell ref="C117:D117"/>
    <mergeCell ref="C118:D118"/>
    <mergeCell ref="C119:D119"/>
    <mergeCell ref="C110:D110"/>
    <mergeCell ref="C111:D111"/>
    <mergeCell ref="C112:D112"/>
    <mergeCell ref="C113:D113"/>
    <mergeCell ref="C114:D114"/>
    <mergeCell ref="C105:D105"/>
    <mergeCell ref="C106:D106"/>
    <mergeCell ref="C107:D107"/>
    <mergeCell ref="C108:D108"/>
    <mergeCell ref="C109:D109"/>
    <mergeCell ref="C100:D100"/>
    <mergeCell ref="C101:D101"/>
    <mergeCell ref="C102:K102"/>
    <mergeCell ref="C103:D103"/>
    <mergeCell ref="C104:D104"/>
    <mergeCell ref="C95:D95"/>
    <mergeCell ref="C96:D96"/>
    <mergeCell ref="C97:D97"/>
    <mergeCell ref="C98:D98"/>
    <mergeCell ref="C99:D99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80:D80"/>
    <mergeCell ref="C81:D81"/>
    <mergeCell ref="C82:D82"/>
    <mergeCell ref="C83:D83"/>
    <mergeCell ref="C84:D84"/>
    <mergeCell ref="C75:D75"/>
    <mergeCell ref="C76:K76"/>
    <mergeCell ref="C77:D77"/>
    <mergeCell ref="C78:K78"/>
    <mergeCell ref="C79:D79"/>
    <mergeCell ref="C70:D70"/>
    <mergeCell ref="C71:D71"/>
    <mergeCell ref="C72:D72"/>
    <mergeCell ref="C73:D73"/>
    <mergeCell ref="C74:K74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55:K55"/>
    <mergeCell ref="C56:D56"/>
    <mergeCell ref="C57:D57"/>
    <mergeCell ref="C58:D58"/>
    <mergeCell ref="C59:D59"/>
    <mergeCell ref="C50:D50"/>
    <mergeCell ref="C51:K51"/>
    <mergeCell ref="C52:D52"/>
    <mergeCell ref="C53:D53"/>
    <mergeCell ref="C54:D54"/>
    <mergeCell ref="C45:D45"/>
    <mergeCell ref="C46:D46"/>
    <mergeCell ref="C47:D47"/>
    <mergeCell ref="C48:K48"/>
    <mergeCell ref="C49:D49"/>
    <mergeCell ref="C40:D40"/>
    <mergeCell ref="C41:D41"/>
    <mergeCell ref="C42:D42"/>
    <mergeCell ref="C43:D43"/>
    <mergeCell ref="C44:K44"/>
    <mergeCell ref="C35:D35"/>
    <mergeCell ref="C36:K36"/>
    <mergeCell ref="C37:D37"/>
    <mergeCell ref="C38:D38"/>
    <mergeCell ref="C39:D39"/>
    <mergeCell ref="C30:D30"/>
    <mergeCell ref="C31:D31"/>
    <mergeCell ref="C32:D32"/>
    <mergeCell ref="C33:D33"/>
    <mergeCell ref="C34:D34"/>
    <mergeCell ref="C25:D25"/>
    <mergeCell ref="C26:K26"/>
    <mergeCell ref="C27:D27"/>
    <mergeCell ref="C28:D28"/>
    <mergeCell ref="C29:D29"/>
    <mergeCell ref="C20:D20"/>
    <mergeCell ref="C21:D21"/>
    <mergeCell ref="C22:D22"/>
    <mergeCell ref="C23:D23"/>
    <mergeCell ref="C24:D24"/>
    <mergeCell ref="C15:K15"/>
    <mergeCell ref="C16:D16"/>
    <mergeCell ref="C17:K17"/>
    <mergeCell ref="C18:D18"/>
    <mergeCell ref="C19:D19"/>
    <mergeCell ref="C11:D11"/>
    <mergeCell ref="H10:J10"/>
    <mergeCell ref="C12:D12"/>
    <mergeCell ref="C13:D13"/>
    <mergeCell ref="C14:D14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82"/>
  <sheetViews>
    <sheetView workbookViewId="0">
      <selection activeCell="A482" sqref="A482:G482"/>
    </sheetView>
  </sheetViews>
  <sheetFormatPr defaultColWidth="12.140625" defaultRowHeight="15" customHeight="1" x14ac:dyDescent="0.25"/>
  <cols>
    <col min="1" max="2" width="9.140625" customWidth="1"/>
    <col min="3" max="3" width="14.28515625" customWidth="1"/>
    <col min="4" max="4" width="84.42578125" customWidth="1"/>
    <col min="5" max="5" width="22.7109375" customWidth="1"/>
    <col min="6" max="6" width="24.140625" customWidth="1"/>
    <col min="7" max="7" width="15.7109375" customWidth="1"/>
    <col min="8" max="8" width="20" customWidth="1"/>
  </cols>
  <sheetData>
    <row r="1" spans="1:8" ht="54.75" customHeight="1" x14ac:dyDescent="0.25">
      <c r="A1" s="88" t="s">
        <v>824</v>
      </c>
      <c r="B1" s="88"/>
      <c r="C1" s="88"/>
      <c r="D1" s="88"/>
      <c r="E1" s="88"/>
      <c r="F1" s="88"/>
      <c r="G1" s="88"/>
      <c r="H1" s="88"/>
    </row>
    <row r="2" spans="1:8" x14ac:dyDescent="0.25">
      <c r="A2" s="89" t="s">
        <v>1</v>
      </c>
      <c r="B2" s="90"/>
      <c r="C2" s="98" t="str">
        <f>'Stavební rozpočet'!C2</f>
        <v>Revitalizace městských bytů v Šumperku - BJ č.4</v>
      </c>
      <c r="D2" s="99"/>
      <c r="E2" s="96" t="s">
        <v>5</v>
      </c>
      <c r="F2" s="96" t="str">
        <f>'Stavební rozpočet'!I2</f>
        <v>Město Šumperk, nám. Míru 1, 787 01 Šumperk</v>
      </c>
      <c r="G2" s="90"/>
      <c r="H2" s="101"/>
    </row>
    <row r="3" spans="1:8" ht="15" customHeight="1" x14ac:dyDescent="0.25">
      <c r="A3" s="91"/>
      <c r="B3" s="92"/>
      <c r="C3" s="100"/>
      <c r="D3" s="100"/>
      <c r="E3" s="92"/>
      <c r="F3" s="92"/>
      <c r="G3" s="92"/>
      <c r="H3" s="102"/>
    </row>
    <row r="4" spans="1:8" x14ac:dyDescent="0.25">
      <c r="A4" s="93" t="s">
        <v>7</v>
      </c>
      <c r="B4" s="92"/>
      <c r="C4" s="97" t="str">
        <f>'Stavební rozpočet'!C4</f>
        <v>Bytový dům</v>
      </c>
      <c r="D4" s="92"/>
      <c r="E4" s="97" t="s">
        <v>10</v>
      </c>
      <c r="F4" s="97" t="str">
        <f>'Stavební rozpočet'!I4</f>
        <v>Ing. Petr Doleček</v>
      </c>
      <c r="G4" s="92"/>
      <c r="H4" s="102"/>
    </row>
    <row r="5" spans="1:8" ht="15" customHeight="1" x14ac:dyDescent="0.25">
      <c r="A5" s="91"/>
      <c r="B5" s="92"/>
      <c r="C5" s="92"/>
      <c r="D5" s="92"/>
      <c r="E5" s="92"/>
      <c r="F5" s="92"/>
      <c r="G5" s="92"/>
      <c r="H5" s="102"/>
    </row>
    <row r="6" spans="1:8" x14ac:dyDescent="0.25">
      <c r="A6" s="93" t="s">
        <v>12</v>
      </c>
      <c r="B6" s="92"/>
      <c r="C6" s="97" t="str">
        <f>'Stavební rozpočet'!C6</f>
        <v>17.listopadu 1326/5 Šumperk</v>
      </c>
      <c r="D6" s="92"/>
      <c r="E6" s="97" t="s">
        <v>15</v>
      </c>
      <c r="F6" s="97" t="str">
        <f>'Stavební rozpočet'!I6</f>
        <v> </v>
      </c>
      <c r="G6" s="92"/>
      <c r="H6" s="102"/>
    </row>
    <row r="7" spans="1:8" ht="15" customHeight="1" x14ac:dyDescent="0.25">
      <c r="A7" s="91"/>
      <c r="B7" s="92"/>
      <c r="C7" s="92"/>
      <c r="D7" s="92"/>
      <c r="E7" s="92"/>
      <c r="F7" s="92"/>
      <c r="G7" s="92"/>
      <c r="H7" s="102"/>
    </row>
    <row r="8" spans="1:8" x14ac:dyDescent="0.25">
      <c r="A8" s="93" t="s">
        <v>20</v>
      </c>
      <c r="B8" s="92"/>
      <c r="C8" s="97" t="str">
        <f>'Stavební rozpočet'!I8</f>
        <v>Ing. Petr Doleček</v>
      </c>
      <c r="D8" s="92"/>
      <c r="E8" s="97" t="s">
        <v>18</v>
      </c>
      <c r="F8" s="97" t="str">
        <f>'Stavební rozpočet'!G8</f>
        <v>26.06.2024</v>
      </c>
      <c r="G8" s="92"/>
      <c r="H8" s="102"/>
    </row>
    <row r="9" spans="1:8" x14ac:dyDescent="0.25">
      <c r="A9" s="94"/>
      <c r="B9" s="95"/>
      <c r="C9" s="95"/>
      <c r="D9" s="95"/>
      <c r="E9" s="95"/>
      <c r="F9" s="95"/>
      <c r="G9" s="95"/>
      <c r="H9" s="103"/>
    </row>
    <row r="10" spans="1:8" x14ac:dyDescent="0.25">
      <c r="A10" s="47" t="s">
        <v>21</v>
      </c>
      <c r="B10" s="48" t="s">
        <v>825</v>
      </c>
      <c r="C10" s="48" t="s">
        <v>22</v>
      </c>
      <c r="D10" s="125" t="s">
        <v>23</v>
      </c>
      <c r="E10" s="126"/>
      <c r="F10" s="48" t="s">
        <v>24</v>
      </c>
      <c r="G10" s="49" t="s">
        <v>25</v>
      </c>
      <c r="H10" s="50" t="s">
        <v>826</v>
      </c>
    </row>
    <row r="11" spans="1:8" x14ac:dyDescent="0.25">
      <c r="A11" s="51" t="s">
        <v>53</v>
      </c>
      <c r="B11" s="52" t="s">
        <v>50</v>
      </c>
      <c r="C11" s="52" t="s">
        <v>54</v>
      </c>
      <c r="D11" s="127" t="s">
        <v>55</v>
      </c>
      <c r="E11" s="127"/>
      <c r="F11" s="52" t="s">
        <v>56</v>
      </c>
      <c r="G11" s="53">
        <v>4</v>
      </c>
      <c r="H11" s="54">
        <v>0</v>
      </c>
    </row>
    <row r="12" spans="1:8" x14ac:dyDescent="0.25">
      <c r="A12" s="55"/>
      <c r="D12" s="56" t="s">
        <v>71</v>
      </c>
      <c r="E12" s="128" t="s">
        <v>827</v>
      </c>
      <c r="F12" s="128"/>
      <c r="G12" s="57">
        <v>4</v>
      </c>
      <c r="H12" s="58"/>
    </row>
    <row r="13" spans="1:8" x14ac:dyDescent="0.25">
      <c r="A13" s="2" t="s">
        <v>61</v>
      </c>
      <c r="B13" s="3" t="s">
        <v>50</v>
      </c>
      <c r="C13" s="3" t="s">
        <v>62</v>
      </c>
      <c r="D13" s="92" t="s">
        <v>63</v>
      </c>
      <c r="E13" s="92"/>
      <c r="F13" s="3" t="s">
        <v>64</v>
      </c>
      <c r="G13" s="28">
        <v>4.8090000000000002</v>
      </c>
      <c r="H13" s="59">
        <v>0</v>
      </c>
    </row>
    <row r="14" spans="1:8" x14ac:dyDescent="0.25">
      <c r="A14" s="55"/>
      <c r="D14" s="56" t="s">
        <v>828</v>
      </c>
      <c r="E14" s="128" t="s">
        <v>829</v>
      </c>
      <c r="F14" s="128"/>
      <c r="G14" s="57">
        <v>4.8090000000000002</v>
      </c>
      <c r="H14" s="58"/>
    </row>
    <row r="15" spans="1:8" x14ac:dyDescent="0.25">
      <c r="A15" s="2" t="s">
        <v>67</v>
      </c>
      <c r="B15" s="3" t="s">
        <v>50</v>
      </c>
      <c r="C15" s="3" t="s">
        <v>68</v>
      </c>
      <c r="D15" s="92" t="s">
        <v>69</v>
      </c>
      <c r="E15" s="92"/>
      <c r="F15" s="3" t="s">
        <v>56</v>
      </c>
      <c r="G15" s="28">
        <v>3</v>
      </c>
      <c r="H15" s="59">
        <v>0</v>
      </c>
    </row>
    <row r="16" spans="1:8" x14ac:dyDescent="0.25">
      <c r="A16" s="55"/>
      <c r="D16" s="56" t="s">
        <v>61</v>
      </c>
      <c r="E16" s="128" t="s">
        <v>830</v>
      </c>
      <c r="F16" s="128"/>
      <c r="G16" s="57">
        <v>2</v>
      </c>
      <c r="H16" s="58"/>
    </row>
    <row r="17" spans="1:8" x14ac:dyDescent="0.25">
      <c r="A17" s="2" t="s">
        <v>50</v>
      </c>
      <c r="B17" s="3" t="s">
        <v>50</v>
      </c>
      <c r="C17" s="3" t="s">
        <v>50</v>
      </c>
      <c r="D17" s="56" t="s">
        <v>53</v>
      </c>
      <c r="E17" s="128" t="s">
        <v>831</v>
      </c>
      <c r="F17" s="128"/>
      <c r="G17" s="57">
        <v>1</v>
      </c>
      <c r="H17" s="60" t="s">
        <v>50</v>
      </c>
    </row>
    <row r="18" spans="1:8" x14ac:dyDescent="0.25">
      <c r="A18" s="2" t="s">
        <v>71</v>
      </c>
      <c r="B18" s="3" t="s">
        <v>50</v>
      </c>
      <c r="C18" s="3" t="s">
        <v>72</v>
      </c>
      <c r="D18" s="92" t="s">
        <v>73</v>
      </c>
      <c r="E18" s="92"/>
      <c r="F18" s="3" t="s">
        <v>56</v>
      </c>
      <c r="G18" s="28">
        <v>2</v>
      </c>
      <c r="H18" s="59">
        <v>0</v>
      </c>
    </row>
    <row r="19" spans="1:8" x14ac:dyDescent="0.25">
      <c r="A19" s="55"/>
      <c r="D19" s="56" t="s">
        <v>61</v>
      </c>
      <c r="E19" s="128" t="s">
        <v>832</v>
      </c>
      <c r="F19" s="128"/>
      <c r="G19" s="57">
        <v>2</v>
      </c>
      <c r="H19" s="58"/>
    </row>
    <row r="20" spans="1:8" x14ac:dyDescent="0.25">
      <c r="A20" s="2" t="s">
        <v>74</v>
      </c>
      <c r="B20" s="3" t="s">
        <v>50</v>
      </c>
      <c r="C20" s="3" t="s">
        <v>75</v>
      </c>
      <c r="D20" s="92" t="s">
        <v>76</v>
      </c>
      <c r="E20" s="92"/>
      <c r="F20" s="3" t="s">
        <v>77</v>
      </c>
      <c r="G20" s="28">
        <v>60</v>
      </c>
      <c r="H20" s="59">
        <v>0</v>
      </c>
    </row>
    <row r="21" spans="1:8" x14ac:dyDescent="0.25">
      <c r="A21" s="55"/>
      <c r="D21" s="56" t="s">
        <v>833</v>
      </c>
      <c r="E21" s="128" t="s">
        <v>834</v>
      </c>
      <c r="F21" s="128"/>
      <c r="G21" s="57">
        <v>60</v>
      </c>
      <c r="H21" s="58"/>
    </row>
    <row r="22" spans="1:8" x14ac:dyDescent="0.25">
      <c r="A22" s="2" t="s">
        <v>78</v>
      </c>
      <c r="B22" s="3" t="s">
        <v>50</v>
      </c>
      <c r="C22" s="3" t="s">
        <v>79</v>
      </c>
      <c r="D22" s="92" t="s">
        <v>80</v>
      </c>
      <c r="E22" s="92"/>
      <c r="F22" s="3" t="s">
        <v>77</v>
      </c>
      <c r="G22" s="28">
        <v>49.2</v>
      </c>
      <c r="H22" s="59">
        <v>0</v>
      </c>
    </row>
    <row r="23" spans="1:8" x14ac:dyDescent="0.25">
      <c r="A23" s="55"/>
      <c r="D23" s="56" t="s">
        <v>835</v>
      </c>
      <c r="E23" s="128" t="s">
        <v>836</v>
      </c>
      <c r="F23" s="128"/>
      <c r="G23" s="57">
        <v>26.2</v>
      </c>
      <c r="H23" s="58"/>
    </row>
    <row r="24" spans="1:8" x14ac:dyDescent="0.25">
      <c r="A24" s="2" t="s">
        <v>50</v>
      </c>
      <c r="B24" s="3" t="s">
        <v>50</v>
      </c>
      <c r="C24" s="3" t="s">
        <v>50</v>
      </c>
      <c r="D24" s="56" t="s">
        <v>837</v>
      </c>
      <c r="E24" s="128" t="s">
        <v>838</v>
      </c>
      <c r="F24" s="128"/>
      <c r="G24" s="57">
        <v>23</v>
      </c>
      <c r="H24" s="60" t="s">
        <v>50</v>
      </c>
    </row>
    <row r="25" spans="1:8" x14ac:dyDescent="0.25">
      <c r="A25" s="2" t="s">
        <v>81</v>
      </c>
      <c r="B25" s="3" t="s">
        <v>50</v>
      </c>
      <c r="C25" s="3" t="s">
        <v>82</v>
      </c>
      <c r="D25" s="92" t="s">
        <v>83</v>
      </c>
      <c r="E25" s="92"/>
      <c r="F25" s="3" t="s">
        <v>77</v>
      </c>
      <c r="G25" s="28">
        <v>19.100000000000001</v>
      </c>
      <c r="H25" s="59">
        <v>0</v>
      </c>
    </row>
    <row r="26" spans="1:8" x14ac:dyDescent="0.25">
      <c r="A26" s="55"/>
      <c r="D26" s="56" t="s">
        <v>839</v>
      </c>
      <c r="E26" s="128" t="s">
        <v>840</v>
      </c>
      <c r="F26" s="128"/>
      <c r="G26" s="57">
        <v>19.100000000000001</v>
      </c>
      <c r="H26" s="58"/>
    </row>
    <row r="27" spans="1:8" x14ac:dyDescent="0.25">
      <c r="A27" s="2" t="s">
        <v>84</v>
      </c>
      <c r="B27" s="3" t="s">
        <v>50</v>
      </c>
      <c r="C27" s="3" t="s">
        <v>85</v>
      </c>
      <c r="D27" s="92" t="s">
        <v>86</v>
      </c>
      <c r="E27" s="92"/>
      <c r="F27" s="3" t="s">
        <v>87</v>
      </c>
      <c r="G27" s="28">
        <v>1.6632100000000001</v>
      </c>
      <c r="H27" s="59">
        <v>0</v>
      </c>
    </row>
    <row r="28" spans="1:8" x14ac:dyDescent="0.25">
      <c r="A28" s="2" t="s">
        <v>88</v>
      </c>
      <c r="B28" s="3" t="s">
        <v>50</v>
      </c>
      <c r="C28" s="3" t="s">
        <v>89</v>
      </c>
      <c r="D28" s="92" t="s">
        <v>90</v>
      </c>
      <c r="E28" s="92"/>
      <c r="F28" s="3" t="s">
        <v>87</v>
      </c>
      <c r="G28" s="28">
        <v>1.6632100000000001</v>
      </c>
      <c r="H28" s="59">
        <v>0</v>
      </c>
    </row>
    <row r="29" spans="1:8" x14ac:dyDescent="0.25">
      <c r="A29" s="2" t="s">
        <v>91</v>
      </c>
      <c r="B29" s="3" t="s">
        <v>50</v>
      </c>
      <c r="C29" s="3" t="s">
        <v>92</v>
      </c>
      <c r="D29" s="92" t="s">
        <v>93</v>
      </c>
      <c r="E29" s="92"/>
      <c r="F29" s="3" t="s">
        <v>87</v>
      </c>
      <c r="G29" s="28">
        <v>1.6632100000000001</v>
      </c>
      <c r="H29" s="59">
        <v>0</v>
      </c>
    </row>
    <row r="30" spans="1:8" x14ac:dyDescent="0.25">
      <c r="A30" s="2" t="s">
        <v>94</v>
      </c>
      <c r="B30" s="3" t="s">
        <v>50</v>
      </c>
      <c r="C30" s="3" t="s">
        <v>95</v>
      </c>
      <c r="D30" s="92" t="s">
        <v>96</v>
      </c>
      <c r="E30" s="92"/>
      <c r="F30" s="3" t="s">
        <v>64</v>
      </c>
      <c r="G30" s="28">
        <v>4.2629999999999999</v>
      </c>
      <c r="H30" s="59">
        <v>0</v>
      </c>
    </row>
    <row r="31" spans="1:8" x14ac:dyDescent="0.25">
      <c r="A31" s="55"/>
      <c r="D31" s="56" t="s">
        <v>841</v>
      </c>
      <c r="E31" s="128" t="s">
        <v>842</v>
      </c>
      <c r="F31" s="128"/>
      <c r="G31" s="57">
        <v>4.2629999999999999</v>
      </c>
      <c r="H31" s="58"/>
    </row>
    <row r="32" spans="1:8" x14ac:dyDescent="0.25">
      <c r="A32" s="2" t="s">
        <v>98</v>
      </c>
      <c r="B32" s="3" t="s">
        <v>50</v>
      </c>
      <c r="C32" s="3" t="s">
        <v>99</v>
      </c>
      <c r="D32" s="92" t="s">
        <v>100</v>
      </c>
      <c r="E32" s="92"/>
      <c r="F32" s="3" t="s">
        <v>56</v>
      </c>
      <c r="G32" s="28">
        <v>1</v>
      </c>
      <c r="H32" s="59">
        <v>0</v>
      </c>
    </row>
    <row r="33" spans="1:8" x14ac:dyDescent="0.25">
      <c r="A33" s="55"/>
      <c r="D33" s="56" t="s">
        <v>53</v>
      </c>
      <c r="E33" s="128" t="s">
        <v>843</v>
      </c>
      <c r="F33" s="128"/>
      <c r="G33" s="57">
        <v>1</v>
      </c>
      <c r="H33" s="58"/>
    </row>
    <row r="34" spans="1:8" x14ac:dyDescent="0.25">
      <c r="A34" s="2" t="s">
        <v>101</v>
      </c>
      <c r="B34" s="3" t="s">
        <v>50</v>
      </c>
      <c r="C34" s="3" t="s">
        <v>102</v>
      </c>
      <c r="D34" s="92" t="s">
        <v>103</v>
      </c>
      <c r="E34" s="92"/>
      <c r="F34" s="3" t="s">
        <v>87</v>
      </c>
      <c r="G34" s="28">
        <v>0.16475999999999999</v>
      </c>
      <c r="H34" s="59">
        <v>0</v>
      </c>
    </row>
    <row r="35" spans="1:8" x14ac:dyDescent="0.25">
      <c r="A35" s="2" t="s">
        <v>106</v>
      </c>
      <c r="B35" s="3" t="s">
        <v>50</v>
      </c>
      <c r="C35" s="3" t="s">
        <v>107</v>
      </c>
      <c r="D35" s="92" t="s">
        <v>108</v>
      </c>
      <c r="E35" s="92"/>
      <c r="F35" s="3" t="s">
        <v>64</v>
      </c>
      <c r="G35" s="28">
        <v>9.7118000000000002</v>
      </c>
      <c r="H35" s="59">
        <v>0</v>
      </c>
    </row>
    <row r="36" spans="1:8" x14ac:dyDescent="0.25">
      <c r="A36" s="55"/>
      <c r="D36" s="56" t="s">
        <v>844</v>
      </c>
      <c r="E36" s="128" t="s">
        <v>845</v>
      </c>
      <c r="F36" s="128"/>
      <c r="G36" s="57">
        <v>7.2698</v>
      </c>
      <c r="H36" s="58"/>
    </row>
    <row r="37" spans="1:8" x14ac:dyDescent="0.25">
      <c r="A37" s="2" t="s">
        <v>50</v>
      </c>
      <c r="B37" s="3" t="s">
        <v>50</v>
      </c>
      <c r="C37" s="3" t="s">
        <v>50</v>
      </c>
      <c r="D37" s="56" t="s">
        <v>846</v>
      </c>
      <c r="E37" s="128" t="s">
        <v>847</v>
      </c>
      <c r="F37" s="128"/>
      <c r="G37" s="57">
        <v>2.4420000000000002</v>
      </c>
      <c r="H37" s="60" t="s">
        <v>50</v>
      </c>
    </row>
    <row r="38" spans="1:8" x14ac:dyDescent="0.25">
      <c r="A38" s="2" t="s">
        <v>111</v>
      </c>
      <c r="B38" s="3" t="s">
        <v>50</v>
      </c>
      <c r="C38" s="3" t="s">
        <v>112</v>
      </c>
      <c r="D38" s="92" t="s">
        <v>113</v>
      </c>
      <c r="E38" s="92"/>
      <c r="F38" s="3" t="s">
        <v>64</v>
      </c>
      <c r="G38" s="28">
        <v>15.394500000000001</v>
      </c>
      <c r="H38" s="59">
        <v>0</v>
      </c>
    </row>
    <row r="39" spans="1:8" x14ac:dyDescent="0.25">
      <c r="A39" s="55"/>
      <c r="D39" s="56" t="s">
        <v>848</v>
      </c>
      <c r="E39" s="128" t="s">
        <v>849</v>
      </c>
      <c r="F39" s="128"/>
      <c r="G39" s="57">
        <v>2.355</v>
      </c>
      <c r="H39" s="58"/>
    </row>
    <row r="40" spans="1:8" x14ac:dyDescent="0.25">
      <c r="A40" s="2" t="s">
        <v>50</v>
      </c>
      <c r="B40" s="3" t="s">
        <v>50</v>
      </c>
      <c r="C40" s="3" t="s">
        <v>50</v>
      </c>
      <c r="D40" s="56" t="s">
        <v>850</v>
      </c>
      <c r="E40" s="128" t="s">
        <v>843</v>
      </c>
      <c r="F40" s="128"/>
      <c r="G40" s="57">
        <v>13.0395</v>
      </c>
      <c r="H40" s="60" t="s">
        <v>50</v>
      </c>
    </row>
    <row r="41" spans="1:8" x14ac:dyDescent="0.25">
      <c r="A41" s="2" t="s">
        <v>114</v>
      </c>
      <c r="B41" s="3" t="s">
        <v>50</v>
      </c>
      <c r="C41" s="3" t="s">
        <v>85</v>
      </c>
      <c r="D41" s="92" t="s">
        <v>86</v>
      </c>
      <c r="E41" s="92"/>
      <c r="F41" s="3" t="s">
        <v>87</v>
      </c>
      <c r="G41" s="28">
        <v>1.0468299999999999</v>
      </c>
      <c r="H41" s="59">
        <v>0</v>
      </c>
    </row>
    <row r="42" spans="1:8" x14ac:dyDescent="0.25">
      <c r="A42" s="2" t="s">
        <v>115</v>
      </c>
      <c r="B42" s="3" t="s">
        <v>50</v>
      </c>
      <c r="C42" s="3" t="s">
        <v>89</v>
      </c>
      <c r="D42" s="92" t="s">
        <v>90</v>
      </c>
      <c r="E42" s="92"/>
      <c r="F42" s="3" t="s">
        <v>87</v>
      </c>
      <c r="G42" s="28">
        <v>0.33128999999999997</v>
      </c>
      <c r="H42" s="59">
        <v>0</v>
      </c>
    </row>
    <row r="43" spans="1:8" x14ac:dyDescent="0.25">
      <c r="A43" s="55"/>
      <c r="D43" s="56" t="s">
        <v>851</v>
      </c>
      <c r="E43" s="128" t="s">
        <v>852</v>
      </c>
      <c r="F43" s="128"/>
      <c r="G43" s="57">
        <v>0.33128999999999997</v>
      </c>
      <c r="H43" s="58"/>
    </row>
    <row r="44" spans="1:8" x14ac:dyDescent="0.25">
      <c r="A44" s="2" t="s">
        <v>116</v>
      </c>
      <c r="B44" s="3" t="s">
        <v>50</v>
      </c>
      <c r="C44" s="3" t="s">
        <v>117</v>
      </c>
      <c r="D44" s="92" t="s">
        <v>118</v>
      </c>
      <c r="E44" s="92"/>
      <c r="F44" s="3" t="s">
        <v>87</v>
      </c>
      <c r="G44" s="28">
        <v>0.33128999999999997</v>
      </c>
      <c r="H44" s="59">
        <v>0</v>
      </c>
    </row>
    <row r="45" spans="1:8" x14ac:dyDescent="0.25">
      <c r="A45" s="55"/>
      <c r="D45" s="56" t="s">
        <v>851</v>
      </c>
      <c r="E45" s="128" t="s">
        <v>853</v>
      </c>
      <c r="F45" s="128"/>
      <c r="G45" s="57">
        <v>0.33128999999999997</v>
      </c>
      <c r="H45" s="58"/>
    </row>
    <row r="46" spans="1:8" x14ac:dyDescent="0.25">
      <c r="A46" s="2" t="s">
        <v>120</v>
      </c>
      <c r="B46" s="3" t="s">
        <v>50</v>
      </c>
      <c r="C46" s="3" t="s">
        <v>121</v>
      </c>
      <c r="D46" s="92" t="s">
        <v>122</v>
      </c>
      <c r="E46" s="92"/>
      <c r="F46" s="3" t="s">
        <v>77</v>
      </c>
      <c r="G46" s="28">
        <v>68.3</v>
      </c>
      <c r="H46" s="59">
        <v>0</v>
      </c>
    </row>
    <row r="47" spans="1:8" x14ac:dyDescent="0.25">
      <c r="A47" s="55"/>
      <c r="D47" s="56" t="s">
        <v>854</v>
      </c>
      <c r="E47" s="128" t="s">
        <v>855</v>
      </c>
      <c r="F47" s="128"/>
      <c r="G47" s="57">
        <v>68.3</v>
      </c>
      <c r="H47" s="58"/>
    </row>
    <row r="48" spans="1:8" x14ac:dyDescent="0.25">
      <c r="A48" s="2" t="s">
        <v>124</v>
      </c>
      <c r="B48" s="3" t="s">
        <v>50</v>
      </c>
      <c r="C48" s="3" t="s">
        <v>125</v>
      </c>
      <c r="D48" s="92" t="s">
        <v>126</v>
      </c>
      <c r="E48" s="92"/>
      <c r="F48" s="3" t="s">
        <v>64</v>
      </c>
      <c r="G48" s="28">
        <v>15.394500000000001</v>
      </c>
      <c r="H48" s="59">
        <v>0</v>
      </c>
    </row>
    <row r="49" spans="1:8" x14ac:dyDescent="0.25">
      <c r="A49" s="55"/>
      <c r="D49" s="56" t="s">
        <v>848</v>
      </c>
      <c r="E49" s="128" t="s">
        <v>849</v>
      </c>
      <c r="F49" s="128"/>
      <c r="G49" s="57">
        <v>2.355</v>
      </c>
      <c r="H49" s="58"/>
    </row>
    <row r="50" spans="1:8" x14ac:dyDescent="0.25">
      <c r="A50" s="2" t="s">
        <v>50</v>
      </c>
      <c r="B50" s="3" t="s">
        <v>50</v>
      </c>
      <c r="C50" s="3" t="s">
        <v>50</v>
      </c>
      <c r="D50" s="56" t="s">
        <v>850</v>
      </c>
      <c r="E50" s="128" t="s">
        <v>843</v>
      </c>
      <c r="F50" s="128"/>
      <c r="G50" s="57">
        <v>13.0395</v>
      </c>
      <c r="H50" s="60" t="s">
        <v>50</v>
      </c>
    </row>
    <row r="51" spans="1:8" x14ac:dyDescent="0.25">
      <c r="A51" s="2" t="s">
        <v>127</v>
      </c>
      <c r="B51" s="3" t="s">
        <v>50</v>
      </c>
      <c r="C51" s="3" t="s">
        <v>128</v>
      </c>
      <c r="D51" s="92" t="s">
        <v>129</v>
      </c>
      <c r="E51" s="92"/>
      <c r="F51" s="3" t="s">
        <v>64</v>
      </c>
      <c r="G51" s="28">
        <v>179.64510000000001</v>
      </c>
      <c r="H51" s="59">
        <v>0</v>
      </c>
    </row>
    <row r="52" spans="1:8" x14ac:dyDescent="0.25">
      <c r="A52" s="55"/>
      <c r="D52" s="56" t="s">
        <v>856</v>
      </c>
      <c r="E52" s="128" t="s">
        <v>849</v>
      </c>
      <c r="F52" s="128"/>
      <c r="G52" s="57">
        <v>21.6</v>
      </c>
      <c r="H52" s="58"/>
    </row>
    <row r="53" spans="1:8" x14ac:dyDescent="0.25">
      <c r="A53" s="2" t="s">
        <v>50</v>
      </c>
      <c r="B53" s="3" t="s">
        <v>50</v>
      </c>
      <c r="C53" s="3" t="s">
        <v>50</v>
      </c>
      <c r="D53" s="56" t="s">
        <v>857</v>
      </c>
      <c r="E53" s="128" t="s">
        <v>843</v>
      </c>
      <c r="F53" s="128"/>
      <c r="G53" s="57">
        <v>26.494299999999999</v>
      </c>
      <c r="H53" s="60" t="s">
        <v>50</v>
      </c>
    </row>
    <row r="54" spans="1:8" x14ac:dyDescent="0.25">
      <c r="A54" s="2" t="s">
        <v>50</v>
      </c>
      <c r="B54" s="3" t="s">
        <v>50</v>
      </c>
      <c r="C54" s="3" t="s">
        <v>50</v>
      </c>
      <c r="D54" s="56" t="s">
        <v>858</v>
      </c>
      <c r="E54" s="128" t="s">
        <v>859</v>
      </c>
      <c r="F54" s="128"/>
      <c r="G54" s="57">
        <v>31.942900000000002</v>
      </c>
      <c r="H54" s="60" t="s">
        <v>50</v>
      </c>
    </row>
    <row r="55" spans="1:8" x14ac:dyDescent="0.25">
      <c r="A55" s="2" t="s">
        <v>50</v>
      </c>
      <c r="B55" s="3" t="s">
        <v>50</v>
      </c>
      <c r="C55" s="3" t="s">
        <v>50</v>
      </c>
      <c r="D55" s="56" t="s">
        <v>860</v>
      </c>
      <c r="E55" s="128" t="s">
        <v>861</v>
      </c>
      <c r="F55" s="128"/>
      <c r="G55" s="57">
        <v>52.457900000000002</v>
      </c>
      <c r="H55" s="60" t="s">
        <v>50</v>
      </c>
    </row>
    <row r="56" spans="1:8" x14ac:dyDescent="0.25">
      <c r="A56" s="2" t="s">
        <v>50</v>
      </c>
      <c r="B56" s="3" t="s">
        <v>50</v>
      </c>
      <c r="C56" s="3" t="s">
        <v>50</v>
      </c>
      <c r="D56" s="56" t="s">
        <v>862</v>
      </c>
      <c r="E56" s="128" t="s">
        <v>863</v>
      </c>
      <c r="F56" s="128"/>
      <c r="G56" s="57">
        <v>47.15</v>
      </c>
      <c r="H56" s="60" t="s">
        <v>50</v>
      </c>
    </row>
    <row r="57" spans="1:8" x14ac:dyDescent="0.25">
      <c r="A57" s="2" t="s">
        <v>130</v>
      </c>
      <c r="B57" s="3" t="s">
        <v>50</v>
      </c>
      <c r="C57" s="3" t="s">
        <v>131</v>
      </c>
      <c r="D57" s="92" t="s">
        <v>132</v>
      </c>
      <c r="E57" s="92"/>
      <c r="F57" s="3" t="s">
        <v>64</v>
      </c>
      <c r="G57" s="28">
        <v>22.956499999999998</v>
      </c>
      <c r="H57" s="59">
        <v>0</v>
      </c>
    </row>
    <row r="58" spans="1:8" x14ac:dyDescent="0.25">
      <c r="A58" s="55"/>
      <c r="D58" s="56" t="s">
        <v>864</v>
      </c>
      <c r="E58" s="128" t="s">
        <v>843</v>
      </c>
      <c r="F58" s="128"/>
      <c r="G58" s="57">
        <v>22.956499999999998</v>
      </c>
      <c r="H58" s="58"/>
    </row>
    <row r="59" spans="1:8" x14ac:dyDescent="0.25">
      <c r="A59" s="2" t="s">
        <v>133</v>
      </c>
      <c r="B59" s="3" t="s">
        <v>50</v>
      </c>
      <c r="C59" s="3" t="s">
        <v>134</v>
      </c>
      <c r="D59" s="92" t="s">
        <v>135</v>
      </c>
      <c r="E59" s="92"/>
      <c r="F59" s="3" t="s">
        <v>136</v>
      </c>
      <c r="G59" s="28">
        <v>72.312970000000007</v>
      </c>
      <c r="H59" s="59">
        <v>0</v>
      </c>
    </row>
    <row r="60" spans="1:8" x14ac:dyDescent="0.25">
      <c r="A60" s="55"/>
      <c r="D60" s="56" t="s">
        <v>865</v>
      </c>
      <c r="E60" s="128" t="s">
        <v>843</v>
      </c>
      <c r="F60" s="128"/>
      <c r="G60" s="57">
        <v>68.869500000000002</v>
      </c>
      <c r="H60" s="58"/>
    </row>
    <row r="61" spans="1:8" x14ac:dyDescent="0.25">
      <c r="A61" s="2" t="s">
        <v>50</v>
      </c>
      <c r="B61" s="3" t="s">
        <v>50</v>
      </c>
      <c r="C61" s="3" t="s">
        <v>50</v>
      </c>
      <c r="D61" s="56" t="s">
        <v>866</v>
      </c>
      <c r="E61" s="128" t="s">
        <v>50</v>
      </c>
      <c r="F61" s="128"/>
      <c r="G61" s="57">
        <v>3.44347</v>
      </c>
      <c r="H61" s="60" t="s">
        <v>50</v>
      </c>
    </row>
    <row r="62" spans="1:8" x14ac:dyDescent="0.25">
      <c r="A62" s="2" t="s">
        <v>137</v>
      </c>
      <c r="B62" s="3" t="s">
        <v>50</v>
      </c>
      <c r="C62" s="3" t="s">
        <v>138</v>
      </c>
      <c r="D62" s="92" t="s">
        <v>139</v>
      </c>
      <c r="E62" s="92"/>
      <c r="F62" s="3" t="s">
        <v>64</v>
      </c>
      <c r="G62" s="28">
        <v>22.956499999999998</v>
      </c>
      <c r="H62" s="59">
        <v>0</v>
      </c>
    </row>
    <row r="63" spans="1:8" x14ac:dyDescent="0.25">
      <c r="A63" s="55"/>
      <c r="D63" s="56" t="s">
        <v>864</v>
      </c>
      <c r="E63" s="128" t="s">
        <v>843</v>
      </c>
      <c r="F63" s="128"/>
      <c r="G63" s="57">
        <v>22.956499999999998</v>
      </c>
      <c r="H63" s="58"/>
    </row>
    <row r="64" spans="1:8" x14ac:dyDescent="0.25">
      <c r="A64" s="2" t="s">
        <v>140</v>
      </c>
      <c r="B64" s="3" t="s">
        <v>50</v>
      </c>
      <c r="C64" s="3" t="s">
        <v>141</v>
      </c>
      <c r="D64" s="92" t="s">
        <v>142</v>
      </c>
      <c r="E64" s="92"/>
      <c r="F64" s="3" t="s">
        <v>77</v>
      </c>
      <c r="G64" s="28">
        <v>27.72</v>
      </c>
      <c r="H64" s="59">
        <v>0</v>
      </c>
    </row>
    <row r="65" spans="1:8" x14ac:dyDescent="0.25">
      <c r="A65" s="55"/>
      <c r="D65" s="56" t="s">
        <v>867</v>
      </c>
      <c r="E65" s="128" t="s">
        <v>843</v>
      </c>
      <c r="F65" s="128"/>
      <c r="G65" s="57">
        <v>27.72</v>
      </c>
      <c r="H65" s="58"/>
    </row>
    <row r="66" spans="1:8" x14ac:dyDescent="0.25">
      <c r="A66" s="2" t="s">
        <v>143</v>
      </c>
      <c r="B66" s="3" t="s">
        <v>50</v>
      </c>
      <c r="C66" s="3" t="s">
        <v>144</v>
      </c>
      <c r="D66" s="92" t="s">
        <v>145</v>
      </c>
      <c r="E66" s="92"/>
      <c r="F66" s="3" t="s">
        <v>64</v>
      </c>
      <c r="G66" s="28">
        <v>127.2011</v>
      </c>
      <c r="H66" s="59">
        <v>0</v>
      </c>
    </row>
    <row r="67" spans="1:8" x14ac:dyDescent="0.25">
      <c r="A67" s="55"/>
      <c r="D67" s="56" t="s">
        <v>856</v>
      </c>
      <c r="E67" s="128" t="s">
        <v>849</v>
      </c>
      <c r="F67" s="128"/>
      <c r="G67" s="57">
        <v>21.6</v>
      </c>
      <c r="H67" s="58"/>
    </row>
    <row r="68" spans="1:8" x14ac:dyDescent="0.25">
      <c r="A68" s="2" t="s">
        <v>50</v>
      </c>
      <c r="B68" s="3" t="s">
        <v>50</v>
      </c>
      <c r="C68" s="3" t="s">
        <v>50</v>
      </c>
      <c r="D68" s="56" t="s">
        <v>857</v>
      </c>
      <c r="E68" s="128" t="s">
        <v>843</v>
      </c>
      <c r="F68" s="128"/>
      <c r="G68" s="57">
        <v>26.494299999999999</v>
      </c>
      <c r="H68" s="60" t="s">
        <v>50</v>
      </c>
    </row>
    <row r="69" spans="1:8" x14ac:dyDescent="0.25">
      <c r="A69" s="2" t="s">
        <v>50</v>
      </c>
      <c r="B69" s="3" t="s">
        <v>50</v>
      </c>
      <c r="C69" s="3" t="s">
        <v>50</v>
      </c>
      <c r="D69" s="56" t="s">
        <v>858</v>
      </c>
      <c r="E69" s="128" t="s">
        <v>859</v>
      </c>
      <c r="F69" s="128"/>
      <c r="G69" s="57">
        <v>31.942900000000002</v>
      </c>
      <c r="H69" s="60" t="s">
        <v>50</v>
      </c>
    </row>
    <row r="70" spans="1:8" x14ac:dyDescent="0.25">
      <c r="A70" s="2" t="s">
        <v>50</v>
      </c>
      <c r="B70" s="3" t="s">
        <v>50</v>
      </c>
      <c r="C70" s="3" t="s">
        <v>50</v>
      </c>
      <c r="D70" s="56" t="s">
        <v>860</v>
      </c>
      <c r="E70" s="128" t="s">
        <v>861</v>
      </c>
      <c r="F70" s="128"/>
      <c r="G70" s="57">
        <v>52.457900000000002</v>
      </c>
      <c r="H70" s="60" t="s">
        <v>50</v>
      </c>
    </row>
    <row r="71" spans="1:8" x14ac:dyDescent="0.25">
      <c r="A71" s="2" t="s">
        <v>50</v>
      </c>
      <c r="B71" s="3" t="s">
        <v>50</v>
      </c>
      <c r="C71" s="3" t="s">
        <v>50</v>
      </c>
      <c r="D71" s="56" t="s">
        <v>868</v>
      </c>
      <c r="E71" s="128" t="s">
        <v>869</v>
      </c>
      <c r="F71" s="128"/>
      <c r="G71" s="57">
        <v>-5.2939999999999996</v>
      </c>
      <c r="H71" s="60" t="s">
        <v>50</v>
      </c>
    </row>
    <row r="72" spans="1:8" x14ac:dyDescent="0.25">
      <c r="A72" s="2" t="s">
        <v>147</v>
      </c>
      <c r="B72" s="3" t="s">
        <v>50</v>
      </c>
      <c r="C72" s="3" t="s">
        <v>148</v>
      </c>
      <c r="D72" s="92" t="s">
        <v>149</v>
      </c>
      <c r="E72" s="92"/>
      <c r="F72" s="3" t="s">
        <v>77</v>
      </c>
      <c r="G72" s="28">
        <v>28</v>
      </c>
      <c r="H72" s="59">
        <v>0</v>
      </c>
    </row>
    <row r="73" spans="1:8" x14ac:dyDescent="0.25">
      <c r="A73" s="55"/>
      <c r="D73" s="56" t="s">
        <v>870</v>
      </c>
      <c r="E73" s="128" t="s">
        <v>845</v>
      </c>
      <c r="F73" s="128"/>
      <c r="G73" s="57">
        <v>0</v>
      </c>
      <c r="H73" s="58"/>
    </row>
    <row r="74" spans="1:8" x14ac:dyDescent="0.25">
      <c r="A74" s="2" t="s">
        <v>50</v>
      </c>
      <c r="B74" s="3" t="s">
        <v>50</v>
      </c>
      <c r="C74" s="3" t="s">
        <v>50</v>
      </c>
      <c r="D74" s="56" t="s">
        <v>871</v>
      </c>
      <c r="E74" s="128" t="s">
        <v>847</v>
      </c>
      <c r="F74" s="128"/>
      <c r="G74" s="57">
        <v>28</v>
      </c>
      <c r="H74" s="60" t="s">
        <v>50</v>
      </c>
    </row>
    <row r="75" spans="1:8" x14ac:dyDescent="0.25">
      <c r="A75" s="2" t="s">
        <v>150</v>
      </c>
      <c r="B75" s="3" t="s">
        <v>50</v>
      </c>
      <c r="C75" s="3" t="s">
        <v>151</v>
      </c>
      <c r="D75" s="92" t="s">
        <v>152</v>
      </c>
      <c r="E75" s="92"/>
      <c r="F75" s="3" t="s">
        <v>64</v>
      </c>
      <c r="G75" s="28">
        <v>127.2011</v>
      </c>
      <c r="H75" s="59">
        <v>0</v>
      </c>
    </row>
    <row r="76" spans="1:8" x14ac:dyDescent="0.25">
      <c r="A76" s="55"/>
      <c r="D76" s="56" t="s">
        <v>856</v>
      </c>
      <c r="E76" s="128" t="s">
        <v>849</v>
      </c>
      <c r="F76" s="128"/>
      <c r="G76" s="57">
        <v>21.6</v>
      </c>
      <c r="H76" s="58"/>
    </row>
    <row r="77" spans="1:8" x14ac:dyDescent="0.25">
      <c r="A77" s="2" t="s">
        <v>50</v>
      </c>
      <c r="B77" s="3" t="s">
        <v>50</v>
      </c>
      <c r="C77" s="3" t="s">
        <v>50</v>
      </c>
      <c r="D77" s="56" t="s">
        <v>857</v>
      </c>
      <c r="E77" s="128" t="s">
        <v>843</v>
      </c>
      <c r="F77" s="128"/>
      <c r="G77" s="57">
        <v>26.494299999999999</v>
      </c>
      <c r="H77" s="60" t="s">
        <v>50</v>
      </c>
    </row>
    <row r="78" spans="1:8" x14ac:dyDescent="0.25">
      <c r="A78" s="2" t="s">
        <v>50</v>
      </c>
      <c r="B78" s="3" t="s">
        <v>50</v>
      </c>
      <c r="C78" s="3" t="s">
        <v>50</v>
      </c>
      <c r="D78" s="56" t="s">
        <v>858</v>
      </c>
      <c r="E78" s="128" t="s">
        <v>859</v>
      </c>
      <c r="F78" s="128"/>
      <c r="G78" s="57">
        <v>31.942900000000002</v>
      </c>
      <c r="H78" s="60" t="s">
        <v>50</v>
      </c>
    </row>
    <row r="79" spans="1:8" x14ac:dyDescent="0.25">
      <c r="A79" s="2" t="s">
        <v>50</v>
      </c>
      <c r="B79" s="3" t="s">
        <v>50</v>
      </c>
      <c r="C79" s="3" t="s">
        <v>50</v>
      </c>
      <c r="D79" s="56" t="s">
        <v>860</v>
      </c>
      <c r="E79" s="128" t="s">
        <v>861</v>
      </c>
      <c r="F79" s="128"/>
      <c r="G79" s="57">
        <v>52.457900000000002</v>
      </c>
      <c r="H79" s="60" t="s">
        <v>50</v>
      </c>
    </row>
    <row r="80" spans="1:8" x14ac:dyDescent="0.25">
      <c r="A80" s="2" t="s">
        <v>50</v>
      </c>
      <c r="B80" s="3" t="s">
        <v>50</v>
      </c>
      <c r="C80" s="3" t="s">
        <v>50</v>
      </c>
      <c r="D80" s="56" t="s">
        <v>868</v>
      </c>
      <c r="E80" s="128" t="s">
        <v>869</v>
      </c>
      <c r="F80" s="128"/>
      <c r="G80" s="57">
        <v>-5.2939999999999996</v>
      </c>
      <c r="H80" s="60" t="s">
        <v>50</v>
      </c>
    </row>
    <row r="81" spans="1:8" x14ac:dyDescent="0.25">
      <c r="A81" s="2" t="s">
        <v>154</v>
      </c>
      <c r="B81" s="3" t="s">
        <v>50</v>
      </c>
      <c r="C81" s="3" t="s">
        <v>155</v>
      </c>
      <c r="D81" s="92" t="s">
        <v>156</v>
      </c>
      <c r="E81" s="92"/>
      <c r="F81" s="3" t="s">
        <v>64</v>
      </c>
      <c r="G81" s="28">
        <v>47.15</v>
      </c>
      <c r="H81" s="59">
        <v>0</v>
      </c>
    </row>
    <row r="82" spans="1:8" x14ac:dyDescent="0.25">
      <c r="A82" s="55"/>
      <c r="D82" s="56" t="s">
        <v>862</v>
      </c>
      <c r="E82" s="128" t="s">
        <v>863</v>
      </c>
      <c r="F82" s="128"/>
      <c r="G82" s="57">
        <v>47.15</v>
      </c>
      <c r="H82" s="58"/>
    </row>
    <row r="83" spans="1:8" x14ac:dyDescent="0.25">
      <c r="A83" s="2" t="s">
        <v>158</v>
      </c>
      <c r="B83" s="3" t="s">
        <v>50</v>
      </c>
      <c r="C83" s="3" t="s">
        <v>159</v>
      </c>
      <c r="D83" s="92" t="s">
        <v>160</v>
      </c>
      <c r="E83" s="92"/>
      <c r="F83" s="3" t="s">
        <v>64</v>
      </c>
      <c r="G83" s="28">
        <v>47.15</v>
      </c>
      <c r="H83" s="59">
        <v>0</v>
      </c>
    </row>
    <row r="84" spans="1:8" x14ac:dyDescent="0.25">
      <c r="A84" s="55"/>
      <c r="D84" s="56" t="s">
        <v>862</v>
      </c>
      <c r="E84" s="128" t="s">
        <v>863</v>
      </c>
      <c r="F84" s="128"/>
      <c r="G84" s="57">
        <v>47.15</v>
      </c>
      <c r="H84" s="58"/>
    </row>
    <row r="85" spans="1:8" x14ac:dyDescent="0.25">
      <c r="A85" s="2" t="s">
        <v>161</v>
      </c>
      <c r="B85" s="3" t="s">
        <v>50</v>
      </c>
      <c r="C85" s="3" t="s">
        <v>162</v>
      </c>
      <c r="D85" s="92" t="s">
        <v>163</v>
      </c>
      <c r="E85" s="92"/>
      <c r="F85" s="3" t="s">
        <v>64</v>
      </c>
      <c r="G85" s="28">
        <v>4</v>
      </c>
      <c r="H85" s="59">
        <v>0</v>
      </c>
    </row>
    <row r="86" spans="1:8" x14ac:dyDescent="0.25">
      <c r="A86" s="55"/>
      <c r="D86" s="56" t="s">
        <v>872</v>
      </c>
      <c r="E86" s="128" t="s">
        <v>873</v>
      </c>
      <c r="F86" s="128"/>
      <c r="G86" s="57">
        <v>4</v>
      </c>
      <c r="H86" s="58"/>
    </row>
    <row r="87" spans="1:8" x14ac:dyDescent="0.25">
      <c r="A87" s="2" t="s">
        <v>165</v>
      </c>
      <c r="B87" s="3" t="s">
        <v>50</v>
      </c>
      <c r="C87" s="3" t="s">
        <v>102</v>
      </c>
      <c r="D87" s="92" t="s">
        <v>103</v>
      </c>
      <c r="E87" s="92"/>
      <c r="F87" s="3" t="s">
        <v>87</v>
      </c>
      <c r="G87" s="28">
        <v>3.0996000000000001</v>
      </c>
      <c r="H87" s="59">
        <v>0</v>
      </c>
    </row>
    <row r="88" spans="1:8" x14ac:dyDescent="0.25">
      <c r="A88" s="2" t="s">
        <v>168</v>
      </c>
      <c r="B88" s="3" t="s">
        <v>50</v>
      </c>
      <c r="C88" s="3" t="s">
        <v>169</v>
      </c>
      <c r="D88" s="92" t="s">
        <v>170</v>
      </c>
      <c r="E88" s="92"/>
      <c r="F88" s="3" t="s">
        <v>56</v>
      </c>
      <c r="G88" s="28">
        <v>1</v>
      </c>
      <c r="H88" s="59">
        <v>0</v>
      </c>
    </row>
    <row r="89" spans="1:8" x14ac:dyDescent="0.25">
      <c r="A89" s="55"/>
      <c r="D89" s="56" t="s">
        <v>53</v>
      </c>
      <c r="E89" s="128" t="s">
        <v>843</v>
      </c>
      <c r="F89" s="128"/>
      <c r="G89" s="57">
        <v>1</v>
      </c>
      <c r="H89" s="58"/>
    </row>
    <row r="90" spans="1:8" x14ac:dyDescent="0.25">
      <c r="A90" s="2" t="s">
        <v>51</v>
      </c>
      <c r="B90" s="3" t="s">
        <v>50</v>
      </c>
      <c r="C90" s="3" t="s">
        <v>173</v>
      </c>
      <c r="D90" s="92" t="s">
        <v>174</v>
      </c>
      <c r="E90" s="92"/>
      <c r="F90" s="3" t="s">
        <v>56</v>
      </c>
      <c r="G90" s="28">
        <v>4</v>
      </c>
      <c r="H90" s="59">
        <v>0</v>
      </c>
    </row>
    <row r="91" spans="1:8" x14ac:dyDescent="0.25">
      <c r="A91" s="55"/>
      <c r="D91" s="56" t="s">
        <v>71</v>
      </c>
      <c r="E91" s="128" t="s">
        <v>874</v>
      </c>
      <c r="F91" s="128"/>
      <c r="G91" s="57">
        <v>4</v>
      </c>
      <c r="H91" s="58"/>
    </row>
    <row r="92" spans="1:8" x14ac:dyDescent="0.25">
      <c r="A92" s="2" t="s">
        <v>175</v>
      </c>
      <c r="B92" s="3" t="s">
        <v>50</v>
      </c>
      <c r="C92" s="3" t="s">
        <v>102</v>
      </c>
      <c r="D92" s="92" t="s">
        <v>103</v>
      </c>
      <c r="E92" s="92"/>
      <c r="F92" s="3" t="s">
        <v>87</v>
      </c>
      <c r="G92" s="28">
        <v>3.2000000000000001E-2</v>
      </c>
      <c r="H92" s="59">
        <v>0</v>
      </c>
    </row>
    <row r="93" spans="1:8" x14ac:dyDescent="0.25">
      <c r="A93" s="2" t="s">
        <v>178</v>
      </c>
      <c r="B93" s="3" t="s">
        <v>50</v>
      </c>
      <c r="C93" s="3" t="s">
        <v>179</v>
      </c>
      <c r="D93" s="92" t="s">
        <v>180</v>
      </c>
      <c r="E93" s="92"/>
      <c r="F93" s="3" t="s">
        <v>77</v>
      </c>
      <c r="G93" s="28">
        <v>18.100000000000001</v>
      </c>
      <c r="H93" s="59">
        <v>0</v>
      </c>
    </row>
    <row r="94" spans="1:8" x14ac:dyDescent="0.25">
      <c r="A94" s="55"/>
      <c r="D94" s="56" t="s">
        <v>875</v>
      </c>
      <c r="E94" s="128" t="s">
        <v>876</v>
      </c>
      <c r="F94" s="128"/>
      <c r="G94" s="57">
        <v>18.100000000000001</v>
      </c>
      <c r="H94" s="58"/>
    </row>
    <row r="95" spans="1:8" x14ac:dyDescent="0.25">
      <c r="A95" s="2" t="s">
        <v>183</v>
      </c>
      <c r="B95" s="3" t="s">
        <v>50</v>
      </c>
      <c r="C95" s="3" t="s">
        <v>184</v>
      </c>
      <c r="D95" s="92" t="s">
        <v>185</v>
      </c>
      <c r="E95" s="92"/>
      <c r="F95" s="3" t="s">
        <v>77</v>
      </c>
      <c r="G95" s="28">
        <v>1</v>
      </c>
      <c r="H95" s="59">
        <v>0</v>
      </c>
    </row>
    <row r="96" spans="1:8" x14ac:dyDescent="0.25">
      <c r="A96" s="55"/>
      <c r="D96" s="56" t="s">
        <v>53</v>
      </c>
      <c r="E96" s="128" t="s">
        <v>876</v>
      </c>
      <c r="F96" s="128"/>
      <c r="G96" s="57">
        <v>1</v>
      </c>
      <c r="H96" s="58"/>
    </row>
    <row r="97" spans="1:8" x14ac:dyDescent="0.25">
      <c r="A97" s="2" t="s">
        <v>186</v>
      </c>
      <c r="B97" s="3" t="s">
        <v>50</v>
      </c>
      <c r="C97" s="3" t="s">
        <v>187</v>
      </c>
      <c r="D97" s="92" t="s">
        <v>188</v>
      </c>
      <c r="E97" s="92"/>
      <c r="F97" s="3" t="s">
        <v>56</v>
      </c>
      <c r="G97" s="28">
        <v>5</v>
      </c>
      <c r="H97" s="59">
        <v>0</v>
      </c>
    </row>
    <row r="98" spans="1:8" x14ac:dyDescent="0.25">
      <c r="A98" s="55"/>
      <c r="D98" s="56" t="s">
        <v>74</v>
      </c>
      <c r="E98" s="128" t="s">
        <v>876</v>
      </c>
      <c r="F98" s="128"/>
      <c r="G98" s="57">
        <v>5</v>
      </c>
      <c r="H98" s="58"/>
    </row>
    <row r="99" spans="1:8" x14ac:dyDescent="0.25">
      <c r="A99" s="2" t="s">
        <v>189</v>
      </c>
      <c r="B99" s="3" t="s">
        <v>50</v>
      </c>
      <c r="C99" s="3" t="s">
        <v>190</v>
      </c>
      <c r="D99" s="92" t="s">
        <v>191</v>
      </c>
      <c r="E99" s="92"/>
      <c r="F99" s="3" t="s">
        <v>56</v>
      </c>
      <c r="G99" s="28">
        <v>1</v>
      </c>
      <c r="H99" s="59">
        <v>0</v>
      </c>
    </row>
    <row r="100" spans="1:8" x14ac:dyDescent="0.25">
      <c r="A100" s="55"/>
      <c r="D100" s="56" t="s">
        <v>53</v>
      </c>
      <c r="E100" s="128" t="s">
        <v>876</v>
      </c>
      <c r="F100" s="128"/>
      <c r="G100" s="57">
        <v>1</v>
      </c>
      <c r="H100" s="58"/>
    </row>
    <row r="101" spans="1:8" x14ac:dyDescent="0.25">
      <c r="A101" s="2" t="s">
        <v>192</v>
      </c>
      <c r="B101" s="3" t="s">
        <v>50</v>
      </c>
      <c r="C101" s="3" t="s">
        <v>193</v>
      </c>
      <c r="D101" s="92" t="s">
        <v>194</v>
      </c>
      <c r="E101" s="92"/>
      <c r="F101" s="3" t="s">
        <v>56</v>
      </c>
      <c r="G101" s="28">
        <v>1</v>
      </c>
      <c r="H101" s="59">
        <v>0</v>
      </c>
    </row>
    <row r="102" spans="1:8" x14ac:dyDescent="0.25">
      <c r="A102" s="55"/>
      <c r="D102" s="56" t="s">
        <v>53</v>
      </c>
      <c r="E102" s="128" t="s">
        <v>877</v>
      </c>
      <c r="F102" s="128"/>
      <c r="G102" s="57">
        <v>1</v>
      </c>
      <c r="H102" s="58"/>
    </row>
    <row r="103" spans="1:8" x14ac:dyDescent="0.25">
      <c r="A103" s="2" t="s">
        <v>195</v>
      </c>
      <c r="B103" s="3" t="s">
        <v>50</v>
      </c>
      <c r="C103" s="3" t="s">
        <v>196</v>
      </c>
      <c r="D103" s="92" t="s">
        <v>197</v>
      </c>
      <c r="E103" s="92"/>
      <c r="F103" s="3" t="s">
        <v>77</v>
      </c>
      <c r="G103" s="28">
        <v>19.100000000000001</v>
      </c>
      <c r="H103" s="59">
        <v>0</v>
      </c>
    </row>
    <row r="104" spans="1:8" x14ac:dyDescent="0.25">
      <c r="A104" s="55"/>
      <c r="D104" s="56" t="s">
        <v>839</v>
      </c>
      <c r="E104" s="128" t="s">
        <v>876</v>
      </c>
      <c r="F104" s="128"/>
      <c r="G104" s="57">
        <v>19.100000000000001</v>
      </c>
      <c r="H104" s="58"/>
    </row>
    <row r="105" spans="1:8" x14ac:dyDescent="0.25">
      <c r="A105" s="2" t="s">
        <v>198</v>
      </c>
      <c r="B105" s="3" t="s">
        <v>50</v>
      </c>
      <c r="C105" s="3" t="s">
        <v>199</v>
      </c>
      <c r="D105" s="92" t="s">
        <v>200</v>
      </c>
      <c r="E105" s="92"/>
      <c r="F105" s="3" t="s">
        <v>87</v>
      </c>
      <c r="G105" s="28">
        <v>1.0030000000000001E-2</v>
      </c>
      <c r="H105" s="59">
        <v>0</v>
      </c>
    </row>
    <row r="106" spans="1:8" x14ac:dyDescent="0.25">
      <c r="A106" s="2" t="s">
        <v>203</v>
      </c>
      <c r="B106" s="3" t="s">
        <v>50</v>
      </c>
      <c r="C106" s="3" t="s">
        <v>204</v>
      </c>
      <c r="D106" s="92" t="s">
        <v>205</v>
      </c>
      <c r="E106" s="92"/>
      <c r="F106" s="3" t="s">
        <v>77</v>
      </c>
      <c r="G106" s="28">
        <v>14.4</v>
      </c>
      <c r="H106" s="59">
        <v>0</v>
      </c>
    </row>
    <row r="107" spans="1:8" x14ac:dyDescent="0.25">
      <c r="A107" s="55"/>
      <c r="D107" s="56" t="s">
        <v>878</v>
      </c>
      <c r="E107" s="128" t="s">
        <v>879</v>
      </c>
      <c r="F107" s="128"/>
      <c r="G107" s="57">
        <v>7.8</v>
      </c>
      <c r="H107" s="58"/>
    </row>
    <row r="108" spans="1:8" x14ac:dyDescent="0.25">
      <c r="A108" s="2" t="s">
        <v>50</v>
      </c>
      <c r="B108" s="3" t="s">
        <v>50</v>
      </c>
      <c r="C108" s="3" t="s">
        <v>50</v>
      </c>
      <c r="D108" s="56" t="s">
        <v>880</v>
      </c>
      <c r="E108" s="128" t="s">
        <v>881</v>
      </c>
      <c r="F108" s="128"/>
      <c r="G108" s="57">
        <v>6.6</v>
      </c>
      <c r="H108" s="60" t="s">
        <v>50</v>
      </c>
    </row>
    <row r="109" spans="1:8" x14ac:dyDescent="0.25">
      <c r="A109" s="2" t="s">
        <v>207</v>
      </c>
      <c r="B109" s="3" t="s">
        <v>50</v>
      </c>
      <c r="C109" s="3" t="s">
        <v>208</v>
      </c>
      <c r="D109" s="92" t="s">
        <v>209</v>
      </c>
      <c r="E109" s="92"/>
      <c r="F109" s="3" t="s">
        <v>77</v>
      </c>
      <c r="G109" s="28">
        <v>9.8000000000000007</v>
      </c>
      <c r="H109" s="59">
        <v>0</v>
      </c>
    </row>
    <row r="110" spans="1:8" x14ac:dyDescent="0.25">
      <c r="A110" s="55"/>
      <c r="D110" s="56" t="s">
        <v>882</v>
      </c>
      <c r="E110" s="128" t="s">
        <v>879</v>
      </c>
      <c r="F110" s="128"/>
      <c r="G110" s="57">
        <v>4.9000000000000004</v>
      </c>
      <c r="H110" s="58"/>
    </row>
    <row r="111" spans="1:8" x14ac:dyDescent="0.25">
      <c r="A111" s="2" t="s">
        <v>50</v>
      </c>
      <c r="B111" s="3" t="s">
        <v>50</v>
      </c>
      <c r="C111" s="3" t="s">
        <v>50</v>
      </c>
      <c r="D111" s="56" t="s">
        <v>882</v>
      </c>
      <c r="E111" s="128" t="s">
        <v>881</v>
      </c>
      <c r="F111" s="128"/>
      <c r="G111" s="57">
        <v>4.9000000000000004</v>
      </c>
      <c r="H111" s="60" t="s">
        <v>50</v>
      </c>
    </row>
    <row r="112" spans="1:8" x14ac:dyDescent="0.25">
      <c r="A112" s="2" t="s">
        <v>210</v>
      </c>
      <c r="B112" s="3" t="s">
        <v>50</v>
      </c>
      <c r="C112" s="3" t="s">
        <v>211</v>
      </c>
      <c r="D112" s="92" t="s">
        <v>212</v>
      </c>
      <c r="E112" s="92"/>
      <c r="F112" s="3" t="s">
        <v>77</v>
      </c>
      <c r="G112" s="28">
        <v>2</v>
      </c>
      <c r="H112" s="59">
        <v>0</v>
      </c>
    </row>
    <row r="113" spans="1:8" x14ac:dyDescent="0.25">
      <c r="A113" s="55"/>
      <c r="D113" s="56" t="s">
        <v>53</v>
      </c>
      <c r="E113" s="128" t="s">
        <v>883</v>
      </c>
      <c r="F113" s="128"/>
      <c r="G113" s="57">
        <v>1</v>
      </c>
      <c r="H113" s="58"/>
    </row>
    <row r="114" spans="1:8" x14ac:dyDescent="0.25">
      <c r="A114" s="2" t="s">
        <v>50</v>
      </c>
      <c r="B114" s="3" t="s">
        <v>50</v>
      </c>
      <c r="C114" s="3" t="s">
        <v>50</v>
      </c>
      <c r="D114" s="56" t="s">
        <v>53</v>
      </c>
      <c r="E114" s="128" t="s">
        <v>884</v>
      </c>
      <c r="F114" s="128"/>
      <c r="G114" s="57">
        <v>1</v>
      </c>
      <c r="H114" s="60" t="s">
        <v>50</v>
      </c>
    </row>
    <row r="115" spans="1:8" x14ac:dyDescent="0.25">
      <c r="A115" s="2" t="s">
        <v>213</v>
      </c>
      <c r="B115" s="3" t="s">
        <v>50</v>
      </c>
      <c r="C115" s="3" t="s">
        <v>214</v>
      </c>
      <c r="D115" s="92" t="s">
        <v>215</v>
      </c>
      <c r="E115" s="92"/>
      <c r="F115" s="3" t="s">
        <v>77</v>
      </c>
      <c r="G115" s="28">
        <v>14.4</v>
      </c>
      <c r="H115" s="59">
        <v>0</v>
      </c>
    </row>
    <row r="116" spans="1:8" x14ac:dyDescent="0.25">
      <c r="A116" s="55"/>
      <c r="D116" s="56" t="s">
        <v>878</v>
      </c>
      <c r="E116" s="128" t="s">
        <v>879</v>
      </c>
      <c r="F116" s="128"/>
      <c r="G116" s="57">
        <v>7.8</v>
      </c>
      <c r="H116" s="58"/>
    </row>
    <row r="117" spans="1:8" x14ac:dyDescent="0.25">
      <c r="A117" s="2" t="s">
        <v>50</v>
      </c>
      <c r="B117" s="3" t="s">
        <v>50</v>
      </c>
      <c r="C117" s="3" t="s">
        <v>50</v>
      </c>
      <c r="D117" s="56" t="s">
        <v>880</v>
      </c>
      <c r="E117" s="128" t="s">
        <v>881</v>
      </c>
      <c r="F117" s="128"/>
      <c r="G117" s="57">
        <v>6.6</v>
      </c>
      <c r="H117" s="60" t="s">
        <v>50</v>
      </c>
    </row>
    <row r="118" spans="1:8" x14ac:dyDescent="0.25">
      <c r="A118" s="2" t="s">
        <v>216</v>
      </c>
      <c r="B118" s="3" t="s">
        <v>50</v>
      </c>
      <c r="C118" s="3" t="s">
        <v>217</v>
      </c>
      <c r="D118" s="92" t="s">
        <v>218</v>
      </c>
      <c r="E118" s="92"/>
      <c r="F118" s="3" t="s">
        <v>77</v>
      </c>
      <c r="G118" s="28">
        <v>9.8000000000000007</v>
      </c>
      <c r="H118" s="59">
        <v>0</v>
      </c>
    </row>
    <row r="119" spans="1:8" x14ac:dyDescent="0.25">
      <c r="A119" s="55"/>
      <c r="D119" s="56" t="s">
        <v>882</v>
      </c>
      <c r="E119" s="128" t="s">
        <v>879</v>
      </c>
      <c r="F119" s="128"/>
      <c r="G119" s="57">
        <v>4.9000000000000004</v>
      </c>
      <c r="H119" s="58"/>
    </row>
    <row r="120" spans="1:8" x14ac:dyDescent="0.25">
      <c r="A120" s="2" t="s">
        <v>50</v>
      </c>
      <c r="B120" s="3" t="s">
        <v>50</v>
      </c>
      <c r="C120" s="3" t="s">
        <v>50</v>
      </c>
      <c r="D120" s="56" t="s">
        <v>882</v>
      </c>
      <c r="E120" s="128" t="s">
        <v>881</v>
      </c>
      <c r="F120" s="128"/>
      <c r="G120" s="57">
        <v>4.9000000000000004</v>
      </c>
      <c r="H120" s="60" t="s">
        <v>50</v>
      </c>
    </row>
    <row r="121" spans="1:8" x14ac:dyDescent="0.25">
      <c r="A121" s="2" t="s">
        <v>219</v>
      </c>
      <c r="B121" s="3" t="s">
        <v>50</v>
      </c>
      <c r="C121" s="3" t="s">
        <v>220</v>
      </c>
      <c r="D121" s="92" t="s">
        <v>221</v>
      </c>
      <c r="E121" s="92"/>
      <c r="F121" s="3" t="s">
        <v>77</v>
      </c>
      <c r="G121" s="28">
        <v>2</v>
      </c>
      <c r="H121" s="59">
        <v>0</v>
      </c>
    </row>
    <row r="122" spans="1:8" x14ac:dyDescent="0.25">
      <c r="A122" s="55"/>
      <c r="D122" s="56" t="s">
        <v>53</v>
      </c>
      <c r="E122" s="128" t="s">
        <v>879</v>
      </c>
      <c r="F122" s="128"/>
      <c r="G122" s="57">
        <v>1</v>
      </c>
      <c r="H122" s="58"/>
    </row>
    <row r="123" spans="1:8" x14ac:dyDescent="0.25">
      <c r="A123" s="2" t="s">
        <v>50</v>
      </c>
      <c r="B123" s="3" t="s">
        <v>50</v>
      </c>
      <c r="C123" s="3" t="s">
        <v>50</v>
      </c>
      <c r="D123" s="56" t="s">
        <v>53</v>
      </c>
      <c r="E123" s="128" t="s">
        <v>881</v>
      </c>
      <c r="F123" s="128"/>
      <c r="G123" s="57">
        <v>1</v>
      </c>
      <c r="H123" s="60" t="s">
        <v>50</v>
      </c>
    </row>
    <row r="124" spans="1:8" x14ac:dyDescent="0.25">
      <c r="A124" s="2" t="s">
        <v>222</v>
      </c>
      <c r="B124" s="3" t="s">
        <v>50</v>
      </c>
      <c r="C124" s="3" t="s">
        <v>223</v>
      </c>
      <c r="D124" s="92" t="s">
        <v>224</v>
      </c>
      <c r="E124" s="92"/>
      <c r="F124" s="3" t="s">
        <v>77</v>
      </c>
      <c r="G124" s="28">
        <v>14.4</v>
      </c>
      <c r="H124" s="59">
        <v>0</v>
      </c>
    </row>
    <row r="125" spans="1:8" x14ac:dyDescent="0.25">
      <c r="A125" s="55"/>
      <c r="D125" s="56" t="s">
        <v>878</v>
      </c>
      <c r="E125" s="128" t="s">
        <v>879</v>
      </c>
      <c r="F125" s="128"/>
      <c r="G125" s="57">
        <v>7.8</v>
      </c>
      <c r="H125" s="58"/>
    </row>
    <row r="126" spans="1:8" x14ac:dyDescent="0.25">
      <c r="A126" s="2" t="s">
        <v>50</v>
      </c>
      <c r="B126" s="3" t="s">
        <v>50</v>
      </c>
      <c r="C126" s="3" t="s">
        <v>50</v>
      </c>
      <c r="D126" s="56" t="s">
        <v>880</v>
      </c>
      <c r="E126" s="128" t="s">
        <v>881</v>
      </c>
      <c r="F126" s="128"/>
      <c r="G126" s="57">
        <v>6.6</v>
      </c>
      <c r="H126" s="60" t="s">
        <v>50</v>
      </c>
    </row>
    <row r="127" spans="1:8" x14ac:dyDescent="0.25">
      <c r="A127" s="2" t="s">
        <v>226</v>
      </c>
      <c r="B127" s="3" t="s">
        <v>50</v>
      </c>
      <c r="C127" s="3" t="s">
        <v>227</v>
      </c>
      <c r="D127" s="92" t="s">
        <v>224</v>
      </c>
      <c r="E127" s="92"/>
      <c r="F127" s="3" t="s">
        <v>77</v>
      </c>
      <c r="G127" s="28">
        <v>9.8000000000000007</v>
      </c>
      <c r="H127" s="59">
        <v>0</v>
      </c>
    </row>
    <row r="128" spans="1:8" x14ac:dyDescent="0.25">
      <c r="A128" s="55"/>
      <c r="D128" s="56" t="s">
        <v>882</v>
      </c>
      <c r="E128" s="128" t="s">
        <v>879</v>
      </c>
      <c r="F128" s="128"/>
      <c r="G128" s="57">
        <v>4.9000000000000004</v>
      </c>
      <c r="H128" s="58"/>
    </row>
    <row r="129" spans="1:8" x14ac:dyDescent="0.25">
      <c r="A129" s="2" t="s">
        <v>50</v>
      </c>
      <c r="B129" s="3" t="s">
        <v>50</v>
      </c>
      <c r="C129" s="3" t="s">
        <v>50</v>
      </c>
      <c r="D129" s="56" t="s">
        <v>882</v>
      </c>
      <c r="E129" s="128" t="s">
        <v>881</v>
      </c>
      <c r="F129" s="128"/>
      <c r="G129" s="57">
        <v>4.9000000000000004</v>
      </c>
      <c r="H129" s="60" t="s">
        <v>50</v>
      </c>
    </row>
    <row r="130" spans="1:8" x14ac:dyDescent="0.25">
      <c r="A130" s="2" t="s">
        <v>229</v>
      </c>
      <c r="B130" s="3" t="s">
        <v>50</v>
      </c>
      <c r="C130" s="3" t="s">
        <v>230</v>
      </c>
      <c r="D130" s="92" t="s">
        <v>224</v>
      </c>
      <c r="E130" s="92"/>
      <c r="F130" s="3" t="s">
        <v>77</v>
      </c>
      <c r="G130" s="28">
        <v>2</v>
      </c>
      <c r="H130" s="59">
        <v>0</v>
      </c>
    </row>
    <row r="131" spans="1:8" x14ac:dyDescent="0.25">
      <c r="A131" s="55"/>
      <c r="D131" s="56" t="s">
        <v>53</v>
      </c>
      <c r="E131" s="128" t="s">
        <v>883</v>
      </c>
      <c r="F131" s="128"/>
      <c r="G131" s="57">
        <v>1</v>
      </c>
      <c r="H131" s="58"/>
    </row>
    <row r="132" spans="1:8" x14ac:dyDescent="0.25">
      <c r="A132" s="2" t="s">
        <v>50</v>
      </c>
      <c r="B132" s="3" t="s">
        <v>50</v>
      </c>
      <c r="C132" s="3" t="s">
        <v>50</v>
      </c>
      <c r="D132" s="56" t="s">
        <v>53</v>
      </c>
      <c r="E132" s="128" t="s">
        <v>884</v>
      </c>
      <c r="F132" s="128"/>
      <c r="G132" s="57">
        <v>1</v>
      </c>
      <c r="H132" s="60" t="s">
        <v>50</v>
      </c>
    </row>
    <row r="133" spans="1:8" x14ac:dyDescent="0.25">
      <c r="A133" s="2" t="s">
        <v>232</v>
      </c>
      <c r="B133" s="3" t="s">
        <v>50</v>
      </c>
      <c r="C133" s="3" t="s">
        <v>233</v>
      </c>
      <c r="D133" s="92" t="s">
        <v>234</v>
      </c>
      <c r="E133" s="92"/>
      <c r="F133" s="3" t="s">
        <v>56</v>
      </c>
      <c r="G133" s="28">
        <v>10</v>
      </c>
      <c r="H133" s="59">
        <v>0</v>
      </c>
    </row>
    <row r="134" spans="1:8" x14ac:dyDescent="0.25">
      <c r="A134" s="55"/>
      <c r="D134" s="56" t="s">
        <v>91</v>
      </c>
      <c r="E134" s="128" t="s">
        <v>50</v>
      </c>
      <c r="F134" s="128"/>
      <c r="G134" s="57">
        <v>10</v>
      </c>
      <c r="H134" s="58"/>
    </row>
    <row r="135" spans="1:8" x14ac:dyDescent="0.25">
      <c r="A135" s="2" t="s">
        <v>235</v>
      </c>
      <c r="B135" s="3" t="s">
        <v>50</v>
      </c>
      <c r="C135" s="3" t="s">
        <v>236</v>
      </c>
      <c r="D135" s="92" t="s">
        <v>237</v>
      </c>
      <c r="E135" s="92"/>
      <c r="F135" s="3" t="s">
        <v>56</v>
      </c>
      <c r="G135" s="28">
        <v>2</v>
      </c>
      <c r="H135" s="59">
        <v>0</v>
      </c>
    </row>
    <row r="136" spans="1:8" x14ac:dyDescent="0.25">
      <c r="A136" s="55"/>
      <c r="D136" s="56" t="s">
        <v>61</v>
      </c>
      <c r="E136" s="128" t="s">
        <v>50</v>
      </c>
      <c r="F136" s="128"/>
      <c r="G136" s="57">
        <v>2</v>
      </c>
      <c r="H136" s="58"/>
    </row>
    <row r="137" spans="1:8" x14ac:dyDescent="0.25">
      <c r="A137" s="2" t="s">
        <v>238</v>
      </c>
      <c r="B137" s="3" t="s">
        <v>50</v>
      </c>
      <c r="C137" s="3" t="s">
        <v>239</v>
      </c>
      <c r="D137" s="92" t="s">
        <v>240</v>
      </c>
      <c r="E137" s="92"/>
      <c r="F137" s="3" t="s">
        <v>56</v>
      </c>
      <c r="G137" s="28">
        <v>2</v>
      </c>
      <c r="H137" s="59">
        <v>0</v>
      </c>
    </row>
    <row r="138" spans="1:8" x14ac:dyDescent="0.25">
      <c r="A138" s="55"/>
      <c r="D138" s="56" t="s">
        <v>61</v>
      </c>
      <c r="E138" s="128" t="s">
        <v>50</v>
      </c>
      <c r="F138" s="128"/>
      <c r="G138" s="57">
        <v>2</v>
      </c>
      <c r="H138" s="58"/>
    </row>
    <row r="139" spans="1:8" x14ac:dyDescent="0.25">
      <c r="A139" s="2" t="s">
        <v>241</v>
      </c>
      <c r="B139" s="3" t="s">
        <v>50</v>
      </c>
      <c r="C139" s="3" t="s">
        <v>242</v>
      </c>
      <c r="D139" s="92" t="s">
        <v>243</v>
      </c>
      <c r="E139" s="92"/>
      <c r="F139" s="3" t="s">
        <v>56</v>
      </c>
      <c r="G139" s="28">
        <v>10</v>
      </c>
      <c r="H139" s="59">
        <v>0</v>
      </c>
    </row>
    <row r="140" spans="1:8" x14ac:dyDescent="0.25">
      <c r="A140" s="55"/>
      <c r="D140" s="56" t="s">
        <v>91</v>
      </c>
      <c r="E140" s="128" t="s">
        <v>50</v>
      </c>
      <c r="F140" s="128"/>
      <c r="G140" s="57">
        <v>10</v>
      </c>
      <c r="H140" s="58"/>
    </row>
    <row r="141" spans="1:8" x14ac:dyDescent="0.25">
      <c r="A141" s="2" t="s">
        <v>244</v>
      </c>
      <c r="B141" s="3" t="s">
        <v>50</v>
      </c>
      <c r="C141" s="3" t="s">
        <v>245</v>
      </c>
      <c r="D141" s="92" t="s">
        <v>246</v>
      </c>
      <c r="E141" s="92"/>
      <c r="F141" s="3" t="s">
        <v>56</v>
      </c>
      <c r="G141" s="28">
        <v>2</v>
      </c>
      <c r="H141" s="59">
        <v>0</v>
      </c>
    </row>
    <row r="142" spans="1:8" x14ac:dyDescent="0.25">
      <c r="A142" s="55"/>
      <c r="D142" s="56" t="s">
        <v>61</v>
      </c>
      <c r="E142" s="128" t="s">
        <v>50</v>
      </c>
      <c r="F142" s="128"/>
      <c r="G142" s="57">
        <v>2</v>
      </c>
      <c r="H142" s="58"/>
    </row>
    <row r="143" spans="1:8" x14ac:dyDescent="0.25">
      <c r="A143" s="2" t="s">
        <v>247</v>
      </c>
      <c r="B143" s="3" t="s">
        <v>50</v>
      </c>
      <c r="C143" s="3" t="s">
        <v>248</v>
      </c>
      <c r="D143" s="92" t="s">
        <v>249</v>
      </c>
      <c r="E143" s="92"/>
      <c r="F143" s="3" t="s">
        <v>250</v>
      </c>
      <c r="G143" s="28">
        <v>1</v>
      </c>
      <c r="H143" s="59">
        <v>0</v>
      </c>
    </row>
    <row r="144" spans="1:8" x14ac:dyDescent="0.25">
      <c r="A144" s="55"/>
      <c r="D144" s="56" t="s">
        <v>53</v>
      </c>
      <c r="E144" s="128" t="s">
        <v>50</v>
      </c>
      <c r="F144" s="128"/>
      <c r="G144" s="57">
        <v>1</v>
      </c>
      <c r="H144" s="58"/>
    </row>
    <row r="145" spans="1:8" x14ac:dyDescent="0.25">
      <c r="A145" s="2" t="s">
        <v>251</v>
      </c>
      <c r="B145" s="3" t="s">
        <v>50</v>
      </c>
      <c r="C145" s="3" t="s">
        <v>252</v>
      </c>
      <c r="D145" s="92" t="s">
        <v>253</v>
      </c>
      <c r="E145" s="92"/>
      <c r="F145" s="3" t="s">
        <v>56</v>
      </c>
      <c r="G145" s="28">
        <v>10</v>
      </c>
      <c r="H145" s="59">
        <v>0</v>
      </c>
    </row>
    <row r="146" spans="1:8" x14ac:dyDescent="0.25">
      <c r="A146" s="55"/>
      <c r="D146" s="56" t="s">
        <v>91</v>
      </c>
      <c r="E146" s="128" t="s">
        <v>50</v>
      </c>
      <c r="F146" s="128"/>
      <c r="G146" s="57">
        <v>10</v>
      </c>
      <c r="H146" s="58"/>
    </row>
    <row r="147" spans="1:8" x14ac:dyDescent="0.25">
      <c r="A147" s="2" t="s">
        <v>254</v>
      </c>
      <c r="B147" s="3" t="s">
        <v>50</v>
      </c>
      <c r="C147" s="3" t="s">
        <v>255</v>
      </c>
      <c r="D147" s="92" t="s">
        <v>256</v>
      </c>
      <c r="E147" s="92"/>
      <c r="F147" s="3" t="s">
        <v>77</v>
      </c>
      <c r="G147" s="28">
        <v>26.2</v>
      </c>
      <c r="H147" s="59">
        <v>0</v>
      </c>
    </row>
    <row r="148" spans="1:8" x14ac:dyDescent="0.25">
      <c r="A148" s="55"/>
      <c r="D148" s="56" t="s">
        <v>835</v>
      </c>
      <c r="E148" s="128" t="s">
        <v>885</v>
      </c>
      <c r="F148" s="128"/>
      <c r="G148" s="57">
        <v>26.2</v>
      </c>
      <c r="H148" s="58"/>
    </row>
    <row r="149" spans="1:8" x14ac:dyDescent="0.25">
      <c r="A149" s="2" t="s">
        <v>257</v>
      </c>
      <c r="B149" s="3" t="s">
        <v>50</v>
      </c>
      <c r="C149" s="3" t="s">
        <v>258</v>
      </c>
      <c r="D149" s="92" t="s">
        <v>259</v>
      </c>
      <c r="E149" s="92"/>
      <c r="F149" s="3" t="s">
        <v>77</v>
      </c>
      <c r="G149" s="28">
        <v>26.2</v>
      </c>
      <c r="H149" s="59">
        <v>0</v>
      </c>
    </row>
    <row r="150" spans="1:8" x14ac:dyDescent="0.25">
      <c r="A150" s="55"/>
      <c r="D150" s="56" t="s">
        <v>835</v>
      </c>
      <c r="E150" s="128" t="s">
        <v>885</v>
      </c>
      <c r="F150" s="128"/>
      <c r="G150" s="57">
        <v>26.2</v>
      </c>
      <c r="H150" s="58"/>
    </row>
    <row r="151" spans="1:8" x14ac:dyDescent="0.25">
      <c r="A151" s="2" t="s">
        <v>104</v>
      </c>
      <c r="B151" s="3" t="s">
        <v>50</v>
      </c>
      <c r="C151" s="3" t="s">
        <v>260</v>
      </c>
      <c r="D151" s="92" t="s">
        <v>261</v>
      </c>
      <c r="E151" s="92"/>
      <c r="F151" s="3" t="s">
        <v>87</v>
      </c>
      <c r="G151" s="28">
        <v>0.13877999999999999</v>
      </c>
      <c r="H151" s="59">
        <v>0</v>
      </c>
    </row>
    <row r="152" spans="1:8" x14ac:dyDescent="0.25">
      <c r="A152" s="2" t="s">
        <v>264</v>
      </c>
      <c r="B152" s="3" t="s">
        <v>50</v>
      </c>
      <c r="C152" s="3" t="s">
        <v>265</v>
      </c>
      <c r="D152" s="92" t="s">
        <v>266</v>
      </c>
      <c r="E152" s="92"/>
      <c r="F152" s="3" t="s">
        <v>77</v>
      </c>
      <c r="G152" s="28">
        <v>23</v>
      </c>
      <c r="H152" s="59">
        <v>0</v>
      </c>
    </row>
    <row r="153" spans="1:8" x14ac:dyDescent="0.25">
      <c r="A153" s="55"/>
      <c r="D153" s="56" t="s">
        <v>886</v>
      </c>
      <c r="E153" s="128" t="s">
        <v>887</v>
      </c>
      <c r="F153" s="128"/>
      <c r="G153" s="57">
        <v>23</v>
      </c>
      <c r="H153" s="58"/>
    </row>
    <row r="154" spans="1:8" x14ac:dyDescent="0.25">
      <c r="A154" s="2" t="s">
        <v>268</v>
      </c>
      <c r="B154" s="3" t="s">
        <v>50</v>
      </c>
      <c r="C154" s="3" t="s">
        <v>269</v>
      </c>
      <c r="D154" s="92" t="s">
        <v>270</v>
      </c>
      <c r="E154" s="92"/>
      <c r="F154" s="3" t="s">
        <v>77</v>
      </c>
      <c r="G154" s="28">
        <v>3.7</v>
      </c>
      <c r="H154" s="59">
        <v>0</v>
      </c>
    </row>
    <row r="155" spans="1:8" x14ac:dyDescent="0.25">
      <c r="A155" s="55"/>
      <c r="D155" s="56" t="s">
        <v>888</v>
      </c>
      <c r="E155" s="128" t="s">
        <v>889</v>
      </c>
      <c r="F155" s="128"/>
      <c r="G155" s="57">
        <v>3.7</v>
      </c>
      <c r="H155" s="58"/>
    </row>
    <row r="156" spans="1:8" x14ac:dyDescent="0.25">
      <c r="A156" s="2" t="s">
        <v>166</v>
      </c>
      <c r="B156" s="3" t="s">
        <v>50</v>
      </c>
      <c r="C156" s="3" t="s">
        <v>271</v>
      </c>
      <c r="D156" s="92" t="s">
        <v>272</v>
      </c>
      <c r="E156" s="92"/>
      <c r="F156" s="3" t="s">
        <v>56</v>
      </c>
      <c r="G156" s="28">
        <v>1</v>
      </c>
      <c r="H156" s="59">
        <v>0</v>
      </c>
    </row>
    <row r="157" spans="1:8" x14ac:dyDescent="0.25">
      <c r="A157" s="55"/>
      <c r="D157" s="56" t="s">
        <v>53</v>
      </c>
      <c r="E157" s="128" t="s">
        <v>50</v>
      </c>
      <c r="F157" s="128"/>
      <c r="G157" s="57">
        <v>1</v>
      </c>
      <c r="H157" s="58"/>
    </row>
    <row r="158" spans="1:8" x14ac:dyDescent="0.25">
      <c r="A158" s="2" t="s">
        <v>273</v>
      </c>
      <c r="B158" s="3" t="s">
        <v>50</v>
      </c>
      <c r="C158" s="3" t="s">
        <v>274</v>
      </c>
      <c r="D158" s="92" t="s">
        <v>275</v>
      </c>
      <c r="E158" s="92"/>
      <c r="F158" s="3" t="s">
        <v>77</v>
      </c>
      <c r="G158" s="28">
        <v>3.7</v>
      </c>
      <c r="H158" s="59">
        <v>0</v>
      </c>
    </row>
    <row r="159" spans="1:8" x14ac:dyDescent="0.25">
      <c r="A159" s="55"/>
      <c r="D159" s="56" t="s">
        <v>890</v>
      </c>
      <c r="E159" s="128" t="s">
        <v>889</v>
      </c>
      <c r="F159" s="128"/>
      <c r="G159" s="57">
        <v>3.7</v>
      </c>
      <c r="H159" s="58"/>
    </row>
    <row r="160" spans="1:8" x14ac:dyDescent="0.25">
      <c r="A160" s="2" t="s">
        <v>276</v>
      </c>
      <c r="B160" s="3" t="s">
        <v>50</v>
      </c>
      <c r="C160" s="3" t="s">
        <v>277</v>
      </c>
      <c r="D160" s="92" t="s">
        <v>278</v>
      </c>
      <c r="E160" s="92"/>
      <c r="F160" s="3" t="s">
        <v>56</v>
      </c>
      <c r="G160" s="28">
        <v>1</v>
      </c>
      <c r="H160" s="59">
        <v>0</v>
      </c>
    </row>
    <row r="161" spans="1:8" x14ac:dyDescent="0.25">
      <c r="A161" s="55"/>
      <c r="D161" s="56" t="s">
        <v>53</v>
      </c>
      <c r="E161" s="128" t="s">
        <v>891</v>
      </c>
      <c r="F161" s="128"/>
      <c r="G161" s="57">
        <v>1</v>
      </c>
      <c r="H161" s="58"/>
    </row>
    <row r="162" spans="1:8" x14ac:dyDescent="0.25">
      <c r="A162" s="2" t="s">
        <v>279</v>
      </c>
      <c r="B162" s="3" t="s">
        <v>50</v>
      </c>
      <c r="C162" s="3" t="s">
        <v>280</v>
      </c>
      <c r="D162" s="92" t="s">
        <v>281</v>
      </c>
      <c r="E162" s="92"/>
      <c r="F162" s="3" t="s">
        <v>87</v>
      </c>
      <c r="G162" s="28">
        <v>1.133E-2</v>
      </c>
      <c r="H162" s="59">
        <v>0</v>
      </c>
    </row>
    <row r="163" spans="1:8" x14ac:dyDescent="0.25">
      <c r="A163" s="2" t="s">
        <v>284</v>
      </c>
      <c r="B163" s="3" t="s">
        <v>50</v>
      </c>
      <c r="C163" s="3" t="s">
        <v>285</v>
      </c>
      <c r="D163" s="92" t="s">
        <v>286</v>
      </c>
      <c r="E163" s="92"/>
      <c r="F163" s="3" t="s">
        <v>287</v>
      </c>
      <c r="G163" s="28">
        <v>2</v>
      </c>
      <c r="H163" s="59">
        <v>0</v>
      </c>
    </row>
    <row r="164" spans="1:8" x14ac:dyDescent="0.25">
      <c r="A164" s="55"/>
      <c r="D164" s="56" t="s">
        <v>61</v>
      </c>
      <c r="E164" s="128" t="s">
        <v>892</v>
      </c>
      <c r="F164" s="128"/>
      <c r="G164" s="57">
        <v>2</v>
      </c>
      <c r="H164" s="58"/>
    </row>
    <row r="165" spans="1:8" x14ac:dyDescent="0.25">
      <c r="A165" s="2" t="s">
        <v>289</v>
      </c>
      <c r="B165" s="3" t="s">
        <v>50</v>
      </c>
      <c r="C165" s="3" t="s">
        <v>290</v>
      </c>
      <c r="D165" s="92" t="s">
        <v>291</v>
      </c>
      <c r="E165" s="92"/>
      <c r="F165" s="3" t="s">
        <v>287</v>
      </c>
      <c r="G165" s="28">
        <v>1</v>
      </c>
      <c r="H165" s="59">
        <v>0</v>
      </c>
    </row>
    <row r="166" spans="1:8" x14ac:dyDescent="0.25">
      <c r="A166" s="55"/>
      <c r="D166" s="56" t="s">
        <v>53</v>
      </c>
      <c r="E166" s="128" t="s">
        <v>50</v>
      </c>
      <c r="F166" s="128"/>
      <c r="G166" s="57">
        <v>1</v>
      </c>
      <c r="H166" s="58"/>
    </row>
    <row r="167" spans="1:8" x14ac:dyDescent="0.25">
      <c r="A167" s="2" t="s">
        <v>292</v>
      </c>
      <c r="B167" s="3" t="s">
        <v>50</v>
      </c>
      <c r="C167" s="3" t="s">
        <v>293</v>
      </c>
      <c r="D167" s="92" t="s">
        <v>294</v>
      </c>
      <c r="E167" s="92"/>
      <c r="F167" s="3" t="s">
        <v>287</v>
      </c>
      <c r="G167" s="28">
        <v>1</v>
      </c>
      <c r="H167" s="59">
        <v>0</v>
      </c>
    </row>
    <row r="168" spans="1:8" x14ac:dyDescent="0.25">
      <c r="A168" s="55"/>
      <c r="D168" s="56" t="s">
        <v>53</v>
      </c>
      <c r="E168" s="128" t="s">
        <v>50</v>
      </c>
      <c r="F168" s="128"/>
      <c r="G168" s="57">
        <v>1</v>
      </c>
      <c r="H168" s="58"/>
    </row>
    <row r="169" spans="1:8" x14ac:dyDescent="0.25">
      <c r="A169" s="2" t="s">
        <v>295</v>
      </c>
      <c r="B169" s="3" t="s">
        <v>50</v>
      </c>
      <c r="C169" s="3" t="s">
        <v>296</v>
      </c>
      <c r="D169" s="92" t="s">
        <v>297</v>
      </c>
      <c r="E169" s="92"/>
      <c r="F169" s="3" t="s">
        <v>56</v>
      </c>
      <c r="G169" s="28">
        <v>1</v>
      </c>
      <c r="H169" s="59">
        <v>0</v>
      </c>
    </row>
    <row r="170" spans="1:8" x14ac:dyDescent="0.25">
      <c r="A170" s="55"/>
      <c r="D170" s="56" t="s">
        <v>53</v>
      </c>
      <c r="E170" s="128" t="s">
        <v>893</v>
      </c>
      <c r="F170" s="128"/>
      <c r="G170" s="57">
        <v>1</v>
      </c>
      <c r="H170" s="58"/>
    </row>
    <row r="171" spans="1:8" x14ac:dyDescent="0.25">
      <c r="A171" s="2" t="s">
        <v>298</v>
      </c>
      <c r="B171" s="3" t="s">
        <v>50</v>
      </c>
      <c r="C171" s="3" t="s">
        <v>299</v>
      </c>
      <c r="D171" s="92" t="s">
        <v>300</v>
      </c>
      <c r="E171" s="92"/>
      <c r="F171" s="3" t="s">
        <v>56</v>
      </c>
      <c r="G171" s="28">
        <v>2</v>
      </c>
      <c r="H171" s="59">
        <v>0</v>
      </c>
    </row>
    <row r="172" spans="1:8" x14ac:dyDescent="0.25">
      <c r="A172" s="55"/>
      <c r="D172" s="56" t="s">
        <v>53</v>
      </c>
      <c r="E172" s="128" t="s">
        <v>894</v>
      </c>
      <c r="F172" s="128"/>
      <c r="G172" s="57">
        <v>1</v>
      </c>
      <c r="H172" s="58"/>
    </row>
    <row r="173" spans="1:8" x14ac:dyDescent="0.25">
      <c r="A173" s="2" t="s">
        <v>50</v>
      </c>
      <c r="B173" s="3" t="s">
        <v>50</v>
      </c>
      <c r="C173" s="3" t="s">
        <v>50</v>
      </c>
      <c r="D173" s="56" t="s">
        <v>53</v>
      </c>
      <c r="E173" s="128" t="s">
        <v>895</v>
      </c>
      <c r="F173" s="128"/>
      <c r="G173" s="57">
        <v>1</v>
      </c>
      <c r="H173" s="60" t="s">
        <v>50</v>
      </c>
    </row>
    <row r="174" spans="1:8" x14ac:dyDescent="0.25">
      <c r="A174" s="2" t="s">
        <v>302</v>
      </c>
      <c r="B174" s="3" t="s">
        <v>50</v>
      </c>
      <c r="C174" s="3" t="s">
        <v>303</v>
      </c>
      <c r="D174" s="92" t="s">
        <v>304</v>
      </c>
      <c r="E174" s="92"/>
      <c r="F174" s="3" t="s">
        <v>56</v>
      </c>
      <c r="G174" s="28">
        <v>1</v>
      </c>
      <c r="H174" s="59">
        <v>0</v>
      </c>
    </row>
    <row r="175" spans="1:8" x14ac:dyDescent="0.25">
      <c r="A175" s="55"/>
      <c r="D175" s="56" t="s">
        <v>53</v>
      </c>
      <c r="E175" s="128" t="s">
        <v>893</v>
      </c>
      <c r="F175" s="128"/>
      <c r="G175" s="57">
        <v>1</v>
      </c>
      <c r="H175" s="58"/>
    </row>
    <row r="176" spans="1:8" x14ac:dyDescent="0.25">
      <c r="A176" s="2" t="s">
        <v>305</v>
      </c>
      <c r="B176" s="3" t="s">
        <v>50</v>
      </c>
      <c r="C176" s="3" t="s">
        <v>306</v>
      </c>
      <c r="D176" s="92" t="s">
        <v>307</v>
      </c>
      <c r="E176" s="92"/>
      <c r="F176" s="3" t="s">
        <v>56</v>
      </c>
      <c r="G176" s="28">
        <v>1</v>
      </c>
      <c r="H176" s="59">
        <v>0</v>
      </c>
    </row>
    <row r="177" spans="1:8" x14ac:dyDescent="0.25">
      <c r="A177" s="55"/>
      <c r="D177" s="56" t="s">
        <v>53</v>
      </c>
      <c r="E177" s="128" t="s">
        <v>893</v>
      </c>
      <c r="F177" s="128"/>
      <c r="G177" s="57">
        <v>1</v>
      </c>
      <c r="H177" s="58"/>
    </row>
    <row r="178" spans="1:8" x14ac:dyDescent="0.25">
      <c r="A178" s="2" t="s">
        <v>308</v>
      </c>
      <c r="B178" s="3" t="s">
        <v>50</v>
      </c>
      <c r="C178" s="3" t="s">
        <v>309</v>
      </c>
      <c r="D178" s="92" t="s">
        <v>310</v>
      </c>
      <c r="E178" s="92"/>
      <c r="F178" s="3" t="s">
        <v>56</v>
      </c>
      <c r="G178" s="28">
        <v>1</v>
      </c>
      <c r="H178" s="59">
        <v>0</v>
      </c>
    </row>
    <row r="179" spans="1:8" x14ac:dyDescent="0.25">
      <c r="A179" s="55"/>
      <c r="D179" s="56" t="s">
        <v>53</v>
      </c>
      <c r="E179" s="128" t="s">
        <v>896</v>
      </c>
      <c r="F179" s="128"/>
      <c r="G179" s="57">
        <v>1</v>
      </c>
      <c r="H179" s="58"/>
    </row>
    <row r="180" spans="1:8" x14ac:dyDescent="0.25">
      <c r="A180" s="2" t="s">
        <v>311</v>
      </c>
      <c r="B180" s="3" t="s">
        <v>50</v>
      </c>
      <c r="C180" s="3" t="s">
        <v>312</v>
      </c>
      <c r="D180" s="92" t="s">
        <v>313</v>
      </c>
      <c r="E180" s="92"/>
      <c r="F180" s="3" t="s">
        <v>287</v>
      </c>
      <c r="G180" s="28">
        <v>1</v>
      </c>
      <c r="H180" s="59">
        <v>0</v>
      </c>
    </row>
    <row r="181" spans="1:8" x14ac:dyDescent="0.25">
      <c r="A181" s="55"/>
      <c r="D181" s="56" t="s">
        <v>53</v>
      </c>
      <c r="E181" s="128" t="s">
        <v>50</v>
      </c>
      <c r="F181" s="128"/>
      <c r="G181" s="57">
        <v>1</v>
      </c>
      <c r="H181" s="58"/>
    </row>
    <row r="182" spans="1:8" x14ac:dyDescent="0.25">
      <c r="A182" s="2" t="s">
        <v>314</v>
      </c>
      <c r="B182" s="3" t="s">
        <v>50</v>
      </c>
      <c r="C182" s="3" t="s">
        <v>315</v>
      </c>
      <c r="D182" s="92" t="s">
        <v>316</v>
      </c>
      <c r="E182" s="92"/>
      <c r="F182" s="3" t="s">
        <v>56</v>
      </c>
      <c r="G182" s="28">
        <v>1</v>
      </c>
      <c r="H182" s="59">
        <v>0</v>
      </c>
    </row>
    <row r="183" spans="1:8" x14ac:dyDescent="0.25">
      <c r="A183" s="55"/>
      <c r="D183" s="56" t="s">
        <v>53</v>
      </c>
      <c r="E183" s="128" t="s">
        <v>50</v>
      </c>
      <c r="F183" s="128"/>
      <c r="G183" s="57">
        <v>1</v>
      </c>
      <c r="H183" s="58"/>
    </row>
    <row r="184" spans="1:8" x14ac:dyDescent="0.25">
      <c r="A184" s="2" t="s">
        <v>317</v>
      </c>
      <c r="B184" s="3" t="s">
        <v>50</v>
      </c>
      <c r="C184" s="3" t="s">
        <v>318</v>
      </c>
      <c r="D184" s="92" t="s">
        <v>319</v>
      </c>
      <c r="E184" s="92"/>
      <c r="F184" s="3" t="s">
        <v>56</v>
      </c>
      <c r="G184" s="28">
        <v>1</v>
      </c>
      <c r="H184" s="59">
        <v>0</v>
      </c>
    </row>
    <row r="185" spans="1:8" x14ac:dyDescent="0.25">
      <c r="A185" s="55"/>
      <c r="D185" s="56" t="s">
        <v>53</v>
      </c>
      <c r="E185" s="128" t="s">
        <v>897</v>
      </c>
      <c r="F185" s="128"/>
      <c r="G185" s="57">
        <v>1</v>
      </c>
      <c r="H185" s="58"/>
    </row>
    <row r="186" spans="1:8" x14ac:dyDescent="0.25">
      <c r="A186" s="2" t="s">
        <v>320</v>
      </c>
      <c r="B186" s="3" t="s">
        <v>50</v>
      </c>
      <c r="C186" s="3" t="s">
        <v>321</v>
      </c>
      <c r="D186" s="92" t="s">
        <v>322</v>
      </c>
      <c r="E186" s="92"/>
      <c r="F186" s="3" t="s">
        <v>287</v>
      </c>
      <c r="G186" s="28">
        <v>1</v>
      </c>
      <c r="H186" s="59">
        <v>0</v>
      </c>
    </row>
    <row r="187" spans="1:8" x14ac:dyDescent="0.25">
      <c r="A187" s="55"/>
      <c r="D187" s="56" t="s">
        <v>53</v>
      </c>
      <c r="E187" s="128" t="s">
        <v>898</v>
      </c>
      <c r="F187" s="128"/>
      <c r="G187" s="57">
        <v>1</v>
      </c>
      <c r="H187" s="58"/>
    </row>
    <row r="188" spans="1:8" x14ac:dyDescent="0.25">
      <c r="A188" s="2" t="s">
        <v>323</v>
      </c>
      <c r="B188" s="3" t="s">
        <v>50</v>
      </c>
      <c r="C188" s="3" t="s">
        <v>324</v>
      </c>
      <c r="D188" s="92" t="s">
        <v>325</v>
      </c>
      <c r="E188" s="92"/>
      <c r="F188" s="3" t="s">
        <v>287</v>
      </c>
      <c r="G188" s="28">
        <v>1</v>
      </c>
      <c r="H188" s="59">
        <v>0</v>
      </c>
    </row>
    <row r="189" spans="1:8" x14ac:dyDescent="0.25">
      <c r="A189" s="55"/>
      <c r="D189" s="56" t="s">
        <v>53</v>
      </c>
      <c r="E189" s="128" t="s">
        <v>50</v>
      </c>
      <c r="F189" s="128"/>
      <c r="G189" s="57">
        <v>1</v>
      </c>
      <c r="H189" s="58"/>
    </row>
    <row r="190" spans="1:8" x14ac:dyDescent="0.25">
      <c r="A190" s="2" t="s">
        <v>326</v>
      </c>
      <c r="B190" s="3" t="s">
        <v>50</v>
      </c>
      <c r="C190" s="3" t="s">
        <v>327</v>
      </c>
      <c r="D190" s="92" t="s">
        <v>328</v>
      </c>
      <c r="E190" s="92"/>
      <c r="F190" s="3" t="s">
        <v>56</v>
      </c>
      <c r="G190" s="28">
        <v>1</v>
      </c>
      <c r="H190" s="59">
        <v>0</v>
      </c>
    </row>
    <row r="191" spans="1:8" x14ac:dyDescent="0.25">
      <c r="A191" s="55"/>
      <c r="D191" s="56" t="s">
        <v>53</v>
      </c>
      <c r="E191" s="128" t="s">
        <v>50</v>
      </c>
      <c r="F191" s="128"/>
      <c r="G191" s="57">
        <v>1</v>
      </c>
      <c r="H191" s="58"/>
    </row>
    <row r="192" spans="1:8" x14ac:dyDescent="0.25">
      <c r="A192" s="2" t="s">
        <v>329</v>
      </c>
      <c r="B192" s="3" t="s">
        <v>50</v>
      </c>
      <c r="C192" s="3" t="s">
        <v>330</v>
      </c>
      <c r="D192" s="92" t="s">
        <v>331</v>
      </c>
      <c r="E192" s="92"/>
      <c r="F192" s="3" t="s">
        <v>56</v>
      </c>
      <c r="G192" s="28">
        <v>1</v>
      </c>
      <c r="H192" s="59">
        <v>0</v>
      </c>
    </row>
    <row r="193" spans="1:8" x14ac:dyDescent="0.25">
      <c r="A193" s="55"/>
      <c r="D193" s="56" t="s">
        <v>53</v>
      </c>
      <c r="E193" s="128" t="s">
        <v>898</v>
      </c>
      <c r="F193" s="128"/>
      <c r="G193" s="57">
        <v>1</v>
      </c>
      <c r="H193" s="58"/>
    </row>
    <row r="194" spans="1:8" x14ac:dyDescent="0.25">
      <c r="A194" s="2" t="s">
        <v>332</v>
      </c>
      <c r="B194" s="3" t="s">
        <v>50</v>
      </c>
      <c r="C194" s="3" t="s">
        <v>333</v>
      </c>
      <c r="D194" s="92" t="s">
        <v>334</v>
      </c>
      <c r="E194" s="92"/>
      <c r="F194" s="3" t="s">
        <v>56</v>
      </c>
      <c r="G194" s="28">
        <v>1</v>
      </c>
      <c r="H194" s="59">
        <v>0</v>
      </c>
    </row>
    <row r="195" spans="1:8" x14ac:dyDescent="0.25">
      <c r="A195" s="55"/>
      <c r="D195" s="56" t="s">
        <v>53</v>
      </c>
      <c r="E195" s="128" t="s">
        <v>898</v>
      </c>
      <c r="F195" s="128"/>
      <c r="G195" s="57">
        <v>1</v>
      </c>
      <c r="H195" s="58"/>
    </row>
    <row r="196" spans="1:8" x14ac:dyDescent="0.25">
      <c r="A196" s="2" t="s">
        <v>335</v>
      </c>
      <c r="B196" s="3" t="s">
        <v>50</v>
      </c>
      <c r="C196" s="3" t="s">
        <v>336</v>
      </c>
      <c r="D196" s="92" t="s">
        <v>337</v>
      </c>
      <c r="E196" s="92"/>
      <c r="F196" s="3" t="s">
        <v>56</v>
      </c>
      <c r="G196" s="28">
        <v>1</v>
      </c>
      <c r="H196" s="59">
        <v>0</v>
      </c>
    </row>
    <row r="197" spans="1:8" x14ac:dyDescent="0.25">
      <c r="A197" s="55"/>
      <c r="D197" s="56" t="s">
        <v>53</v>
      </c>
      <c r="E197" s="128" t="s">
        <v>50</v>
      </c>
      <c r="F197" s="128"/>
      <c r="G197" s="57">
        <v>1</v>
      </c>
      <c r="H197" s="58"/>
    </row>
    <row r="198" spans="1:8" x14ac:dyDescent="0.25">
      <c r="A198" s="2" t="s">
        <v>338</v>
      </c>
      <c r="B198" s="3" t="s">
        <v>50</v>
      </c>
      <c r="C198" s="3" t="s">
        <v>339</v>
      </c>
      <c r="D198" s="92" t="s">
        <v>340</v>
      </c>
      <c r="E198" s="92"/>
      <c r="F198" s="3" t="s">
        <v>56</v>
      </c>
      <c r="G198" s="28">
        <v>1</v>
      </c>
      <c r="H198" s="59">
        <v>0</v>
      </c>
    </row>
    <row r="199" spans="1:8" x14ac:dyDescent="0.25">
      <c r="A199" s="55"/>
      <c r="D199" s="56" t="s">
        <v>53</v>
      </c>
      <c r="E199" s="128" t="s">
        <v>898</v>
      </c>
      <c r="F199" s="128"/>
      <c r="G199" s="57">
        <v>1</v>
      </c>
      <c r="H199" s="58"/>
    </row>
    <row r="200" spans="1:8" x14ac:dyDescent="0.25">
      <c r="A200" s="2" t="s">
        <v>341</v>
      </c>
      <c r="B200" s="3" t="s">
        <v>50</v>
      </c>
      <c r="C200" s="3" t="s">
        <v>342</v>
      </c>
      <c r="D200" s="92" t="s">
        <v>343</v>
      </c>
      <c r="E200" s="92"/>
      <c r="F200" s="3" t="s">
        <v>56</v>
      </c>
      <c r="G200" s="28">
        <v>1</v>
      </c>
      <c r="H200" s="59">
        <v>0</v>
      </c>
    </row>
    <row r="201" spans="1:8" x14ac:dyDescent="0.25">
      <c r="A201" s="55"/>
      <c r="D201" s="56" t="s">
        <v>53</v>
      </c>
      <c r="E201" s="128" t="s">
        <v>898</v>
      </c>
      <c r="F201" s="128"/>
      <c r="G201" s="57">
        <v>1</v>
      </c>
      <c r="H201" s="58"/>
    </row>
    <row r="202" spans="1:8" x14ac:dyDescent="0.25">
      <c r="A202" s="2" t="s">
        <v>344</v>
      </c>
      <c r="B202" s="3" t="s">
        <v>50</v>
      </c>
      <c r="C202" s="3" t="s">
        <v>345</v>
      </c>
      <c r="D202" s="92" t="s">
        <v>346</v>
      </c>
      <c r="E202" s="92"/>
      <c r="F202" s="3" t="s">
        <v>56</v>
      </c>
      <c r="G202" s="28">
        <v>1</v>
      </c>
      <c r="H202" s="59">
        <v>0</v>
      </c>
    </row>
    <row r="203" spans="1:8" x14ac:dyDescent="0.25">
      <c r="A203" s="55"/>
      <c r="D203" s="56" t="s">
        <v>53</v>
      </c>
      <c r="E203" s="128" t="s">
        <v>898</v>
      </c>
      <c r="F203" s="128"/>
      <c r="G203" s="57">
        <v>1</v>
      </c>
      <c r="H203" s="58"/>
    </row>
    <row r="204" spans="1:8" x14ac:dyDescent="0.25">
      <c r="A204" s="2" t="s">
        <v>347</v>
      </c>
      <c r="B204" s="3" t="s">
        <v>50</v>
      </c>
      <c r="C204" s="3" t="s">
        <v>348</v>
      </c>
      <c r="D204" s="92" t="s">
        <v>349</v>
      </c>
      <c r="E204" s="92"/>
      <c r="F204" s="3" t="s">
        <v>287</v>
      </c>
      <c r="G204" s="28">
        <v>1</v>
      </c>
      <c r="H204" s="59">
        <v>0</v>
      </c>
    </row>
    <row r="205" spans="1:8" x14ac:dyDescent="0.25">
      <c r="A205" s="55"/>
      <c r="D205" s="56" t="s">
        <v>53</v>
      </c>
      <c r="E205" s="128" t="s">
        <v>895</v>
      </c>
      <c r="F205" s="128"/>
      <c r="G205" s="57">
        <v>1</v>
      </c>
      <c r="H205" s="58"/>
    </row>
    <row r="206" spans="1:8" x14ac:dyDescent="0.25">
      <c r="A206" s="2" t="s">
        <v>350</v>
      </c>
      <c r="B206" s="3" t="s">
        <v>50</v>
      </c>
      <c r="C206" s="3" t="s">
        <v>351</v>
      </c>
      <c r="D206" s="92" t="s">
        <v>352</v>
      </c>
      <c r="E206" s="92"/>
      <c r="F206" s="3" t="s">
        <v>56</v>
      </c>
      <c r="G206" s="28">
        <v>1</v>
      </c>
      <c r="H206" s="59">
        <v>0</v>
      </c>
    </row>
    <row r="207" spans="1:8" x14ac:dyDescent="0.25">
      <c r="A207" s="55"/>
      <c r="D207" s="56" t="s">
        <v>53</v>
      </c>
      <c r="E207" s="128" t="s">
        <v>895</v>
      </c>
      <c r="F207" s="128"/>
      <c r="G207" s="57">
        <v>1</v>
      </c>
      <c r="H207" s="58"/>
    </row>
    <row r="208" spans="1:8" x14ac:dyDescent="0.25">
      <c r="A208" s="2" t="s">
        <v>353</v>
      </c>
      <c r="B208" s="3" t="s">
        <v>50</v>
      </c>
      <c r="C208" s="3" t="s">
        <v>354</v>
      </c>
      <c r="D208" s="92" t="s">
        <v>355</v>
      </c>
      <c r="E208" s="92"/>
      <c r="F208" s="3" t="s">
        <v>56</v>
      </c>
      <c r="G208" s="28">
        <v>1</v>
      </c>
      <c r="H208" s="59">
        <v>0</v>
      </c>
    </row>
    <row r="209" spans="1:8" x14ac:dyDescent="0.25">
      <c r="A209" s="55"/>
      <c r="D209" s="56" t="s">
        <v>53</v>
      </c>
      <c r="E209" s="128" t="s">
        <v>895</v>
      </c>
      <c r="F209" s="128"/>
      <c r="G209" s="57">
        <v>1</v>
      </c>
      <c r="H209" s="58"/>
    </row>
    <row r="210" spans="1:8" x14ac:dyDescent="0.25">
      <c r="A210" s="2" t="s">
        <v>356</v>
      </c>
      <c r="B210" s="3" t="s">
        <v>50</v>
      </c>
      <c r="C210" s="3" t="s">
        <v>357</v>
      </c>
      <c r="D210" s="92" t="s">
        <v>358</v>
      </c>
      <c r="E210" s="92"/>
      <c r="F210" s="3" t="s">
        <v>287</v>
      </c>
      <c r="G210" s="28">
        <v>1</v>
      </c>
      <c r="H210" s="59">
        <v>0</v>
      </c>
    </row>
    <row r="211" spans="1:8" x14ac:dyDescent="0.25">
      <c r="A211" s="55"/>
      <c r="D211" s="56" t="s">
        <v>53</v>
      </c>
      <c r="E211" s="128" t="s">
        <v>895</v>
      </c>
      <c r="F211" s="128"/>
      <c r="G211" s="57">
        <v>1</v>
      </c>
      <c r="H211" s="58"/>
    </row>
    <row r="212" spans="1:8" x14ac:dyDescent="0.25">
      <c r="A212" s="2" t="s">
        <v>359</v>
      </c>
      <c r="B212" s="3" t="s">
        <v>50</v>
      </c>
      <c r="C212" s="3" t="s">
        <v>360</v>
      </c>
      <c r="D212" s="92" t="s">
        <v>361</v>
      </c>
      <c r="E212" s="92"/>
      <c r="F212" s="3" t="s">
        <v>64</v>
      </c>
      <c r="G212" s="28">
        <v>1</v>
      </c>
      <c r="H212" s="59">
        <v>0</v>
      </c>
    </row>
    <row r="213" spans="1:8" x14ac:dyDescent="0.25">
      <c r="A213" s="55"/>
      <c r="D213" s="56" t="s">
        <v>53</v>
      </c>
      <c r="E213" s="128" t="s">
        <v>899</v>
      </c>
      <c r="F213" s="128"/>
      <c r="G213" s="57">
        <v>1</v>
      </c>
      <c r="H213" s="58"/>
    </row>
    <row r="214" spans="1:8" x14ac:dyDescent="0.25">
      <c r="A214" s="2" t="s">
        <v>362</v>
      </c>
      <c r="B214" s="3" t="s">
        <v>50</v>
      </c>
      <c r="C214" s="3" t="s">
        <v>363</v>
      </c>
      <c r="D214" s="92" t="s">
        <v>364</v>
      </c>
      <c r="E214" s="92"/>
      <c r="F214" s="3" t="s">
        <v>56</v>
      </c>
      <c r="G214" s="28">
        <v>1</v>
      </c>
      <c r="H214" s="59">
        <v>0</v>
      </c>
    </row>
    <row r="215" spans="1:8" x14ac:dyDescent="0.25">
      <c r="A215" s="55"/>
      <c r="D215" s="56" t="s">
        <v>53</v>
      </c>
      <c r="E215" s="128" t="s">
        <v>900</v>
      </c>
      <c r="F215" s="128"/>
      <c r="G215" s="57">
        <v>1</v>
      </c>
      <c r="H215" s="58"/>
    </row>
    <row r="216" spans="1:8" x14ac:dyDescent="0.25">
      <c r="A216" s="2" t="s">
        <v>365</v>
      </c>
      <c r="B216" s="3" t="s">
        <v>50</v>
      </c>
      <c r="C216" s="3" t="s">
        <v>366</v>
      </c>
      <c r="D216" s="92" t="s">
        <v>367</v>
      </c>
      <c r="E216" s="92"/>
      <c r="F216" s="3" t="s">
        <v>56</v>
      </c>
      <c r="G216" s="28">
        <v>1</v>
      </c>
      <c r="H216" s="59">
        <v>0</v>
      </c>
    </row>
    <row r="217" spans="1:8" x14ac:dyDescent="0.25">
      <c r="A217" s="55"/>
      <c r="D217" s="56" t="s">
        <v>53</v>
      </c>
      <c r="E217" s="128" t="s">
        <v>901</v>
      </c>
      <c r="F217" s="128"/>
      <c r="G217" s="57">
        <v>1</v>
      </c>
      <c r="H217" s="58"/>
    </row>
    <row r="218" spans="1:8" x14ac:dyDescent="0.25">
      <c r="A218" s="2" t="s">
        <v>368</v>
      </c>
      <c r="B218" s="3" t="s">
        <v>50</v>
      </c>
      <c r="C218" s="3" t="s">
        <v>369</v>
      </c>
      <c r="D218" s="92" t="s">
        <v>370</v>
      </c>
      <c r="E218" s="92"/>
      <c r="F218" s="3" t="s">
        <v>56</v>
      </c>
      <c r="G218" s="28">
        <v>1</v>
      </c>
      <c r="H218" s="59">
        <v>0</v>
      </c>
    </row>
    <row r="219" spans="1:8" x14ac:dyDescent="0.25">
      <c r="A219" s="55"/>
      <c r="D219" s="56" t="s">
        <v>53</v>
      </c>
      <c r="E219" s="128" t="s">
        <v>902</v>
      </c>
      <c r="F219" s="128"/>
      <c r="G219" s="57">
        <v>1</v>
      </c>
      <c r="H219" s="58"/>
    </row>
    <row r="220" spans="1:8" x14ac:dyDescent="0.25">
      <c r="A220" s="2" t="s">
        <v>372</v>
      </c>
      <c r="B220" s="3" t="s">
        <v>50</v>
      </c>
      <c r="C220" s="3" t="s">
        <v>373</v>
      </c>
      <c r="D220" s="92" t="s">
        <v>374</v>
      </c>
      <c r="E220" s="92"/>
      <c r="F220" s="3" t="s">
        <v>56</v>
      </c>
      <c r="G220" s="28">
        <v>2</v>
      </c>
      <c r="H220" s="59">
        <v>0</v>
      </c>
    </row>
    <row r="221" spans="1:8" x14ac:dyDescent="0.25">
      <c r="A221" s="55"/>
      <c r="D221" s="56" t="s">
        <v>61</v>
      </c>
      <c r="E221" s="128" t="s">
        <v>894</v>
      </c>
      <c r="F221" s="128"/>
      <c r="G221" s="57">
        <v>2</v>
      </c>
      <c r="H221" s="58"/>
    </row>
    <row r="222" spans="1:8" x14ac:dyDescent="0.25">
      <c r="A222" s="2" t="s">
        <v>375</v>
      </c>
      <c r="B222" s="3" t="s">
        <v>50</v>
      </c>
      <c r="C222" s="3" t="s">
        <v>376</v>
      </c>
      <c r="D222" s="92" t="s">
        <v>377</v>
      </c>
      <c r="E222" s="92"/>
      <c r="F222" s="3" t="s">
        <v>87</v>
      </c>
      <c r="G222" s="28">
        <v>0.31995000000000001</v>
      </c>
      <c r="H222" s="59">
        <v>0</v>
      </c>
    </row>
    <row r="223" spans="1:8" x14ac:dyDescent="0.25">
      <c r="A223" s="2" t="s">
        <v>380</v>
      </c>
      <c r="B223" s="3" t="s">
        <v>50</v>
      </c>
      <c r="C223" s="3" t="s">
        <v>381</v>
      </c>
      <c r="D223" s="92" t="s">
        <v>382</v>
      </c>
      <c r="E223" s="92"/>
      <c r="F223" s="3" t="s">
        <v>56</v>
      </c>
      <c r="G223" s="28">
        <v>1</v>
      </c>
      <c r="H223" s="59">
        <v>0</v>
      </c>
    </row>
    <row r="224" spans="1:8" x14ac:dyDescent="0.25">
      <c r="A224" s="55"/>
      <c r="D224" s="56" t="s">
        <v>53</v>
      </c>
      <c r="E224" s="128" t="s">
        <v>903</v>
      </c>
      <c r="F224" s="128"/>
      <c r="G224" s="57">
        <v>1</v>
      </c>
      <c r="H224" s="58"/>
    </row>
    <row r="225" spans="1:8" x14ac:dyDescent="0.25">
      <c r="A225" s="2" t="s">
        <v>384</v>
      </c>
      <c r="B225" s="3" t="s">
        <v>50</v>
      </c>
      <c r="C225" s="3" t="s">
        <v>385</v>
      </c>
      <c r="D225" s="92" t="s">
        <v>386</v>
      </c>
      <c r="E225" s="92"/>
      <c r="F225" s="3" t="s">
        <v>56</v>
      </c>
      <c r="G225" s="28">
        <v>2</v>
      </c>
      <c r="H225" s="59">
        <v>0</v>
      </c>
    </row>
    <row r="226" spans="1:8" x14ac:dyDescent="0.25">
      <c r="A226" s="55"/>
      <c r="D226" s="56" t="s">
        <v>61</v>
      </c>
      <c r="E226" s="128" t="s">
        <v>904</v>
      </c>
      <c r="F226" s="128"/>
      <c r="G226" s="57">
        <v>2</v>
      </c>
      <c r="H226" s="58"/>
    </row>
    <row r="227" spans="1:8" x14ac:dyDescent="0.25">
      <c r="A227" s="2" t="s">
        <v>387</v>
      </c>
      <c r="B227" s="3" t="s">
        <v>50</v>
      </c>
      <c r="C227" s="3" t="s">
        <v>184</v>
      </c>
      <c r="D227" s="92" t="s">
        <v>388</v>
      </c>
      <c r="E227" s="92"/>
      <c r="F227" s="3" t="s">
        <v>77</v>
      </c>
      <c r="G227" s="28">
        <v>8</v>
      </c>
      <c r="H227" s="59">
        <v>0</v>
      </c>
    </row>
    <row r="228" spans="1:8" x14ac:dyDescent="0.25">
      <c r="A228" s="55"/>
      <c r="D228" s="56" t="s">
        <v>905</v>
      </c>
      <c r="E228" s="128" t="s">
        <v>906</v>
      </c>
      <c r="F228" s="128"/>
      <c r="G228" s="57">
        <v>2.2999999999999998</v>
      </c>
      <c r="H228" s="58"/>
    </row>
    <row r="229" spans="1:8" x14ac:dyDescent="0.25">
      <c r="A229" s="2" t="s">
        <v>50</v>
      </c>
      <c r="B229" s="3" t="s">
        <v>50</v>
      </c>
      <c r="C229" s="3" t="s">
        <v>50</v>
      </c>
      <c r="D229" s="56" t="s">
        <v>907</v>
      </c>
      <c r="E229" s="128" t="s">
        <v>908</v>
      </c>
      <c r="F229" s="128"/>
      <c r="G229" s="57">
        <v>5.7</v>
      </c>
      <c r="H229" s="60" t="s">
        <v>50</v>
      </c>
    </row>
    <row r="230" spans="1:8" x14ac:dyDescent="0.25">
      <c r="A230" s="2" t="s">
        <v>389</v>
      </c>
      <c r="B230" s="3" t="s">
        <v>50</v>
      </c>
      <c r="C230" s="3" t="s">
        <v>390</v>
      </c>
      <c r="D230" s="92" t="s">
        <v>391</v>
      </c>
      <c r="E230" s="92"/>
      <c r="F230" s="3" t="s">
        <v>64</v>
      </c>
      <c r="G230" s="28">
        <v>8</v>
      </c>
      <c r="H230" s="59">
        <v>0</v>
      </c>
    </row>
    <row r="231" spans="1:8" x14ac:dyDescent="0.25">
      <c r="A231" s="55"/>
      <c r="D231" s="56" t="s">
        <v>905</v>
      </c>
      <c r="E231" s="128" t="s">
        <v>906</v>
      </c>
      <c r="F231" s="128"/>
      <c r="G231" s="57">
        <v>2.2999999999999998</v>
      </c>
      <c r="H231" s="58"/>
    </row>
    <row r="232" spans="1:8" x14ac:dyDescent="0.25">
      <c r="A232" s="2" t="s">
        <v>50</v>
      </c>
      <c r="B232" s="3" t="s">
        <v>50</v>
      </c>
      <c r="C232" s="3" t="s">
        <v>50</v>
      </c>
      <c r="D232" s="56" t="s">
        <v>907</v>
      </c>
      <c r="E232" s="128" t="s">
        <v>908</v>
      </c>
      <c r="F232" s="128"/>
      <c r="G232" s="57">
        <v>5.7</v>
      </c>
      <c r="H232" s="60" t="s">
        <v>50</v>
      </c>
    </row>
    <row r="233" spans="1:8" x14ac:dyDescent="0.25">
      <c r="A233" s="2" t="s">
        <v>393</v>
      </c>
      <c r="B233" s="3" t="s">
        <v>50</v>
      </c>
      <c r="C233" s="3" t="s">
        <v>394</v>
      </c>
      <c r="D233" s="92" t="s">
        <v>395</v>
      </c>
      <c r="E233" s="92"/>
      <c r="F233" s="3" t="s">
        <v>77</v>
      </c>
      <c r="G233" s="28">
        <v>3.5</v>
      </c>
      <c r="H233" s="59">
        <v>0</v>
      </c>
    </row>
    <row r="234" spans="1:8" x14ac:dyDescent="0.25">
      <c r="A234" s="55"/>
      <c r="D234" s="56" t="s">
        <v>909</v>
      </c>
      <c r="E234" s="128" t="s">
        <v>910</v>
      </c>
      <c r="F234" s="128"/>
      <c r="G234" s="57">
        <v>3.5</v>
      </c>
      <c r="H234" s="58"/>
    </row>
    <row r="235" spans="1:8" x14ac:dyDescent="0.25">
      <c r="A235" s="2" t="s">
        <v>396</v>
      </c>
      <c r="B235" s="3" t="s">
        <v>50</v>
      </c>
      <c r="C235" s="3" t="s">
        <v>397</v>
      </c>
      <c r="D235" s="92" t="s">
        <v>398</v>
      </c>
      <c r="E235" s="92"/>
      <c r="F235" s="3" t="s">
        <v>56</v>
      </c>
      <c r="G235" s="28">
        <v>1</v>
      </c>
      <c r="H235" s="59">
        <v>0</v>
      </c>
    </row>
    <row r="236" spans="1:8" x14ac:dyDescent="0.25">
      <c r="A236" s="55"/>
      <c r="D236" s="56" t="s">
        <v>53</v>
      </c>
      <c r="E236" s="128" t="s">
        <v>911</v>
      </c>
      <c r="F236" s="128"/>
      <c r="G236" s="57">
        <v>1</v>
      </c>
      <c r="H236" s="58"/>
    </row>
    <row r="237" spans="1:8" x14ac:dyDescent="0.25">
      <c r="A237" s="2" t="s">
        <v>399</v>
      </c>
      <c r="B237" s="3" t="s">
        <v>50</v>
      </c>
      <c r="C237" s="3" t="s">
        <v>400</v>
      </c>
      <c r="D237" s="92" t="s">
        <v>401</v>
      </c>
      <c r="E237" s="92"/>
      <c r="F237" s="3" t="s">
        <v>56</v>
      </c>
      <c r="G237" s="28">
        <v>1</v>
      </c>
      <c r="H237" s="59">
        <v>0</v>
      </c>
    </row>
    <row r="238" spans="1:8" x14ac:dyDescent="0.25">
      <c r="A238" s="55"/>
      <c r="D238" s="56" t="s">
        <v>53</v>
      </c>
      <c r="E238" s="128" t="s">
        <v>911</v>
      </c>
      <c r="F238" s="128"/>
      <c r="G238" s="57">
        <v>1</v>
      </c>
      <c r="H238" s="58"/>
    </row>
    <row r="239" spans="1:8" x14ac:dyDescent="0.25">
      <c r="A239" s="2" t="s">
        <v>402</v>
      </c>
      <c r="B239" s="3" t="s">
        <v>50</v>
      </c>
      <c r="C239" s="3" t="s">
        <v>403</v>
      </c>
      <c r="D239" s="92" t="s">
        <v>404</v>
      </c>
      <c r="E239" s="92"/>
      <c r="F239" s="3" t="s">
        <v>56</v>
      </c>
      <c r="G239" s="28">
        <v>1</v>
      </c>
      <c r="H239" s="59">
        <v>0</v>
      </c>
    </row>
    <row r="240" spans="1:8" x14ac:dyDescent="0.25">
      <c r="A240" s="55"/>
      <c r="D240" s="56" t="s">
        <v>53</v>
      </c>
      <c r="E240" s="128" t="s">
        <v>912</v>
      </c>
      <c r="F240" s="128"/>
      <c r="G240" s="57">
        <v>1</v>
      </c>
      <c r="H240" s="58"/>
    </row>
    <row r="241" spans="1:8" x14ac:dyDescent="0.25">
      <c r="A241" s="2" t="s">
        <v>405</v>
      </c>
      <c r="B241" s="3" t="s">
        <v>50</v>
      </c>
      <c r="C241" s="3" t="s">
        <v>406</v>
      </c>
      <c r="D241" s="92" t="s">
        <v>407</v>
      </c>
      <c r="E241" s="92"/>
      <c r="F241" s="3" t="s">
        <v>56</v>
      </c>
      <c r="G241" s="28">
        <v>1</v>
      </c>
      <c r="H241" s="59">
        <v>0</v>
      </c>
    </row>
    <row r="242" spans="1:8" x14ac:dyDescent="0.25">
      <c r="A242" s="55"/>
      <c r="D242" s="56" t="s">
        <v>53</v>
      </c>
      <c r="E242" s="128" t="s">
        <v>912</v>
      </c>
      <c r="F242" s="128"/>
      <c r="G242" s="57">
        <v>1</v>
      </c>
      <c r="H242" s="58"/>
    </row>
    <row r="243" spans="1:8" x14ac:dyDescent="0.25">
      <c r="A243" s="2" t="s">
        <v>408</v>
      </c>
      <c r="B243" s="3" t="s">
        <v>50</v>
      </c>
      <c r="C243" s="3" t="s">
        <v>409</v>
      </c>
      <c r="D243" s="92" t="s">
        <v>410</v>
      </c>
      <c r="E243" s="92"/>
      <c r="F243" s="3" t="s">
        <v>56</v>
      </c>
      <c r="G243" s="28">
        <v>2</v>
      </c>
      <c r="H243" s="59">
        <v>0</v>
      </c>
    </row>
    <row r="244" spans="1:8" x14ac:dyDescent="0.25">
      <c r="A244" s="55"/>
      <c r="D244" s="56" t="s">
        <v>61</v>
      </c>
      <c r="E244" s="128" t="s">
        <v>913</v>
      </c>
      <c r="F244" s="128"/>
      <c r="G244" s="57">
        <v>2</v>
      </c>
      <c r="H244" s="58"/>
    </row>
    <row r="245" spans="1:8" x14ac:dyDescent="0.25">
      <c r="A245" s="2" t="s">
        <v>411</v>
      </c>
      <c r="B245" s="3" t="s">
        <v>50</v>
      </c>
      <c r="C245" s="3" t="s">
        <v>412</v>
      </c>
      <c r="D245" s="92" t="s">
        <v>413</v>
      </c>
      <c r="E245" s="92"/>
      <c r="F245" s="3" t="s">
        <v>56</v>
      </c>
      <c r="G245" s="28">
        <v>2</v>
      </c>
      <c r="H245" s="59">
        <v>0</v>
      </c>
    </row>
    <row r="246" spans="1:8" x14ac:dyDescent="0.25">
      <c r="A246" s="55"/>
      <c r="D246" s="56" t="s">
        <v>61</v>
      </c>
      <c r="E246" s="128" t="s">
        <v>913</v>
      </c>
      <c r="F246" s="128"/>
      <c r="G246" s="57">
        <v>2</v>
      </c>
      <c r="H246" s="58"/>
    </row>
    <row r="247" spans="1:8" x14ac:dyDescent="0.25">
      <c r="A247" s="2" t="s">
        <v>414</v>
      </c>
      <c r="B247" s="3" t="s">
        <v>50</v>
      </c>
      <c r="C247" s="3" t="s">
        <v>415</v>
      </c>
      <c r="D247" s="92" t="s">
        <v>416</v>
      </c>
      <c r="E247" s="92"/>
      <c r="F247" s="3" t="s">
        <v>87</v>
      </c>
      <c r="G247" s="28">
        <v>1.5100000000000001E-2</v>
      </c>
      <c r="H247" s="59">
        <v>0</v>
      </c>
    </row>
    <row r="248" spans="1:8" x14ac:dyDescent="0.25">
      <c r="A248" s="2" t="s">
        <v>419</v>
      </c>
      <c r="B248" s="3" t="s">
        <v>50</v>
      </c>
      <c r="C248" s="3" t="s">
        <v>420</v>
      </c>
      <c r="D248" s="92" t="s">
        <v>421</v>
      </c>
      <c r="E248" s="92"/>
      <c r="F248" s="3" t="s">
        <v>287</v>
      </c>
      <c r="G248" s="28">
        <v>1</v>
      </c>
      <c r="H248" s="59">
        <v>0</v>
      </c>
    </row>
    <row r="249" spans="1:8" x14ac:dyDescent="0.25">
      <c r="A249" s="55"/>
      <c r="D249" s="56" t="s">
        <v>53</v>
      </c>
      <c r="E249" s="128" t="s">
        <v>914</v>
      </c>
      <c r="F249" s="128"/>
      <c r="G249" s="57">
        <v>1</v>
      </c>
      <c r="H249" s="58"/>
    </row>
    <row r="250" spans="1:8" x14ac:dyDescent="0.25">
      <c r="A250" s="2" t="s">
        <v>424</v>
      </c>
      <c r="B250" s="3" t="s">
        <v>50</v>
      </c>
      <c r="C250" s="3" t="s">
        <v>425</v>
      </c>
      <c r="D250" s="92" t="s">
        <v>426</v>
      </c>
      <c r="E250" s="92"/>
      <c r="F250" s="3" t="s">
        <v>56</v>
      </c>
      <c r="G250" s="28">
        <v>1</v>
      </c>
      <c r="H250" s="59">
        <v>0</v>
      </c>
    </row>
    <row r="251" spans="1:8" x14ac:dyDescent="0.25">
      <c r="A251" s="55"/>
      <c r="D251" s="56" t="s">
        <v>53</v>
      </c>
      <c r="E251" s="128" t="s">
        <v>50</v>
      </c>
      <c r="F251" s="128"/>
      <c r="G251" s="57">
        <v>1</v>
      </c>
      <c r="H251" s="58"/>
    </row>
    <row r="252" spans="1:8" x14ac:dyDescent="0.25">
      <c r="A252" s="2" t="s">
        <v>427</v>
      </c>
      <c r="B252" s="3" t="s">
        <v>50</v>
      </c>
      <c r="C252" s="3" t="s">
        <v>428</v>
      </c>
      <c r="D252" s="92" t="s">
        <v>429</v>
      </c>
      <c r="E252" s="92"/>
      <c r="F252" s="3" t="s">
        <v>56</v>
      </c>
      <c r="G252" s="28">
        <v>1</v>
      </c>
      <c r="H252" s="59">
        <v>0</v>
      </c>
    </row>
    <row r="253" spans="1:8" x14ac:dyDescent="0.25">
      <c r="A253" s="55"/>
      <c r="D253" s="56" t="s">
        <v>53</v>
      </c>
      <c r="E253" s="128" t="s">
        <v>914</v>
      </c>
      <c r="F253" s="128"/>
      <c r="G253" s="57">
        <v>1</v>
      </c>
      <c r="H253" s="58"/>
    </row>
    <row r="254" spans="1:8" x14ac:dyDescent="0.25">
      <c r="A254" s="2" t="s">
        <v>430</v>
      </c>
      <c r="B254" s="3" t="s">
        <v>50</v>
      </c>
      <c r="C254" s="3" t="s">
        <v>431</v>
      </c>
      <c r="D254" s="92" t="s">
        <v>432</v>
      </c>
      <c r="E254" s="92"/>
      <c r="F254" s="3" t="s">
        <v>56</v>
      </c>
      <c r="G254" s="28">
        <v>1</v>
      </c>
      <c r="H254" s="59">
        <v>0</v>
      </c>
    </row>
    <row r="255" spans="1:8" x14ac:dyDescent="0.25">
      <c r="A255" s="55"/>
      <c r="D255" s="56" t="s">
        <v>53</v>
      </c>
      <c r="E255" s="128" t="s">
        <v>914</v>
      </c>
      <c r="F255" s="128"/>
      <c r="G255" s="57">
        <v>1</v>
      </c>
      <c r="H255" s="58"/>
    </row>
    <row r="256" spans="1:8" x14ac:dyDescent="0.25">
      <c r="A256" s="2" t="s">
        <v>433</v>
      </c>
      <c r="B256" s="3" t="s">
        <v>50</v>
      </c>
      <c r="C256" s="3" t="s">
        <v>434</v>
      </c>
      <c r="D256" s="92" t="s">
        <v>435</v>
      </c>
      <c r="E256" s="92"/>
      <c r="F256" s="3" t="s">
        <v>436</v>
      </c>
      <c r="G256" s="28">
        <v>1</v>
      </c>
      <c r="H256" s="59">
        <v>0</v>
      </c>
    </row>
    <row r="257" spans="1:8" x14ac:dyDescent="0.25">
      <c r="A257" s="55"/>
      <c r="D257" s="56" t="s">
        <v>53</v>
      </c>
      <c r="E257" s="128" t="s">
        <v>914</v>
      </c>
      <c r="F257" s="128"/>
      <c r="G257" s="57">
        <v>1</v>
      </c>
      <c r="H257" s="58"/>
    </row>
    <row r="258" spans="1:8" x14ac:dyDescent="0.25">
      <c r="A258" s="2" t="s">
        <v>437</v>
      </c>
      <c r="B258" s="3" t="s">
        <v>50</v>
      </c>
      <c r="C258" s="3" t="s">
        <v>438</v>
      </c>
      <c r="D258" s="92" t="s">
        <v>439</v>
      </c>
      <c r="E258" s="92"/>
      <c r="F258" s="3" t="s">
        <v>56</v>
      </c>
      <c r="G258" s="28">
        <v>2</v>
      </c>
      <c r="H258" s="59">
        <v>0</v>
      </c>
    </row>
    <row r="259" spans="1:8" x14ac:dyDescent="0.25">
      <c r="A259" s="55"/>
      <c r="D259" s="56" t="s">
        <v>61</v>
      </c>
      <c r="E259" s="128" t="s">
        <v>914</v>
      </c>
      <c r="F259" s="128"/>
      <c r="G259" s="57">
        <v>2</v>
      </c>
      <c r="H259" s="58"/>
    </row>
    <row r="260" spans="1:8" x14ac:dyDescent="0.25">
      <c r="A260" s="2" t="s">
        <v>440</v>
      </c>
      <c r="B260" s="3" t="s">
        <v>50</v>
      </c>
      <c r="C260" s="3" t="s">
        <v>441</v>
      </c>
      <c r="D260" s="92" t="s">
        <v>442</v>
      </c>
      <c r="E260" s="92"/>
      <c r="F260" s="3" t="s">
        <v>87</v>
      </c>
      <c r="G260" s="28">
        <v>6.5740000000000007E-2</v>
      </c>
      <c r="H260" s="59">
        <v>0</v>
      </c>
    </row>
    <row r="261" spans="1:8" x14ac:dyDescent="0.25">
      <c r="A261" s="2" t="s">
        <v>445</v>
      </c>
      <c r="B261" s="3" t="s">
        <v>50</v>
      </c>
      <c r="C261" s="3" t="s">
        <v>446</v>
      </c>
      <c r="D261" s="92" t="s">
        <v>447</v>
      </c>
      <c r="E261" s="92"/>
      <c r="F261" s="3" t="s">
        <v>287</v>
      </c>
      <c r="G261" s="28">
        <v>1</v>
      </c>
      <c r="H261" s="59">
        <v>0</v>
      </c>
    </row>
    <row r="262" spans="1:8" x14ac:dyDescent="0.25">
      <c r="A262" s="55"/>
      <c r="D262" s="56" t="s">
        <v>53</v>
      </c>
      <c r="E262" s="128" t="s">
        <v>914</v>
      </c>
      <c r="F262" s="128"/>
      <c r="G262" s="57">
        <v>1</v>
      </c>
      <c r="H262" s="58"/>
    </row>
    <row r="263" spans="1:8" x14ac:dyDescent="0.25">
      <c r="A263" s="2" t="s">
        <v>451</v>
      </c>
      <c r="B263" s="3" t="s">
        <v>50</v>
      </c>
      <c r="C263" s="3" t="s">
        <v>452</v>
      </c>
      <c r="D263" s="92" t="s">
        <v>453</v>
      </c>
      <c r="E263" s="92"/>
      <c r="F263" s="3" t="s">
        <v>77</v>
      </c>
      <c r="G263" s="28">
        <v>9</v>
      </c>
      <c r="H263" s="59">
        <v>0</v>
      </c>
    </row>
    <row r="264" spans="1:8" x14ac:dyDescent="0.25">
      <c r="A264" s="55"/>
      <c r="D264" s="56" t="s">
        <v>915</v>
      </c>
      <c r="E264" s="128" t="s">
        <v>916</v>
      </c>
      <c r="F264" s="128"/>
      <c r="G264" s="57">
        <v>9</v>
      </c>
      <c r="H264" s="58"/>
    </row>
    <row r="265" spans="1:8" x14ac:dyDescent="0.25">
      <c r="A265" s="2" t="s">
        <v>455</v>
      </c>
      <c r="B265" s="3" t="s">
        <v>50</v>
      </c>
      <c r="C265" s="3" t="s">
        <v>456</v>
      </c>
      <c r="D265" s="92" t="s">
        <v>457</v>
      </c>
      <c r="E265" s="92"/>
      <c r="F265" s="3" t="s">
        <v>77</v>
      </c>
      <c r="G265" s="28">
        <v>14</v>
      </c>
      <c r="H265" s="59">
        <v>0</v>
      </c>
    </row>
    <row r="266" spans="1:8" x14ac:dyDescent="0.25">
      <c r="A266" s="55"/>
      <c r="D266" s="56" t="s">
        <v>917</v>
      </c>
      <c r="E266" s="128" t="s">
        <v>916</v>
      </c>
      <c r="F266" s="128"/>
      <c r="G266" s="57">
        <v>14</v>
      </c>
      <c r="H266" s="58"/>
    </row>
    <row r="267" spans="1:8" x14ac:dyDescent="0.25">
      <c r="A267" s="2" t="s">
        <v>458</v>
      </c>
      <c r="B267" s="3" t="s">
        <v>50</v>
      </c>
      <c r="C267" s="3" t="s">
        <v>459</v>
      </c>
      <c r="D267" s="92" t="s">
        <v>460</v>
      </c>
      <c r="E267" s="92"/>
      <c r="F267" s="3" t="s">
        <v>77</v>
      </c>
      <c r="G267" s="28">
        <v>9</v>
      </c>
      <c r="H267" s="59">
        <v>0</v>
      </c>
    </row>
    <row r="268" spans="1:8" x14ac:dyDescent="0.25">
      <c r="A268" s="55"/>
      <c r="D268" s="56" t="s">
        <v>88</v>
      </c>
      <c r="E268" s="128" t="s">
        <v>50</v>
      </c>
      <c r="F268" s="128"/>
      <c r="G268" s="57">
        <v>9</v>
      </c>
      <c r="H268" s="58"/>
    </row>
    <row r="269" spans="1:8" x14ac:dyDescent="0.25">
      <c r="A269" s="2" t="s">
        <v>462</v>
      </c>
      <c r="B269" s="3" t="s">
        <v>50</v>
      </c>
      <c r="C269" s="3" t="s">
        <v>463</v>
      </c>
      <c r="D269" s="92" t="s">
        <v>460</v>
      </c>
      <c r="E269" s="92"/>
      <c r="F269" s="3" t="s">
        <v>77</v>
      </c>
      <c r="G269" s="28">
        <v>14</v>
      </c>
      <c r="H269" s="59">
        <v>0</v>
      </c>
    </row>
    <row r="270" spans="1:8" x14ac:dyDescent="0.25">
      <c r="A270" s="55"/>
      <c r="D270" s="56" t="s">
        <v>106</v>
      </c>
      <c r="E270" s="128" t="s">
        <v>50</v>
      </c>
      <c r="F270" s="128"/>
      <c r="G270" s="57">
        <v>14</v>
      </c>
      <c r="H270" s="58"/>
    </row>
    <row r="271" spans="1:8" x14ac:dyDescent="0.25">
      <c r="A271" s="2" t="s">
        <v>465</v>
      </c>
      <c r="B271" s="3" t="s">
        <v>50</v>
      </c>
      <c r="C271" s="3" t="s">
        <v>466</v>
      </c>
      <c r="D271" s="92" t="s">
        <v>467</v>
      </c>
      <c r="E271" s="92"/>
      <c r="F271" s="3" t="s">
        <v>77</v>
      </c>
      <c r="G271" s="28">
        <v>23</v>
      </c>
      <c r="H271" s="59">
        <v>0</v>
      </c>
    </row>
    <row r="272" spans="1:8" x14ac:dyDescent="0.25">
      <c r="A272" s="55"/>
      <c r="D272" s="56" t="s">
        <v>837</v>
      </c>
      <c r="E272" s="128" t="s">
        <v>50</v>
      </c>
      <c r="F272" s="128"/>
      <c r="G272" s="57">
        <v>23</v>
      </c>
      <c r="H272" s="58"/>
    </row>
    <row r="273" spans="1:8" x14ac:dyDescent="0.25">
      <c r="A273" s="2" t="s">
        <v>468</v>
      </c>
      <c r="B273" s="3" t="s">
        <v>50</v>
      </c>
      <c r="C273" s="3" t="s">
        <v>469</v>
      </c>
      <c r="D273" s="92" t="s">
        <v>470</v>
      </c>
      <c r="E273" s="92"/>
      <c r="F273" s="3" t="s">
        <v>87</v>
      </c>
      <c r="G273" s="28">
        <v>1.9619999999999999E-2</v>
      </c>
      <c r="H273" s="59">
        <v>0</v>
      </c>
    </row>
    <row r="274" spans="1:8" x14ac:dyDescent="0.25">
      <c r="A274" s="2" t="s">
        <v>473</v>
      </c>
      <c r="B274" s="3" t="s">
        <v>50</v>
      </c>
      <c r="C274" s="3" t="s">
        <v>474</v>
      </c>
      <c r="D274" s="92" t="s">
        <v>475</v>
      </c>
      <c r="E274" s="92"/>
      <c r="F274" s="3" t="s">
        <v>56</v>
      </c>
      <c r="G274" s="28">
        <v>3</v>
      </c>
      <c r="H274" s="59">
        <v>0</v>
      </c>
    </row>
    <row r="275" spans="1:8" x14ac:dyDescent="0.25">
      <c r="A275" s="55"/>
      <c r="D275" s="56" t="s">
        <v>67</v>
      </c>
      <c r="E275" s="128" t="s">
        <v>918</v>
      </c>
      <c r="F275" s="128"/>
      <c r="G275" s="57">
        <v>3</v>
      </c>
      <c r="H275" s="58"/>
    </row>
    <row r="276" spans="1:8" x14ac:dyDescent="0.25">
      <c r="A276" s="2" t="s">
        <v>478</v>
      </c>
      <c r="B276" s="3" t="s">
        <v>50</v>
      </c>
      <c r="C276" s="3" t="s">
        <v>479</v>
      </c>
      <c r="D276" s="92" t="s">
        <v>480</v>
      </c>
      <c r="E276" s="92"/>
      <c r="F276" s="3" t="s">
        <v>56</v>
      </c>
      <c r="G276" s="28">
        <v>3</v>
      </c>
      <c r="H276" s="59">
        <v>0</v>
      </c>
    </row>
    <row r="277" spans="1:8" x14ac:dyDescent="0.25">
      <c r="A277" s="55"/>
      <c r="D277" s="56" t="s">
        <v>67</v>
      </c>
      <c r="E277" s="128" t="s">
        <v>918</v>
      </c>
      <c r="F277" s="128"/>
      <c r="G277" s="57">
        <v>3</v>
      </c>
      <c r="H277" s="58"/>
    </row>
    <row r="278" spans="1:8" x14ac:dyDescent="0.25">
      <c r="A278" s="2" t="s">
        <v>481</v>
      </c>
      <c r="B278" s="3" t="s">
        <v>50</v>
      </c>
      <c r="C278" s="3" t="s">
        <v>482</v>
      </c>
      <c r="D278" s="92" t="s">
        <v>483</v>
      </c>
      <c r="E278" s="92"/>
      <c r="F278" s="3" t="s">
        <v>56</v>
      </c>
      <c r="G278" s="28">
        <v>1</v>
      </c>
      <c r="H278" s="59">
        <v>0</v>
      </c>
    </row>
    <row r="279" spans="1:8" x14ac:dyDescent="0.25">
      <c r="A279" s="55"/>
      <c r="D279" s="56" t="s">
        <v>53</v>
      </c>
      <c r="E279" s="128" t="s">
        <v>50</v>
      </c>
      <c r="F279" s="128"/>
      <c r="G279" s="57">
        <v>1</v>
      </c>
      <c r="H279" s="58"/>
    </row>
    <row r="280" spans="1:8" x14ac:dyDescent="0.25">
      <c r="A280" s="2" t="s">
        <v>484</v>
      </c>
      <c r="B280" s="3" t="s">
        <v>50</v>
      </c>
      <c r="C280" s="3" t="s">
        <v>485</v>
      </c>
      <c r="D280" s="92" t="s">
        <v>486</v>
      </c>
      <c r="E280" s="92"/>
      <c r="F280" s="3" t="s">
        <v>56</v>
      </c>
      <c r="G280" s="28">
        <v>2</v>
      </c>
      <c r="H280" s="59">
        <v>0</v>
      </c>
    </row>
    <row r="281" spans="1:8" x14ac:dyDescent="0.25">
      <c r="A281" s="55"/>
      <c r="D281" s="56" t="s">
        <v>61</v>
      </c>
      <c r="E281" s="128" t="s">
        <v>50</v>
      </c>
      <c r="F281" s="128"/>
      <c r="G281" s="57">
        <v>2</v>
      </c>
      <c r="H281" s="58"/>
    </row>
    <row r="282" spans="1:8" x14ac:dyDescent="0.25">
      <c r="A282" s="2" t="s">
        <v>487</v>
      </c>
      <c r="B282" s="3" t="s">
        <v>50</v>
      </c>
      <c r="C282" s="3" t="s">
        <v>488</v>
      </c>
      <c r="D282" s="92" t="s">
        <v>489</v>
      </c>
      <c r="E282" s="92"/>
      <c r="F282" s="3" t="s">
        <v>56</v>
      </c>
      <c r="G282" s="28">
        <v>1</v>
      </c>
      <c r="H282" s="59">
        <v>0</v>
      </c>
    </row>
    <row r="283" spans="1:8" x14ac:dyDescent="0.25">
      <c r="A283" s="55"/>
      <c r="D283" s="56" t="s">
        <v>53</v>
      </c>
      <c r="E283" s="128" t="s">
        <v>50</v>
      </c>
      <c r="F283" s="128"/>
      <c r="G283" s="57">
        <v>1</v>
      </c>
      <c r="H283" s="58"/>
    </row>
    <row r="284" spans="1:8" x14ac:dyDescent="0.25">
      <c r="A284" s="2" t="s">
        <v>490</v>
      </c>
      <c r="B284" s="3" t="s">
        <v>50</v>
      </c>
      <c r="C284" s="3" t="s">
        <v>491</v>
      </c>
      <c r="D284" s="92" t="s">
        <v>492</v>
      </c>
      <c r="E284" s="92"/>
      <c r="F284" s="3" t="s">
        <v>56</v>
      </c>
      <c r="G284" s="28">
        <v>1</v>
      </c>
      <c r="H284" s="59">
        <v>0</v>
      </c>
    </row>
    <row r="285" spans="1:8" x14ac:dyDescent="0.25">
      <c r="A285" s="55"/>
      <c r="D285" s="56" t="s">
        <v>53</v>
      </c>
      <c r="E285" s="128" t="s">
        <v>914</v>
      </c>
      <c r="F285" s="128"/>
      <c r="G285" s="57">
        <v>1</v>
      </c>
      <c r="H285" s="58"/>
    </row>
    <row r="286" spans="1:8" x14ac:dyDescent="0.25">
      <c r="A286" s="2" t="s">
        <v>493</v>
      </c>
      <c r="B286" s="3" t="s">
        <v>50</v>
      </c>
      <c r="C286" s="3" t="s">
        <v>494</v>
      </c>
      <c r="D286" s="92" t="s">
        <v>495</v>
      </c>
      <c r="E286" s="92"/>
      <c r="F286" s="3" t="s">
        <v>56</v>
      </c>
      <c r="G286" s="28">
        <v>3</v>
      </c>
      <c r="H286" s="59">
        <v>0</v>
      </c>
    </row>
    <row r="287" spans="1:8" x14ac:dyDescent="0.25">
      <c r="A287" s="55"/>
      <c r="D287" s="56" t="s">
        <v>67</v>
      </c>
      <c r="E287" s="128" t="s">
        <v>914</v>
      </c>
      <c r="F287" s="128"/>
      <c r="G287" s="57">
        <v>3</v>
      </c>
      <c r="H287" s="58"/>
    </row>
    <row r="288" spans="1:8" x14ac:dyDescent="0.25">
      <c r="A288" s="2" t="s">
        <v>496</v>
      </c>
      <c r="B288" s="3" t="s">
        <v>50</v>
      </c>
      <c r="C288" s="3" t="s">
        <v>497</v>
      </c>
      <c r="D288" s="92" t="s">
        <v>498</v>
      </c>
      <c r="E288" s="92"/>
      <c r="F288" s="3" t="s">
        <v>87</v>
      </c>
      <c r="G288" s="28">
        <v>4.3699999999999998E-3</v>
      </c>
      <c r="H288" s="59">
        <v>0</v>
      </c>
    </row>
    <row r="289" spans="1:8" x14ac:dyDescent="0.25">
      <c r="A289" s="2" t="s">
        <v>501</v>
      </c>
      <c r="B289" s="3" t="s">
        <v>50</v>
      </c>
      <c r="C289" s="3" t="s">
        <v>502</v>
      </c>
      <c r="D289" s="92" t="s">
        <v>503</v>
      </c>
      <c r="E289" s="92"/>
      <c r="F289" s="3" t="s">
        <v>56</v>
      </c>
      <c r="G289" s="28">
        <v>1</v>
      </c>
      <c r="H289" s="59">
        <v>0</v>
      </c>
    </row>
    <row r="290" spans="1:8" x14ac:dyDescent="0.25">
      <c r="A290" s="55"/>
      <c r="D290" s="56" t="s">
        <v>53</v>
      </c>
      <c r="E290" s="128" t="s">
        <v>918</v>
      </c>
      <c r="F290" s="128"/>
      <c r="G290" s="57">
        <v>1</v>
      </c>
      <c r="H290" s="58"/>
    </row>
    <row r="291" spans="1:8" x14ac:dyDescent="0.25">
      <c r="A291" s="2" t="s">
        <v>505</v>
      </c>
      <c r="B291" s="3" t="s">
        <v>50</v>
      </c>
      <c r="C291" s="3" t="s">
        <v>506</v>
      </c>
      <c r="D291" s="92" t="s">
        <v>507</v>
      </c>
      <c r="E291" s="92"/>
      <c r="F291" s="3" t="s">
        <v>56</v>
      </c>
      <c r="G291" s="28">
        <v>2</v>
      </c>
      <c r="H291" s="59">
        <v>0</v>
      </c>
    </row>
    <row r="292" spans="1:8" x14ac:dyDescent="0.25">
      <c r="A292" s="55"/>
      <c r="D292" s="56" t="s">
        <v>61</v>
      </c>
      <c r="E292" s="128" t="s">
        <v>918</v>
      </c>
      <c r="F292" s="128"/>
      <c r="G292" s="57">
        <v>2</v>
      </c>
      <c r="H292" s="58"/>
    </row>
    <row r="293" spans="1:8" x14ac:dyDescent="0.25">
      <c r="A293" s="2" t="s">
        <v>508</v>
      </c>
      <c r="B293" s="3" t="s">
        <v>50</v>
      </c>
      <c r="C293" s="3" t="s">
        <v>509</v>
      </c>
      <c r="D293" s="92" t="s">
        <v>510</v>
      </c>
      <c r="E293" s="92"/>
      <c r="F293" s="3" t="s">
        <v>87</v>
      </c>
      <c r="G293" s="28">
        <v>4.2000000000000002E-4</v>
      </c>
      <c r="H293" s="59">
        <v>0</v>
      </c>
    </row>
    <row r="294" spans="1:8" x14ac:dyDescent="0.25">
      <c r="A294" s="2" t="s">
        <v>513</v>
      </c>
      <c r="B294" s="3" t="s">
        <v>50</v>
      </c>
      <c r="C294" s="3" t="s">
        <v>514</v>
      </c>
      <c r="D294" s="92" t="s">
        <v>515</v>
      </c>
      <c r="E294" s="92"/>
      <c r="F294" s="3" t="s">
        <v>64</v>
      </c>
      <c r="G294" s="28">
        <v>4.3</v>
      </c>
      <c r="H294" s="59">
        <v>0</v>
      </c>
    </row>
    <row r="295" spans="1:8" x14ac:dyDescent="0.25">
      <c r="A295" s="55"/>
      <c r="D295" s="56" t="s">
        <v>919</v>
      </c>
      <c r="E295" s="128" t="s">
        <v>920</v>
      </c>
      <c r="F295" s="128"/>
      <c r="G295" s="57">
        <v>4.3</v>
      </c>
      <c r="H295" s="58"/>
    </row>
    <row r="296" spans="1:8" x14ac:dyDescent="0.25">
      <c r="A296" s="2" t="s">
        <v>518</v>
      </c>
      <c r="B296" s="3" t="s">
        <v>50</v>
      </c>
      <c r="C296" s="3" t="s">
        <v>519</v>
      </c>
      <c r="D296" s="92" t="s">
        <v>520</v>
      </c>
      <c r="E296" s="92"/>
      <c r="F296" s="3" t="s">
        <v>64</v>
      </c>
      <c r="G296" s="28">
        <v>4.3</v>
      </c>
      <c r="H296" s="59">
        <v>0</v>
      </c>
    </row>
    <row r="297" spans="1:8" x14ac:dyDescent="0.25">
      <c r="A297" s="55"/>
      <c r="D297" s="56" t="s">
        <v>919</v>
      </c>
      <c r="E297" s="128" t="s">
        <v>920</v>
      </c>
      <c r="F297" s="128"/>
      <c r="G297" s="57">
        <v>4.3</v>
      </c>
      <c r="H297" s="58"/>
    </row>
    <row r="298" spans="1:8" x14ac:dyDescent="0.25">
      <c r="A298" s="2" t="s">
        <v>522</v>
      </c>
      <c r="B298" s="3" t="s">
        <v>50</v>
      </c>
      <c r="C298" s="3" t="s">
        <v>523</v>
      </c>
      <c r="D298" s="92" t="s">
        <v>524</v>
      </c>
      <c r="E298" s="92"/>
      <c r="F298" s="3" t="s">
        <v>87</v>
      </c>
      <c r="G298" s="28">
        <v>0.12152</v>
      </c>
      <c r="H298" s="59">
        <v>0</v>
      </c>
    </row>
    <row r="299" spans="1:8" x14ac:dyDescent="0.25">
      <c r="A299" s="2" t="s">
        <v>527</v>
      </c>
      <c r="B299" s="3" t="s">
        <v>50</v>
      </c>
      <c r="C299" s="3" t="s">
        <v>528</v>
      </c>
      <c r="D299" s="92" t="s">
        <v>529</v>
      </c>
      <c r="E299" s="92"/>
      <c r="F299" s="3" t="s">
        <v>56</v>
      </c>
      <c r="G299" s="28">
        <v>1</v>
      </c>
      <c r="H299" s="59">
        <v>0</v>
      </c>
    </row>
    <row r="300" spans="1:8" x14ac:dyDescent="0.25">
      <c r="A300" s="55"/>
      <c r="D300" s="56" t="s">
        <v>53</v>
      </c>
      <c r="E300" s="128" t="s">
        <v>921</v>
      </c>
      <c r="F300" s="128"/>
      <c r="G300" s="57">
        <v>1</v>
      </c>
      <c r="H300" s="58"/>
    </row>
    <row r="301" spans="1:8" x14ac:dyDescent="0.25">
      <c r="A301" s="2" t="s">
        <v>531</v>
      </c>
      <c r="B301" s="3" t="s">
        <v>50</v>
      </c>
      <c r="C301" s="3" t="s">
        <v>532</v>
      </c>
      <c r="D301" s="92" t="s">
        <v>533</v>
      </c>
      <c r="E301" s="92"/>
      <c r="F301" s="3" t="s">
        <v>56</v>
      </c>
      <c r="G301" s="28">
        <v>1</v>
      </c>
      <c r="H301" s="59">
        <v>0</v>
      </c>
    </row>
    <row r="302" spans="1:8" x14ac:dyDescent="0.25">
      <c r="A302" s="55"/>
      <c r="D302" s="56" t="s">
        <v>53</v>
      </c>
      <c r="E302" s="128" t="s">
        <v>922</v>
      </c>
      <c r="F302" s="128"/>
      <c r="G302" s="57">
        <v>1</v>
      </c>
      <c r="H302" s="58"/>
    </row>
    <row r="303" spans="1:8" x14ac:dyDescent="0.25">
      <c r="A303" s="2" t="s">
        <v>535</v>
      </c>
      <c r="B303" s="3" t="s">
        <v>50</v>
      </c>
      <c r="C303" s="3" t="s">
        <v>536</v>
      </c>
      <c r="D303" s="92" t="s">
        <v>537</v>
      </c>
      <c r="E303" s="92"/>
      <c r="F303" s="3" t="s">
        <v>56</v>
      </c>
      <c r="G303" s="28">
        <v>1</v>
      </c>
      <c r="H303" s="59">
        <v>0</v>
      </c>
    </row>
    <row r="304" spans="1:8" x14ac:dyDescent="0.25">
      <c r="A304" s="55"/>
      <c r="D304" s="56" t="s">
        <v>53</v>
      </c>
      <c r="E304" s="128" t="s">
        <v>923</v>
      </c>
      <c r="F304" s="128"/>
      <c r="G304" s="57">
        <v>1</v>
      </c>
      <c r="H304" s="58"/>
    </row>
    <row r="305" spans="1:8" x14ac:dyDescent="0.25">
      <c r="A305" s="2" t="s">
        <v>538</v>
      </c>
      <c r="B305" s="3" t="s">
        <v>50</v>
      </c>
      <c r="C305" s="3" t="s">
        <v>539</v>
      </c>
      <c r="D305" s="92" t="s">
        <v>540</v>
      </c>
      <c r="E305" s="92"/>
      <c r="F305" s="3" t="s">
        <v>56</v>
      </c>
      <c r="G305" s="28">
        <v>4</v>
      </c>
      <c r="H305" s="59">
        <v>0</v>
      </c>
    </row>
    <row r="306" spans="1:8" x14ac:dyDescent="0.25">
      <c r="A306" s="55"/>
      <c r="D306" s="56" t="s">
        <v>71</v>
      </c>
      <c r="E306" s="128" t="s">
        <v>50</v>
      </c>
      <c r="F306" s="128"/>
      <c r="G306" s="57">
        <v>4</v>
      </c>
      <c r="H306" s="58"/>
    </row>
    <row r="307" spans="1:8" x14ac:dyDescent="0.25">
      <c r="A307" s="2" t="s">
        <v>541</v>
      </c>
      <c r="B307" s="3" t="s">
        <v>50</v>
      </c>
      <c r="C307" s="3" t="s">
        <v>542</v>
      </c>
      <c r="D307" s="92" t="s">
        <v>543</v>
      </c>
      <c r="E307" s="92"/>
      <c r="F307" s="3" t="s">
        <v>56</v>
      </c>
      <c r="G307" s="28">
        <v>4</v>
      </c>
      <c r="H307" s="59">
        <v>0</v>
      </c>
    </row>
    <row r="308" spans="1:8" x14ac:dyDescent="0.25">
      <c r="A308" s="55"/>
      <c r="D308" s="56" t="s">
        <v>71</v>
      </c>
      <c r="E308" s="128" t="s">
        <v>50</v>
      </c>
      <c r="F308" s="128"/>
      <c r="G308" s="57">
        <v>4</v>
      </c>
      <c r="H308" s="58"/>
    </row>
    <row r="309" spans="1:8" x14ac:dyDescent="0.25">
      <c r="A309" s="2" t="s">
        <v>544</v>
      </c>
      <c r="B309" s="3" t="s">
        <v>50</v>
      </c>
      <c r="C309" s="3" t="s">
        <v>545</v>
      </c>
      <c r="D309" s="92" t="s">
        <v>546</v>
      </c>
      <c r="E309" s="92"/>
      <c r="F309" s="3" t="s">
        <v>87</v>
      </c>
      <c r="G309" s="28">
        <v>0.28955999999999998</v>
      </c>
      <c r="H309" s="59">
        <v>0</v>
      </c>
    </row>
    <row r="310" spans="1:8" x14ac:dyDescent="0.25">
      <c r="A310" s="2" t="s">
        <v>549</v>
      </c>
      <c r="B310" s="3" t="s">
        <v>50</v>
      </c>
      <c r="C310" s="3" t="s">
        <v>550</v>
      </c>
      <c r="D310" s="92" t="s">
        <v>551</v>
      </c>
      <c r="E310" s="92"/>
      <c r="F310" s="3" t="s">
        <v>64</v>
      </c>
      <c r="G310" s="28">
        <v>3.99</v>
      </c>
      <c r="H310" s="59">
        <v>0</v>
      </c>
    </row>
    <row r="311" spans="1:8" x14ac:dyDescent="0.25">
      <c r="A311" s="55"/>
      <c r="D311" s="56" t="s">
        <v>924</v>
      </c>
      <c r="E311" s="128" t="s">
        <v>925</v>
      </c>
      <c r="F311" s="128"/>
      <c r="G311" s="57">
        <v>3.99</v>
      </c>
      <c r="H311" s="58"/>
    </row>
    <row r="312" spans="1:8" x14ac:dyDescent="0.25">
      <c r="A312" s="2" t="s">
        <v>554</v>
      </c>
      <c r="B312" s="3" t="s">
        <v>50</v>
      </c>
      <c r="C312" s="3" t="s">
        <v>555</v>
      </c>
      <c r="D312" s="92" t="s">
        <v>556</v>
      </c>
      <c r="E312" s="92"/>
      <c r="F312" s="3" t="s">
        <v>557</v>
      </c>
      <c r="G312" s="28">
        <v>0.59850000000000003</v>
      </c>
      <c r="H312" s="59">
        <v>0</v>
      </c>
    </row>
    <row r="313" spans="1:8" x14ac:dyDescent="0.25">
      <c r="A313" s="55"/>
      <c r="D313" s="56" t="s">
        <v>926</v>
      </c>
      <c r="E313" s="128" t="s">
        <v>843</v>
      </c>
      <c r="F313" s="128"/>
      <c r="G313" s="57">
        <v>0.59850000000000003</v>
      </c>
      <c r="H313" s="58"/>
    </row>
    <row r="314" spans="1:8" x14ac:dyDescent="0.25">
      <c r="A314" s="2" t="s">
        <v>558</v>
      </c>
      <c r="B314" s="3" t="s">
        <v>50</v>
      </c>
      <c r="C314" s="3" t="s">
        <v>85</v>
      </c>
      <c r="D314" s="92" t="s">
        <v>86</v>
      </c>
      <c r="E314" s="92"/>
      <c r="F314" s="3" t="s">
        <v>87</v>
      </c>
      <c r="G314" s="28">
        <v>1.57605</v>
      </c>
      <c r="H314" s="59">
        <v>0</v>
      </c>
    </row>
    <row r="315" spans="1:8" x14ac:dyDescent="0.25">
      <c r="A315" s="2" t="s">
        <v>559</v>
      </c>
      <c r="B315" s="3" t="s">
        <v>50</v>
      </c>
      <c r="C315" s="3" t="s">
        <v>89</v>
      </c>
      <c r="D315" s="92" t="s">
        <v>90</v>
      </c>
      <c r="E315" s="92"/>
      <c r="F315" s="3" t="s">
        <v>87</v>
      </c>
      <c r="G315" s="28">
        <v>1.57605</v>
      </c>
      <c r="H315" s="59">
        <v>0</v>
      </c>
    </row>
    <row r="316" spans="1:8" x14ac:dyDescent="0.25">
      <c r="A316" s="2" t="s">
        <v>560</v>
      </c>
      <c r="B316" s="3" t="s">
        <v>50</v>
      </c>
      <c r="C316" s="3" t="s">
        <v>117</v>
      </c>
      <c r="D316" s="92" t="s">
        <v>118</v>
      </c>
      <c r="E316" s="92"/>
      <c r="F316" s="3" t="s">
        <v>87</v>
      </c>
      <c r="G316" s="28">
        <v>1.57605</v>
      </c>
      <c r="H316" s="59">
        <v>0</v>
      </c>
    </row>
    <row r="317" spans="1:8" x14ac:dyDescent="0.25">
      <c r="A317" s="55"/>
      <c r="D317" s="56" t="s">
        <v>927</v>
      </c>
      <c r="E317" s="128" t="s">
        <v>50</v>
      </c>
      <c r="F317" s="128"/>
      <c r="G317" s="57">
        <v>1.57605</v>
      </c>
      <c r="H317" s="58"/>
    </row>
    <row r="318" spans="1:8" x14ac:dyDescent="0.25">
      <c r="A318" s="2" t="s">
        <v>561</v>
      </c>
      <c r="B318" s="3" t="s">
        <v>50</v>
      </c>
      <c r="C318" s="3" t="s">
        <v>562</v>
      </c>
      <c r="D318" s="92" t="s">
        <v>563</v>
      </c>
      <c r="E318" s="92"/>
      <c r="F318" s="3" t="s">
        <v>64</v>
      </c>
      <c r="G318" s="28">
        <v>47.57</v>
      </c>
      <c r="H318" s="59">
        <v>0</v>
      </c>
    </row>
    <row r="319" spans="1:8" x14ac:dyDescent="0.25">
      <c r="A319" s="55"/>
      <c r="D319" s="56" t="s">
        <v>928</v>
      </c>
      <c r="E319" s="128" t="s">
        <v>929</v>
      </c>
      <c r="F319" s="128"/>
      <c r="G319" s="57">
        <v>47.57</v>
      </c>
      <c r="H319" s="58"/>
    </row>
    <row r="320" spans="1:8" x14ac:dyDescent="0.25">
      <c r="A320" s="2" t="s">
        <v>565</v>
      </c>
      <c r="B320" s="3" t="s">
        <v>50</v>
      </c>
      <c r="C320" s="3" t="s">
        <v>566</v>
      </c>
      <c r="D320" s="92" t="s">
        <v>567</v>
      </c>
      <c r="E320" s="92"/>
      <c r="F320" s="3" t="s">
        <v>557</v>
      </c>
      <c r="G320" s="28">
        <v>2.8542000000000001</v>
      </c>
      <c r="H320" s="59">
        <v>0</v>
      </c>
    </row>
    <row r="321" spans="1:8" x14ac:dyDescent="0.25">
      <c r="A321" s="55"/>
      <c r="D321" s="56" t="s">
        <v>930</v>
      </c>
      <c r="E321" s="128" t="s">
        <v>929</v>
      </c>
      <c r="F321" s="128"/>
      <c r="G321" s="57">
        <v>2.8542000000000001</v>
      </c>
      <c r="H321" s="58"/>
    </row>
    <row r="322" spans="1:8" x14ac:dyDescent="0.25">
      <c r="A322" s="2" t="s">
        <v>568</v>
      </c>
      <c r="B322" s="3" t="s">
        <v>50</v>
      </c>
      <c r="C322" s="3" t="s">
        <v>569</v>
      </c>
      <c r="D322" s="92" t="s">
        <v>570</v>
      </c>
      <c r="E322" s="92"/>
      <c r="F322" s="3" t="s">
        <v>64</v>
      </c>
      <c r="G322" s="28">
        <v>47.57</v>
      </c>
      <c r="H322" s="59">
        <v>0</v>
      </c>
    </row>
    <row r="323" spans="1:8" x14ac:dyDescent="0.25">
      <c r="A323" s="55"/>
      <c r="D323" s="56" t="s">
        <v>928</v>
      </c>
      <c r="E323" s="128" t="s">
        <v>931</v>
      </c>
      <c r="F323" s="128"/>
      <c r="G323" s="57">
        <v>47.57</v>
      </c>
      <c r="H323" s="58"/>
    </row>
    <row r="324" spans="1:8" x14ac:dyDescent="0.25">
      <c r="A324" s="2" t="s">
        <v>571</v>
      </c>
      <c r="B324" s="3" t="s">
        <v>50</v>
      </c>
      <c r="C324" s="3" t="s">
        <v>572</v>
      </c>
      <c r="D324" s="92" t="s">
        <v>573</v>
      </c>
      <c r="E324" s="92"/>
      <c r="F324" s="3" t="s">
        <v>64</v>
      </c>
      <c r="G324" s="28">
        <v>52.326999999999998</v>
      </c>
      <c r="H324" s="59">
        <v>0</v>
      </c>
    </row>
    <row r="325" spans="1:8" x14ac:dyDescent="0.25">
      <c r="A325" s="55"/>
      <c r="D325" s="56" t="s">
        <v>928</v>
      </c>
      <c r="E325" s="128" t="s">
        <v>932</v>
      </c>
      <c r="F325" s="128"/>
      <c r="G325" s="57">
        <v>47.57</v>
      </c>
      <c r="H325" s="58"/>
    </row>
    <row r="326" spans="1:8" x14ac:dyDescent="0.25">
      <c r="A326" s="2" t="s">
        <v>50</v>
      </c>
      <c r="B326" s="3" t="s">
        <v>50</v>
      </c>
      <c r="C326" s="3" t="s">
        <v>50</v>
      </c>
      <c r="D326" s="56" t="s">
        <v>933</v>
      </c>
      <c r="E326" s="128" t="s">
        <v>50</v>
      </c>
      <c r="F326" s="128"/>
      <c r="G326" s="57">
        <v>4.7569999999999997</v>
      </c>
      <c r="H326" s="60" t="s">
        <v>50</v>
      </c>
    </row>
    <row r="327" spans="1:8" x14ac:dyDescent="0.25">
      <c r="A327" s="2" t="s">
        <v>574</v>
      </c>
      <c r="B327" s="3" t="s">
        <v>50</v>
      </c>
      <c r="C327" s="3" t="s">
        <v>575</v>
      </c>
      <c r="D327" s="92" t="s">
        <v>576</v>
      </c>
      <c r="E327" s="92"/>
      <c r="F327" s="3" t="s">
        <v>64</v>
      </c>
      <c r="G327" s="28">
        <v>47.57</v>
      </c>
      <c r="H327" s="59">
        <v>0</v>
      </c>
    </row>
    <row r="328" spans="1:8" x14ac:dyDescent="0.25">
      <c r="A328" s="55"/>
      <c r="D328" s="56" t="s">
        <v>928</v>
      </c>
      <c r="E328" s="128" t="s">
        <v>932</v>
      </c>
      <c r="F328" s="128"/>
      <c r="G328" s="57">
        <v>47.57</v>
      </c>
      <c r="H328" s="58"/>
    </row>
    <row r="329" spans="1:8" x14ac:dyDescent="0.25">
      <c r="A329" s="2" t="s">
        <v>578</v>
      </c>
      <c r="B329" s="3" t="s">
        <v>50</v>
      </c>
      <c r="C329" s="3" t="s">
        <v>579</v>
      </c>
      <c r="D329" s="92" t="s">
        <v>580</v>
      </c>
      <c r="E329" s="92"/>
      <c r="F329" s="3" t="s">
        <v>64</v>
      </c>
      <c r="G329" s="28">
        <v>52.326999999999998</v>
      </c>
      <c r="H329" s="59">
        <v>0</v>
      </c>
    </row>
    <row r="330" spans="1:8" x14ac:dyDescent="0.25">
      <c r="A330" s="55"/>
      <c r="D330" s="56" t="s">
        <v>928</v>
      </c>
      <c r="E330" s="128" t="s">
        <v>932</v>
      </c>
      <c r="F330" s="128"/>
      <c r="G330" s="57">
        <v>47.57</v>
      </c>
      <c r="H330" s="58"/>
    </row>
    <row r="331" spans="1:8" x14ac:dyDescent="0.25">
      <c r="A331" s="2" t="s">
        <v>50</v>
      </c>
      <c r="B331" s="3" t="s">
        <v>50</v>
      </c>
      <c r="C331" s="3" t="s">
        <v>50</v>
      </c>
      <c r="D331" s="56" t="s">
        <v>933</v>
      </c>
      <c r="E331" s="128" t="s">
        <v>50</v>
      </c>
      <c r="F331" s="128"/>
      <c r="G331" s="57">
        <v>4.7569999999999997</v>
      </c>
      <c r="H331" s="60" t="s">
        <v>50</v>
      </c>
    </row>
    <row r="332" spans="1:8" x14ac:dyDescent="0.25">
      <c r="A332" s="2" t="s">
        <v>581</v>
      </c>
      <c r="B332" s="3" t="s">
        <v>50</v>
      </c>
      <c r="C332" s="3" t="s">
        <v>582</v>
      </c>
      <c r="D332" s="92" t="s">
        <v>583</v>
      </c>
      <c r="E332" s="92"/>
      <c r="F332" s="3" t="s">
        <v>64</v>
      </c>
      <c r="G332" s="28">
        <v>43.58</v>
      </c>
      <c r="H332" s="59">
        <v>0</v>
      </c>
    </row>
    <row r="333" spans="1:8" x14ac:dyDescent="0.25">
      <c r="A333" s="55"/>
      <c r="D333" s="56" t="s">
        <v>934</v>
      </c>
      <c r="E333" s="128" t="s">
        <v>935</v>
      </c>
      <c r="F333" s="128"/>
      <c r="G333" s="57">
        <v>43.58</v>
      </c>
      <c r="H333" s="58"/>
    </row>
    <row r="334" spans="1:8" x14ac:dyDescent="0.25">
      <c r="A334" s="2" t="s">
        <v>584</v>
      </c>
      <c r="B334" s="3" t="s">
        <v>50</v>
      </c>
      <c r="C334" s="3" t="s">
        <v>585</v>
      </c>
      <c r="D334" s="92" t="s">
        <v>586</v>
      </c>
      <c r="E334" s="92"/>
      <c r="F334" s="3" t="s">
        <v>64</v>
      </c>
      <c r="G334" s="28">
        <v>3.99</v>
      </c>
      <c r="H334" s="59">
        <v>0</v>
      </c>
    </row>
    <row r="335" spans="1:8" x14ac:dyDescent="0.25">
      <c r="A335" s="55"/>
      <c r="D335" s="56" t="s">
        <v>924</v>
      </c>
      <c r="E335" s="128" t="s">
        <v>843</v>
      </c>
      <c r="F335" s="128"/>
      <c r="G335" s="57">
        <v>3.99</v>
      </c>
      <c r="H335" s="58"/>
    </row>
    <row r="336" spans="1:8" x14ac:dyDescent="0.25">
      <c r="A336" s="2" t="s">
        <v>587</v>
      </c>
      <c r="B336" s="3" t="s">
        <v>50</v>
      </c>
      <c r="C336" s="3" t="s">
        <v>588</v>
      </c>
      <c r="D336" s="92" t="s">
        <v>589</v>
      </c>
      <c r="E336" s="92"/>
      <c r="F336" s="3" t="s">
        <v>64</v>
      </c>
      <c r="G336" s="28">
        <v>10.46</v>
      </c>
      <c r="H336" s="59">
        <v>0</v>
      </c>
    </row>
    <row r="337" spans="1:8" x14ac:dyDescent="0.25">
      <c r="A337" s="55"/>
      <c r="D337" s="56" t="s">
        <v>936</v>
      </c>
      <c r="E337" s="128" t="s">
        <v>937</v>
      </c>
      <c r="F337" s="128"/>
      <c r="G337" s="57">
        <v>10.46</v>
      </c>
      <c r="H337" s="58"/>
    </row>
    <row r="338" spans="1:8" x14ac:dyDescent="0.25">
      <c r="A338" s="2" t="s">
        <v>590</v>
      </c>
      <c r="B338" s="3" t="s">
        <v>50</v>
      </c>
      <c r="C338" s="3" t="s">
        <v>591</v>
      </c>
      <c r="D338" s="92" t="s">
        <v>592</v>
      </c>
      <c r="E338" s="92"/>
      <c r="F338" s="3" t="s">
        <v>64</v>
      </c>
      <c r="G338" s="28">
        <v>3.99</v>
      </c>
      <c r="H338" s="59">
        <v>0</v>
      </c>
    </row>
    <row r="339" spans="1:8" x14ac:dyDescent="0.25">
      <c r="A339" s="55"/>
      <c r="D339" s="56" t="s">
        <v>924</v>
      </c>
      <c r="E339" s="128" t="s">
        <v>843</v>
      </c>
      <c r="F339" s="128"/>
      <c r="G339" s="57">
        <v>3.99</v>
      </c>
      <c r="H339" s="58"/>
    </row>
    <row r="340" spans="1:8" x14ac:dyDescent="0.25">
      <c r="A340" s="2" t="s">
        <v>593</v>
      </c>
      <c r="B340" s="3" t="s">
        <v>50</v>
      </c>
      <c r="C340" s="3" t="s">
        <v>594</v>
      </c>
      <c r="D340" s="92" t="s">
        <v>595</v>
      </c>
      <c r="E340" s="92"/>
      <c r="F340" s="3" t="s">
        <v>77</v>
      </c>
      <c r="G340" s="28">
        <v>9.52</v>
      </c>
      <c r="H340" s="59">
        <v>0</v>
      </c>
    </row>
    <row r="341" spans="1:8" x14ac:dyDescent="0.25">
      <c r="A341" s="55"/>
      <c r="D341" s="56" t="s">
        <v>938</v>
      </c>
      <c r="E341" s="128" t="s">
        <v>843</v>
      </c>
      <c r="F341" s="128"/>
      <c r="G341" s="57">
        <v>9.52</v>
      </c>
      <c r="H341" s="58"/>
    </row>
    <row r="342" spans="1:8" x14ac:dyDescent="0.25">
      <c r="A342" s="2" t="s">
        <v>596</v>
      </c>
      <c r="B342" s="3" t="s">
        <v>50</v>
      </c>
      <c r="C342" s="3" t="s">
        <v>597</v>
      </c>
      <c r="D342" s="92" t="s">
        <v>598</v>
      </c>
      <c r="E342" s="92"/>
      <c r="F342" s="3" t="s">
        <v>56</v>
      </c>
      <c r="G342" s="28">
        <v>2</v>
      </c>
      <c r="H342" s="59">
        <v>0</v>
      </c>
    </row>
    <row r="343" spans="1:8" x14ac:dyDescent="0.25">
      <c r="A343" s="55"/>
      <c r="D343" s="56" t="s">
        <v>61</v>
      </c>
      <c r="E343" s="128" t="s">
        <v>843</v>
      </c>
      <c r="F343" s="128"/>
      <c r="G343" s="57">
        <v>2</v>
      </c>
      <c r="H343" s="58"/>
    </row>
    <row r="344" spans="1:8" x14ac:dyDescent="0.25">
      <c r="A344" s="2" t="s">
        <v>599</v>
      </c>
      <c r="B344" s="3" t="s">
        <v>50</v>
      </c>
      <c r="C344" s="3" t="s">
        <v>600</v>
      </c>
      <c r="D344" s="92" t="s">
        <v>601</v>
      </c>
      <c r="E344" s="92"/>
      <c r="F344" s="3" t="s">
        <v>64</v>
      </c>
      <c r="G344" s="28">
        <v>10.46</v>
      </c>
      <c r="H344" s="59">
        <v>0</v>
      </c>
    </row>
    <row r="345" spans="1:8" x14ac:dyDescent="0.25">
      <c r="A345" s="55"/>
      <c r="D345" s="56" t="s">
        <v>936</v>
      </c>
      <c r="E345" s="128" t="s">
        <v>937</v>
      </c>
      <c r="F345" s="128"/>
      <c r="G345" s="57">
        <v>10.46</v>
      </c>
      <c r="H345" s="58"/>
    </row>
    <row r="346" spans="1:8" x14ac:dyDescent="0.25">
      <c r="A346" s="2" t="s">
        <v>602</v>
      </c>
      <c r="B346" s="3" t="s">
        <v>50</v>
      </c>
      <c r="C346" s="3" t="s">
        <v>603</v>
      </c>
      <c r="D346" s="92" t="s">
        <v>604</v>
      </c>
      <c r="E346" s="92"/>
      <c r="F346" s="3" t="s">
        <v>77</v>
      </c>
      <c r="G346" s="28">
        <v>8.16</v>
      </c>
      <c r="H346" s="59">
        <v>0</v>
      </c>
    </row>
    <row r="347" spans="1:8" x14ac:dyDescent="0.25">
      <c r="A347" s="55"/>
      <c r="D347" s="56" t="s">
        <v>939</v>
      </c>
      <c r="E347" s="128" t="s">
        <v>940</v>
      </c>
      <c r="F347" s="128"/>
      <c r="G347" s="57">
        <v>8.16</v>
      </c>
      <c r="H347" s="58"/>
    </row>
    <row r="348" spans="1:8" x14ac:dyDescent="0.25">
      <c r="A348" s="2" t="s">
        <v>605</v>
      </c>
      <c r="B348" s="3" t="s">
        <v>50</v>
      </c>
      <c r="C348" s="3" t="s">
        <v>606</v>
      </c>
      <c r="D348" s="92" t="s">
        <v>607</v>
      </c>
      <c r="E348" s="92"/>
      <c r="F348" s="3" t="s">
        <v>87</v>
      </c>
      <c r="G348" s="28">
        <v>4.52271</v>
      </c>
      <c r="H348" s="59">
        <v>0</v>
      </c>
    </row>
    <row r="349" spans="1:8" x14ac:dyDescent="0.25">
      <c r="A349" s="2" t="s">
        <v>610</v>
      </c>
      <c r="B349" s="3" t="s">
        <v>50</v>
      </c>
      <c r="C349" s="3" t="s">
        <v>611</v>
      </c>
      <c r="D349" s="92" t="s">
        <v>612</v>
      </c>
      <c r="E349" s="92"/>
      <c r="F349" s="3" t="s">
        <v>64</v>
      </c>
      <c r="G349" s="28">
        <v>42.47</v>
      </c>
      <c r="H349" s="59">
        <v>0</v>
      </c>
    </row>
    <row r="350" spans="1:8" x14ac:dyDescent="0.25">
      <c r="A350" s="55"/>
      <c r="D350" s="56" t="s">
        <v>941</v>
      </c>
      <c r="E350" s="128" t="s">
        <v>935</v>
      </c>
      <c r="F350" s="128"/>
      <c r="G350" s="57">
        <v>42.47</v>
      </c>
      <c r="H350" s="58"/>
    </row>
    <row r="351" spans="1:8" x14ac:dyDescent="0.25">
      <c r="A351" s="2" t="s">
        <v>614</v>
      </c>
      <c r="B351" s="3" t="s">
        <v>50</v>
      </c>
      <c r="C351" s="3" t="s">
        <v>615</v>
      </c>
      <c r="D351" s="92" t="s">
        <v>616</v>
      </c>
      <c r="E351" s="92"/>
      <c r="F351" s="3" t="s">
        <v>64</v>
      </c>
      <c r="G351" s="28">
        <v>42.47</v>
      </c>
      <c r="H351" s="59">
        <v>0</v>
      </c>
    </row>
    <row r="352" spans="1:8" x14ac:dyDescent="0.25">
      <c r="A352" s="55"/>
      <c r="D352" s="56" t="s">
        <v>941</v>
      </c>
      <c r="E352" s="128" t="s">
        <v>935</v>
      </c>
      <c r="F352" s="128"/>
      <c r="G352" s="57">
        <v>42.47</v>
      </c>
      <c r="H352" s="58"/>
    </row>
    <row r="353" spans="1:8" x14ac:dyDescent="0.25">
      <c r="A353" s="2" t="s">
        <v>618</v>
      </c>
      <c r="B353" s="3" t="s">
        <v>50</v>
      </c>
      <c r="C353" s="3" t="s">
        <v>619</v>
      </c>
      <c r="D353" s="92" t="s">
        <v>620</v>
      </c>
      <c r="E353" s="92"/>
      <c r="F353" s="3" t="s">
        <v>64</v>
      </c>
      <c r="G353" s="28">
        <v>42.47</v>
      </c>
      <c r="H353" s="59">
        <v>0</v>
      </c>
    </row>
    <row r="354" spans="1:8" x14ac:dyDescent="0.25">
      <c r="A354" s="55"/>
      <c r="D354" s="56" t="s">
        <v>941</v>
      </c>
      <c r="E354" s="128" t="s">
        <v>935</v>
      </c>
      <c r="F354" s="128"/>
      <c r="G354" s="57">
        <v>42.47</v>
      </c>
      <c r="H354" s="58"/>
    </row>
    <row r="355" spans="1:8" x14ac:dyDescent="0.25">
      <c r="A355" s="2" t="s">
        <v>621</v>
      </c>
      <c r="B355" s="3" t="s">
        <v>50</v>
      </c>
      <c r="C355" s="3" t="s">
        <v>89</v>
      </c>
      <c r="D355" s="92" t="s">
        <v>90</v>
      </c>
      <c r="E355" s="92"/>
      <c r="F355" s="3" t="s">
        <v>87</v>
      </c>
      <c r="G355" s="28">
        <v>8.6171600000000002</v>
      </c>
      <c r="H355" s="59">
        <v>0</v>
      </c>
    </row>
    <row r="356" spans="1:8" x14ac:dyDescent="0.25">
      <c r="A356" s="2" t="s">
        <v>622</v>
      </c>
      <c r="B356" s="3" t="s">
        <v>50</v>
      </c>
      <c r="C356" s="3" t="s">
        <v>623</v>
      </c>
      <c r="D356" s="92" t="s">
        <v>624</v>
      </c>
      <c r="E356" s="92"/>
      <c r="F356" s="3" t="s">
        <v>87</v>
      </c>
      <c r="G356" s="28">
        <v>6.6890299999999998</v>
      </c>
      <c r="H356" s="59">
        <v>0</v>
      </c>
    </row>
    <row r="357" spans="1:8" x14ac:dyDescent="0.25">
      <c r="A357" s="2" t="s">
        <v>625</v>
      </c>
      <c r="B357" s="3" t="s">
        <v>50</v>
      </c>
      <c r="C357" s="3" t="s">
        <v>626</v>
      </c>
      <c r="D357" s="92" t="s">
        <v>627</v>
      </c>
      <c r="E357" s="92"/>
      <c r="F357" s="3" t="s">
        <v>64</v>
      </c>
      <c r="G357" s="28">
        <v>36.57</v>
      </c>
      <c r="H357" s="59">
        <v>0</v>
      </c>
    </row>
    <row r="358" spans="1:8" x14ac:dyDescent="0.25">
      <c r="A358" s="55"/>
      <c r="D358" s="56" t="s">
        <v>942</v>
      </c>
      <c r="E358" s="128" t="s">
        <v>943</v>
      </c>
      <c r="F358" s="128"/>
      <c r="G358" s="57">
        <v>36.57</v>
      </c>
      <c r="H358" s="58"/>
    </row>
    <row r="359" spans="1:8" x14ac:dyDescent="0.25">
      <c r="A359" s="2" t="s">
        <v>629</v>
      </c>
      <c r="B359" s="3" t="s">
        <v>50</v>
      </c>
      <c r="C359" s="3" t="s">
        <v>630</v>
      </c>
      <c r="D359" s="92" t="s">
        <v>631</v>
      </c>
      <c r="E359" s="92"/>
      <c r="F359" s="3" t="s">
        <v>77</v>
      </c>
      <c r="G359" s="28">
        <v>34.838999999999999</v>
      </c>
      <c r="H359" s="59">
        <v>0</v>
      </c>
    </row>
    <row r="360" spans="1:8" x14ac:dyDescent="0.25">
      <c r="A360" s="55"/>
      <c r="D360" s="56" t="s">
        <v>944</v>
      </c>
      <c r="E360" s="128" t="s">
        <v>945</v>
      </c>
      <c r="F360" s="128"/>
      <c r="G360" s="57">
        <v>33.18</v>
      </c>
      <c r="H360" s="58"/>
    </row>
    <row r="361" spans="1:8" x14ac:dyDescent="0.25">
      <c r="A361" s="2" t="s">
        <v>50</v>
      </c>
      <c r="B361" s="3" t="s">
        <v>50</v>
      </c>
      <c r="C361" s="3" t="s">
        <v>50</v>
      </c>
      <c r="D361" s="56" t="s">
        <v>946</v>
      </c>
      <c r="E361" s="128" t="s">
        <v>50</v>
      </c>
      <c r="F361" s="128"/>
      <c r="G361" s="57">
        <v>1.659</v>
      </c>
      <c r="H361" s="60" t="s">
        <v>50</v>
      </c>
    </row>
    <row r="362" spans="1:8" x14ac:dyDescent="0.25">
      <c r="A362" s="2" t="s">
        <v>632</v>
      </c>
      <c r="B362" s="3" t="s">
        <v>50</v>
      </c>
      <c r="C362" s="3" t="s">
        <v>633</v>
      </c>
      <c r="D362" s="92" t="s">
        <v>634</v>
      </c>
      <c r="E362" s="92"/>
      <c r="F362" s="3" t="s">
        <v>77</v>
      </c>
      <c r="G362" s="28">
        <v>33.18</v>
      </c>
      <c r="H362" s="59">
        <v>0</v>
      </c>
    </row>
    <row r="363" spans="1:8" x14ac:dyDescent="0.25">
      <c r="A363" s="55"/>
      <c r="D363" s="56" t="s">
        <v>944</v>
      </c>
      <c r="E363" s="128" t="s">
        <v>945</v>
      </c>
      <c r="F363" s="128"/>
      <c r="G363" s="57">
        <v>33.18</v>
      </c>
      <c r="H363" s="58"/>
    </row>
    <row r="364" spans="1:8" x14ac:dyDescent="0.25">
      <c r="A364" s="2" t="s">
        <v>635</v>
      </c>
      <c r="B364" s="3" t="s">
        <v>50</v>
      </c>
      <c r="C364" s="3" t="s">
        <v>636</v>
      </c>
      <c r="D364" s="92" t="s">
        <v>637</v>
      </c>
      <c r="E364" s="92"/>
      <c r="F364" s="3" t="s">
        <v>87</v>
      </c>
      <c r="G364" s="28">
        <v>8.6171600000000002</v>
      </c>
      <c r="H364" s="59">
        <v>0</v>
      </c>
    </row>
    <row r="365" spans="1:8" x14ac:dyDescent="0.25">
      <c r="A365" s="2" t="s">
        <v>640</v>
      </c>
      <c r="B365" s="3" t="s">
        <v>50</v>
      </c>
      <c r="C365" s="3" t="s">
        <v>641</v>
      </c>
      <c r="D365" s="92" t="s">
        <v>642</v>
      </c>
      <c r="E365" s="92"/>
      <c r="F365" s="3" t="s">
        <v>64</v>
      </c>
      <c r="G365" s="28">
        <v>20.399999999999999</v>
      </c>
      <c r="H365" s="59">
        <v>0</v>
      </c>
    </row>
    <row r="366" spans="1:8" x14ac:dyDescent="0.25">
      <c r="A366" s="55"/>
      <c r="D366" s="56" t="s">
        <v>947</v>
      </c>
      <c r="E366" s="128" t="s">
        <v>948</v>
      </c>
      <c r="F366" s="128"/>
      <c r="G366" s="57">
        <v>11.6</v>
      </c>
      <c r="H366" s="58"/>
    </row>
    <row r="367" spans="1:8" x14ac:dyDescent="0.25">
      <c r="A367" s="2" t="s">
        <v>50</v>
      </c>
      <c r="B367" s="3" t="s">
        <v>50</v>
      </c>
      <c r="C367" s="3" t="s">
        <v>50</v>
      </c>
      <c r="D367" s="56" t="s">
        <v>949</v>
      </c>
      <c r="E367" s="128" t="s">
        <v>950</v>
      </c>
      <c r="F367" s="128"/>
      <c r="G367" s="57">
        <v>8.8000000000000007</v>
      </c>
      <c r="H367" s="60" t="s">
        <v>50</v>
      </c>
    </row>
    <row r="368" spans="1:8" x14ac:dyDescent="0.25">
      <c r="A368" s="2" t="s">
        <v>646</v>
      </c>
      <c r="B368" s="3" t="s">
        <v>50</v>
      </c>
      <c r="C368" s="3" t="s">
        <v>647</v>
      </c>
      <c r="D368" s="92" t="s">
        <v>648</v>
      </c>
      <c r="E368" s="92"/>
      <c r="F368" s="3" t="s">
        <v>64</v>
      </c>
      <c r="G368" s="28">
        <v>20.399999999999999</v>
      </c>
      <c r="H368" s="59">
        <v>0</v>
      </c>
    </row>
    <row r="369" spans="1:8" x14ac:dyDescent="0.25">
      <c r="A369" s="55"/>
      <c r="D369" s="56" t="s">
        <v>947</v>
      </c>
      <c r="E369" s="128" t="s">
        <v>948</v>
      </c>
      <c r="F369" s="128"/>
      <c r="G369" s="57">
        <v>11.6</v>
      </c>
      <c r="H369" s="58"/>
    </row>
    <row r="370" spans="1:8" x14ac:dyDescent="0.25">
      <c r="A370" s="2" t="s">
        <v>50</v>
      </c>
      <c r="B370" s="3" t="s">
        <v>50</v>
      </c>
      <c r="C370" s="3" t="s">
        <v>50</v>
      </c>
      <c r="D370" s="56" t="s">
        <v>949</v>
      </c>
      <c r="E370" s="128" t="s">
        <v>950</v>
      </c>
      <c r="F370" s="128"/>
      <c r="G370" s="57">
        <v>8.8000000000000007</v>
      </c>
      <c r="H370" s="60" t="s">
        <v>50</v>
      </c>
    </row>
    <row r="371" spans="1:8" x14ac:dyDescent="0.25">
      <c r="A371" s="2" t="s">
        <v>649</v>
      </c>
      <c r="B371" s="3" t="s">
        <v>50</v>
      </c>
      <c r="C371" s="3" t="s">
        <v>650</v>
      </c>
      <c r="D371" s="92" t="s">
        <v>651</v>
      </c>
      <c r="E371" s="92"/>
      <c r="F371" s="3" t="s">
        <v>64</v>
      </c>
      <c r="G371" s="28">
        <v>1.75</v>
      </c>
      <c r="H371" s="59">
        <v>0</v>
      </c>
    </row>
    <row r="372" spans="1:8" x14ac:dyDescent="0.25">
      <c r="A372" s="55"/>
      <c r="D372" s="56" t="s">
        <v>951</v>
      </c>
      <c r="E372" s="128" t="s">
        <v>952</v>
      </c>
      <c r="F372" s="128"/>
      <c r="G372" s="57">
        <v>1.75</v>
      </c>
      <c r="H372" s="58"/>
    </row>
    <row r="373" spans="1:8" x14ac:dyDescent="0.25">
      <c r="A373" s="2" t="s">
        <v>653</v>
      </c>
      <c r="B373" s="3" t="s">
        <v>50</v>
      </c>
      <c r="C373" s="3" t="s">
        <v>654</v>
      </c>
      <c r="D373" s="92" t="s">
        <v>655</v>
      </c>
      <c r="E373" s="92"/>
      <c r="F373" s="3" t="s">
        <v>77</v>
      </c>
      <c r="G373" s="28">
        <v>3.7</v>
      </c>
      <c r="H373" s="59">
        <v>0</v>
      </c>
    </row>
    <row r="374" spans="1:8" x14ac:dyDescent="0.25">
      <c r="A374" s="55"/>
      <c r="D374" s="56" t="s">
        <v>888</v>
      </c>
      <c r="E374" s="128" t="s">
        <v>889</v>
      </c>
      <c r="F374" s="128"/>
      <c r="G374" s="57">
        <v>3.7</v>
      </c>
      <c r="H374" s="58"/>
    </row>
    <row r="375" spans="1:8" x14ac:dyDescent="0.25">
      <c r="A375" s="2" t="s">
        <v>658</v>
      </c>
      <c r="B375" s="3" t="s">
        <v>50</v>
      </c>
      <c r="C375" s="3" t="s">
        <v>659</v>
      </c>
      <c r="D375" s="92" t="s">
        <v>660</v>
      </c>
      <c r="E375" s="92"/>
      <c r="F375" s="3" t="s">
        <v>64</v>
      </c>
      <c r="G375" s="28">
        <v>166.74709999999999</v>
      </c>
      <c r="H375" s="59">
        <v>0</v>
      </c>
    </row>
    <row r="376" spans="1:8" x14ac:dyDescent="0.25">
      <c r="A376" s="55"/>
      <c r="D376" s="56" t="s">
        <v>953</v>
      </c>
      <c r="E376" s="128" t="s">
        <v>849</v>
      </c>
      <c r="F376" s="128"/>
      <c r="G376" s="57">
        <v>16.025500000000001</v>
      </c>
      <c r="H376" s="58"/>
    </row>
    <row r="377" spans="1:8" x14ac:dyDescent="0.25">
      <c r="A377" s="2" t="s">
        <v>50</v>
      </c>
      <c r="B377" s="3" t="s">
        <v>50</v>
      </c>
      <c r="C377" s="3" t="s">
        <v>50</v>
      </c>
      <c r="D377" s="56" t="s">
        <v>954</v>
      </c>
      <c r="E377" s="128" t="s">
        <v>843</v>
      </c>
      <c r="F377" s="128"/>
      <c r="G377" s="57">
        <v>19.1708</v>
      </c>
      <c r="H377" s="60" t="s">
        <v>50</v>
      </c>
    </row>
    <row r="378" spans="1:8" x14ac:dyDescent="0.25">
      <c r="A378" s="2" t="s">
        <v>50</v>
      </c>
      <c r="B378" s="3" t="s">
        <v>50</v>
      </c>
      <c r="C378" s="3" t="s">
        <v>50</v>
      </c>
      <c r="D378" s="56" t="s">
        <v>858</v>
      </c>
      <c r="E378" s="128" t="s">
        <v>859</v>
      </c>
      <c r="F378" s="128"/>
      <c r="G378" s="57">
        <v>31.942900000000002</v>
      </c>
      <c r="H378" s="60" t="s">
        <v>50</v>
      </c>
    </row>
    <row r="379" spans="1:8" x14ac:dyDescent="0.25">
      <c r="A379" s="2" t="s">
        <v>50</v>
      </c>
      <c r="B379" s="3" t="s">
        <v>50</v>
      </c>
      <c r="C379" s="3" t="s">
        <v>50</v>
      </c>
      <c r="D379" s="56" t="s">
        <v>860</v>
      </c>
      <c r="E379" s="128" t="s">
        <v>861</v>
      </c>
      <c r="F379" s="128"/>
      <c r="G379" s="57">
        <v>52.457900000000002</v>
      </c>
      <c r="H379" s="60" t="s">
        <v>50</v>
      </c>
    </row>
    <row r="380" spans="1:8" x14ac:dyDescent="0.25">
      <c r="A380" s="2" t="s">
        <v>50</v>
      </c>
      <c r="B380" s="3" t="s">
        <v>50</v>
      </c>
      <c r="C380" s="3" t="s">
        <v>50</v>
      </c>
      <c r="D380" s="56" t="s">
        <v>862</v>
      </c>
      <c r="E380" s="128" t="s">
        <v>863</v>
      </c>
      <c r="F380" s="128"/>
      <c r="G380" s="57">
        <v>47.15</v>
      </c>
      <c r="H380" s="60" t="s">
        <v>50</v>
      </c>
    </row>
    <row r="381" spans="1:8" x14ac:dyDescent="0.25">
      <c r="A381" s="2" t="s">
        <v>663</v>
      </c>
      <c r="B381" s="3" t="s">
        <v>50</v>
      </c>
      <c r="C381" s="3" t="s">
        <v>664</v>
      </c>
      <c r="D381" s="92" t="s">
        <v>665</v>
      </c>
      <c r="E381" s="92"/>
      <c r="F381" s="3" t="s">
        <v>64</v>
      </c>
      <c r="G381" s="28">
        <v>179.64510000000001</v>
      </c>
      <c r="H381" s="59">
        <v>0</v>
      </c>
    </row>
    <row r="382" spans="1:8" x14ac:dyDescent="0.25">
      <c r="A382" s="55"/>
      <c r="D382" s="56" t="s">
        <v>856</v>
      </c>
      <c r="E382" s="128" t="s">
        <v>849</v>
      </c>
      <c r="F382" s="128"/>
      <c r="G382" s="57">
        <v>21.6</v>
      </c>
      <c r="H382" s="58"/>
    </row>
    <row r="383" spans="1:8" x14ac:dyDescent="0.25">
      <c r="A383" s="2" t="s">
        <v>50</v>
      </c>
      <c r="B383" s="3" t="s">
        <v>50</v>
      </c>
      <c r="C383" s="3" t="s">
        <v>50</v>
      </c>
      <c r="D383" s="56" t="s">
        <v>857</v>
      </c>
      <c r="E383" s="128" t="s">
        <v>843</v>
      </c>
      <c r="F383" s="128"/>
      <c r="G383" s="57">
        <v>26.494299999999999</v>
      </c>
      <c r="H383" s="60" t="s">
        <v>50</v>
      </c>
    </row>
    <row r="384" spans="1:8" x14ac:dyDescent="0.25">
      <c r="A384" s="2" t="s">
        <v>50</v>
      </c>
      <c r="B384" s="3" t="s">
        <v>50</v>
      </c>
      <c r="C384" s="3" t="s">
        <v>50</v>
      </c>
      <c r="D384" s="56" t="s">
        <v>858</v>
      </c>
      <c r="E384" s="128" t="s">
        <v>859</v>
      </c>
      <c r="F384" s="128"/>
      <c r="G384" s="57">
        <v>31.942900000000002</v>
      </c>
      <c r="H384" s="60" t="s">
        <v>50</v>
      </c>
    </row>
    <row r="385" spans="1:8" x14ac:dyDescent="0.25">
      <c r="A385" s="2" t="s">
        <v>50</v>
      </c>
      <c r="B385" s="3" t="s">
        <v>50</v>
      </c>
      <c r="C385" s="3" t="s">
        <v>50</v>
      </c>
      <c r="D385" s="56" t="s">
        <v>860</v>
      </c>
      <c r="E385" s="128" t="s">
        <v>861</v>
      </c>
      <c r="F385" s="128"/>
      <c r="G385" s="57">
        <v>52.457900000000002</v>
      </c>
      <c r="H385" s="60" t="s">
        <v>50</v>
      </c>
    </row>
    <row r="386" spans="1:8" x14ac:dyDescent="0.25">
      <c r="A386" s="2" t="s">
        <v>50</v>
      </c>
      <c r="B386" s="3" t="s">
        <v>50</v>
      </c>
      <c r="C386" s="3" t="s">
        <v>50</v>
      </c>
      <c r="D386" s="56" t="s">
        <v>862</v>
      </c>
      <c r="E386" s="128" t="s">
        <v>863</v>
      </c>
      <c r="F386" s="128"/>
      <c r="G386" s="57">
        <v>47.15</v>
      </c>
      <c r="H386" s="60" t="s">
        <v>50</v>
      </c>
    </row>
    <row r="387" spans="1:8" x14ac:dyDescent="0.25">
      <c r="A387" s="2" t="s">
        <v>667</v>
      </c>
      <c r="B387" s="3" t="s">
        <v>50</v>
      </c>
      <c r="C387" s="3" t="s">
        <v>668</v>
      </c>
      <c r="D387" s="92" t="s">
        <v>669</v>
      </c>
      <c r="E387" s="92"/>
      <c r="F387" s="3" t="s">
        <v>56</v>
      </c>
      <c r="G387" s="28">
        <v>1</v>
      </c>
      <c r="H387" s="59">
        <v>0</v>
      </c>
    </row>
    <row r="388" spans="1:8" x14ac:dyDescent="0.25">
      <c r="A388" s="55"/>
      <c r="D388" s="56" t="s">
        <v>53</v>
      </c>
      <c r="E388" s="128" t="s">
        <v>955</v>
      </c>
      <c r="F388" s="128"/>
      <c r="G388" s="57">
        <v>1</v>
      </c>
      <c r="H388" s="58"/>
    </row>
    <row r="389" spans="1:8" x14ac:dyDescent="0.25">
      <c r="A389" s="2" t="s">
        <v>672</v>
      </c>
      <c r="B389" s="3" t="s">
        <v>50</v>
      </c>
      <c r="C389" s="3" t="s">
        <v>673</v>
      </c>
      <c r="D389" s="92" t="s">
        <v>674</v>
      </c>
      <c r="E389" s="92"/>
      <c r="F389" s="3" t="s">
        <v>56</v>
      </c>
      <c r="G389" s="28">
        <v>1</v>
      </c>
      <c r="H389" s="59">
        <v>0</v>
      </c>
    </row>
    <row r="390" spans="1:8" x14ac:dyDescent="0.25">
      <c r="A390" s="55"/>
      <c r="D390" s="56" t="s">
        <v>53</v>
      </c>
      <c r="E390" s="128" t="s">
        <v>955</v>
      </c>
      <c r="F390" s="128"/>
      <c r="G390" s="57">
        <v>1</v>
      </c>
      <c r="H390" s="58"/>
    </row>
    <row r="391" spans="1:8" x14ac:dyDescent="0.25">
      <c r="A391" s="2" t="s">
        <v>675</v>
      </c>
      <c r="B391" s="3" t="s">
        <v>50</v>
      </c>
      <c r="C391" s="3" t="s">
        <v>676</v>
      </c>
      <c r="D391" s="92" t="s">
        <v>677</v>
      </c>
      <c r="E391" s="92"/>
      <c r="F391" s="3" t="s">
        <v>56</v>
      </c>
      <c r="G391" s="28">
        <v>1</v>
      </c>
      <c r="H391" s="59">
        <v>0</v>
      </c>
    </row>
    <row r="392" spans="1:8" x14ac:dyDescent="0.25">
      <c r="A392" s="55"/>
      <c r="D392" s="56" t="s">
        <v>53</v>
      </c>
      <c r="E392" s="128" t="s">
        <v>955</v>
      </c>
      <c r="F392" s="128"/>
      <c r="G392" s="57">
        <v>1</v>
      </c>
      <c r="H392" s="58"/>
    </row>
    <row r="393" spans="1:8" x14ac:dyDescent="0.25">
      <c r="A393" s="2" t="s">
        <v>678</v>
      </c>
      <c r="B393" s="3" t="s">
        <v>50</v>
      </c>
      <c r="C393" s="3" t="s">
        <v>679</v>
      </c>
      <c r="D393" s="92" t="s">
        <v>680</v>
      </c>
      <c r="E393" s="92"/>
      <c r="F393" s="3" t="s">
        <v>56</v>
      </c>
      <c r="G393" s="28">
        <v>1</v>
      </c>
      <c r="H393" s="59">
        <v>0</v>
      </c>
    </row>
    <row r="394" spans="1:8" x14ac:dyDescent="0.25">
      <c r="A394" s="55"/>
      <c r="D394" s="56" t="s">
        <v>53</v>
      </c>
      <c r="E394" s="128" t="s">
        <v>956</v>
      </c>
      <c r="F394" s="128"/>
      <c r="G394" s="57">
        <v>1</v>
      </c>
      <c r="H394" s="58"/>
    </row>
    <row r="395" spans="1:8" x14ac:dyDescent="0.25">
      <c r="A395" s="2" t="s">
        <v>683</v>
      </c>
      <c r="B395" s="3" t="s">
        <v>50</v>
      </c>
      <c r="C395" s="3" t="s">
        <v>684</v>
      </c>
      <c r="D395" s="92" t="s">
        <v>685</v>
      </c>
      <c r="E395" s="92"/>
      <c r="F395" s="3" t="s">
        <v>686</v>
      </c>
      <c r="G395" s="28">
        <v>1</v>
      </c>
      <c r="H395" s="59">
        <v>0</v>
      </c>
    </row>
    <row r="396" spans="1:8" x14ac:dyDescent="0.25">
      <c r="A396" s="55"/>
      <c r="D396" s="56" t="s">
        <v>53</v>
      </c>
      <c r="E396" s="128" t="s">
        <v>50</v>
      </c>
      <c r="F396" s="128"/>
      <c r="G396" s="57">
        <v>1</v>
      </c>
      <c r="H396" s="58"/>
    </row>
    <row r="397" spans="1:8" x14ac:dyDescent="0.25">
      <c r="A397" s="2" t="s">
        <v>688</v>
      </c>
      <c r="B397" s="3" t="s">
        <v>50</v>
      </c>
      <c r="C397" s="3" t="s">
        <v>689</v>
      </c>
      <c r="D397" s="92" t="s">
        <v>690</v>
      </c>
      <c r="E397" s="92"/>
      <c r="F397" s="3" t="s">
        <v>56</v>
      </c>
      <c r="G397" s="28">
        <v>1</v>
      </c>
      <c r="H397" s="59">
        <v>0</v>
      </c>
    </row>
    <row r="398" spans="1:8" x14ac:dyDescent="0.25">
      <c r="A398" s="55"/>
      <c r="D398" s="56" t="s">
        <v>53</v>
      </c>
      <c r="E398" s="128" t="s">
        <v>957</v>
      </c>
      <c r="F398" s="128"/>
      <c r="G398" s="57">
        <v>1</v>
      </c>
      <c r="H398" s="58"/>
    </row>
    <row r="399" spans="1:8" x14ac:dyDescent="0.25">
      <c r="A399" s="2" t="s">
        <v>691</v>
      </c>
      <c r="B399" s="3" t="s">
        <v>50</v>
      </c>
      <c r="C399" s="3" t="s">
        <v>692</v>
      </c>
      <c r="D399" s="92" t="s">
        <v>693</v>
      </c>
      <c r="E399" s="92"/>
      <c r="F399" s="3" t="s">
        <v>56</v>
      </c>
      <c r="G399" s="28">
        <v>1</v>
      </c>
      <c r="H399" s="59">
        <v>0</v>
      </c>
    </row>
    <row r="400" spans="1:8" x14ac:dyDescent="0.25">
      <c r="A400" s="55"/>
      <c r="D400" s="56" t="s">
        <v>53</v>
      </c>
      <c r="E400" s="128" t="s">
        <v>957</v>
      </c>
      <c r="F400" s="128"/>
      <c r="G400" s="57">
        <v>1</v>
      </c>
      <c r="H400" s="58"/>
    </row>
    <row r="401" spans="1:8" x14ac:dyDescent="0.25">
      <c r="A401" s="2" t="s">
        <v>694</v>
      </c>
      <c r="B401" s="3" t="s">
        <v>50</v>
      </c>
      <c r="C401" s="3" t="s">
        <v>695</v>
      </c>
      <c r="D401" s="92" t="s">
        <v>696</v>
      </c>
      <c r="E401" s="92"/>
      <c r="F401" s="3" t="s">
        <v>56</v>
      </c>
      <c r="G401" s="28">
        <v>1</v>
      </c>
      <c r="H401" s="59">
        <v>0</v>
      </c>
    </row>
    <row r="402" spans="1:8" x14ac:dyDescent="0.25">
      <c r="A402" s="55"/>
      <c r="D402" s="56" t="s">
        <v>53</v>
      </c>
      <c r="E402" s="128" t="s">
        <v>957</v>
      </c>
      <c r="F402" s="128"/>
      <c r="G402" s="57">
        <v>1</v>
      </c>
      <c r="H402" s="58"/>
    </row>
    <row r="403" spans="1:8" x14ac:dyDescent="0.25">
      <c r="A403" s="2" t="s">
        <v>697</v>
      </c>
      <c r="B403" s="3" t="s">
        <v>50</v>
      </c>
      <c r="C403" s="3" t="s">
        <v>698</v>
      </c>
      <c r="D403" s="92" t="s">
        <v>699</v>
      </c>
      <c r="E403" s="92"/>
      <c r="F403" s="3" t="s">
        <v>56</v>
      </c>
      <c r="G403" s="28">
        <v>1</v>
      </c>
      <c r="H403" s="59">
        <v>0</v>
      </c>
    </row>
    <row r="404" spans="1:8" x14ac:dyDescent="0.25">
      <c r="A404" s="55"/>
      <c r="D404" s="56" t="s">
        <v>53</v>
      </c>
      <c r="E404" s="128" t="s">
        <v>957</v>
      </c>
      <c r="F404" s="128"/>
      <c r="G404" s="57">
        <v>1</v>
      </c>
      <c r="H404" s="58"/>
    </row>
    <row r="405" spans="1:8" x14ac:dyDescent="0.25">
      <c r="A405" s="2" t="s">
        <v>700</v>
      </c>
      <c r="B405" s="3" t="s">
        <v>50</v>
      </c>
      <c r="C405" s="3" t="s">
        <v>701</v>
      </c>
      <c r="D405" s="92" t="s">
        <v>702</v>
      </c>
      <c r="E405" s="92"/>
      <c r="F405" s="3" t="s">
        <v>56</v>
      </c>
      <c r="G405" s="28">
        <v>1</v>
      </c>
      <c r="H405" s="59">
        <v>0</v>
      </c>
    </row>
    <row r="406" spans="1:8" x14ac:dyDescent="0.25">
      <c r="A406" s="55"/>
      <c r="D406" s="56" t="s">
        <v>53</v>
      </c>
      <c r="E406" s="128" t="s">
        <v>957</v>
      </c>
      <c r="F406" s="128"/>
      <c r="G406" s="57">
        <v>1</v>
      </c>
      <c r="H406" s="58"/>
    </row>
    <row r="407" spans="1:8" x14ac:dyDescent="0.25">
      <c r="A407" s="2" t="s">
        <v>703</v>
      </c>
      <c r="B407" s="3" t="s">
        <v>50</v>
      </c>
      <c r="C407" s="3" t="s">
        <v>704</v>
      </c>
      <c r="D407" s="92" t="s">
        <v>705</v>
      </c>
      <c r="E407" s="92"/>
      <c r="F407" s="3" t="s">
        <v>56</v>
      </c>
      <c r="G407" s="28">
        <v>1</v>
      </c>
      <c r="H407" s="59">
        <v>0</v>
      </c>
    </row>
    <row r="408" spans="1:8" x14ac:dyDescent="0.25">
      <c r="A408" s="55"/>
      <c r="D408" s="56" t="s">
        <v>53</v>
      </c>
      <c r="E408" s="128" t="s">
        <v>957</v>
      </c>
      <c r="F408" s="128"/>
      <c r="G408" s="57">
        <v>1</v>
      </c>
      <c r="H408" s="58"/>
    </row>
    <row r="409" spans="1:8" x14ac:dyDescent="0.25">
      <c r="A409" s="2" t="s">
        <v>706</v>
      </c>
      <c r="B409" s="3" t="s">
        <v>50</v>
      </c>
      <c r="C409" s="3" t="s">
        <v>707</v>
      </c>
      <c r="D409" s="92" t="s">
        <v>708</v>
      </c>
      <c r="E409" s="92"/>
      <c r="F409" s="3" t="s">
        <v>56</v>
      </c>
      <c r="G409" s="28">
        <v>9</v>
      </c>
      <c r="H409" s="59">
        <v>0</v>
      </c>
    </row>
    <row r="410" spans="1:8" x14ac:dyDescent="0.25">
      <c r="A410" s="55"/>
      <c r="D410" s="56" t="s">
        <v>958</v>
      </c>
      <c r="E410" s="128" t="s">
        <v>957</v>
      </c>
      <c r="F410" s="128"/>
      <c r="G410" s="57">
        <v>9</v>
      </c>
      <c r="H410" s="58"/>
    </row>
    <row r="411" spans="1:8" x14ac:dyDescent="0.25">
      <c r="A411" s="2" t="s">
        <v>709</v>
      </c>
      <c r="B411" s="3" t="s">
        <v>50</v>
      </c>
      <c r="C411" s="3" t="s">
        <v>710</v>
      </c>
      <c r="D411" s="92" t="s">
        <v>711</v>
      </c>
      <c r="E411" s="92"/>
      <c r="F411" s="3" t="s">
        <v>56</v>
      </c>
      <c r="G411" s="28">
        <v>2</v>
      </c>
      <c r="H411" s="59">
        <v>0</v>
      </c>
    </row>
    <row r="412" spans="1:8" x14ac:dyDescent="0.25">
      <c r="A412" s="55"/>
      <c r="D412" s="56" t="s">
        <v>61</v>
      </c>
      <c r="E412" s="128" t="s">
        <v>957</v>
      </c>
      <c r="F412" s="128"/>
      <c r="G412" s="57">
        <v>2</v>
      </c>
      <c r="H412" s="58"/>
    </row>
    <row r="413" spans="1:8" x14ac:dyDescent="0.25">
      <c r="A413" s="2" t="s">
        <v>712</v>
      </c>
      <c r="B413" s="3" t="s">
        <v>50</v>
      </c>
      <c r="C413" s="3" t="s">
        <v>713</v>
      </c>
      <c r="D413" s="92" t="s">
        <v>714</v>
      </c>
      <c r="E413" s="92"/>
      <c r="F413" s="3" t="s">
        <v>56</v>
      </c>
      <c r="G413" s="28">
        <v>1</v>
      </c>
      <c r="H413" s="59">
        <v>0</v>
      </c>
    </row>
    <row r="414" spans="1:8" x14ac:dyDescent="0.25">
      <c r="A414" s="55"/>
      <c r="D414" s="56" t="s">
        <v>53</v>
      </c>
      <c r="E414" s="128" t="s">
        <v>957</v>
      </c>
      <c r="F414" s="128"/>
      <c r="G414" s="57">
        <v>1</v>
      </c>
      <c r="H414" s="58"/>
    </row>
    <row r="415" spans="1:8" x14ac:dyDescent="0.25">
      <c r="A415" s="2" t="s">
        <v>715</v>
      </c>
      <c r="B415" s="3" t="s">
        <v>50</v>
      </c>
      <c r="C415" s="3" t="s">
        <v>716</v>
      </c>
      <c r="D415" s="92" t="s">
        <v>717</v>
      </c>
      <c r="E415" s="92"/>
      <c r="F415" s="3" t="s">
        <v>56</v>
      </c>
      <c r="G415" s="28">
        <v>6</v>
      </c>
      <c r="H415" s="59">
        <v>0</v>
      </c>
    </row>
    <row r="416" spans="1:8" x14ac:dyDescent="0.25">
      <c r="A416" s="55"/>
      <c r="D416" s="56" t="s">
        <v>78</v>
      </c>
      <c r="E416" s="128" t="s">
        <v>957</v>
      </c>
      <c r="F416" s="128"/>
      <c r="G416" s="57">
        <v>6</v>
      </c>
      <c r="H416" s="58"/>
    </row>
    <row r="417" spans="1:8" x14ac:dyDescent="0.25">
      <c r="A417" s="2" t="s">
        <v>718</v>
      </c>
      <c r="B417" s="3" t="s">
        <v>50</v>
      </c>
      <c r="C417" s="3" t="s">
        <v>719</v>
      </c>
      <c r="D417" s="92" t="s">
        <v>720</v>
      </c>
      <c r="E417" s="92"/>
      <c r="F417" s="3" t="s">
        <v>56</v>
      </c>
      <c r="G417" s="28">
        <v>21</v>
      </c>
      <c r="H417" s="59">
        <v>0</v>
      </c>
    </row>
    <row r="418" spans="1:8" x14ac:dyDescent="0.25">
      <c r="A418" s="55"/>
      <c r="D418" s="56" t="s">
        <v>127</v>
      </c>
      <c r="E418" s="128" t="s">
        <v>957</v>
      </c>
      <c r="F418" s="128"/>
      <c r="G418" s="57">
        <v>21</v>
      </c>
      <c r="H418" s="58"/>
    </row>
    <row r="419" spans="1:8" x14ac:dyDescent="0.25">
      <c r="A419" s="2" t="s">
        <v>722</v>
      </c>
      <c r="B419" s="3" t="s">
        <v>50</v>
      </c>
      <c r="C419" s="3" t="s">
        <v>723</v>
      </c>
      <c r="D419" s="92" t="s">
        <v>724</v>
      </c>
      <c r="E419" s="92"/>
      <c r="F419" s="3" t="s">
        <v>56</v>
      </c>
      <c r="G419" s="28">
        <v>3</v>
      </c>
      <c r="H419" s="59">
        <v>0</v>
      </c>
    </row>
    <row r="420" spans="1:8" x14ac:dyDescent="0.25">
      <c r="A420" s="55"/>
      <c r="D420" s="56" t="s">
        <v>67</v>
      </c>
      <c r="E420" s="128" t="s">
        <v>957</v>
      </c>
      <c r="F420" s="128"/>
      <c r="G420" s="57">
        <v>3</v>
      </c>
      <c r="H420" s="58"/>
    </row>
    <row r="421" spans="1:8" x14ac:dyDescent="0.25">
      <c r="A421" s="2" t="s">
        <v>726</v>
      </c>
      <c r="B421" s="3" t="s">
        <v>50</v>
      </c>
      <c r="C421" s="3" t="s">
        <v>727</v>
      </c>
      <c r="D421" s="92" t="s">
        <v>728</v>
      </c>
      <c r="E421" s="92"/>
      <c r="F421" s="3" t="s">
        <v>56</v>
      </c>
      <c r="G421" s="28">
        <v>2</v>
      </c>
      <c r="H421" s="59">
        <v>0</v>
      </c>
    </row>
    <row r="422" spans="1:8" x14ac:dyDescent="0.25">
      <c r="A422" s="55"/>
      <c r="D422" s="56" t="s">
        <v>61</v>
      </c>
      <c r="E422" s="128" t="s">
        <v>957</v>
      </c>
      <c r="F422" s="128"/>
      <c r="G422" s="57">
        <v>2</v>
      </c>
      <c r="H422" s="58"/>
    </row>
    <row r="423" spans="1:8" x14ac:dyDescent="0.25">
      <c r="A423" s="2" t="s">
        <v>729</v>
      </c>
      <c r="B423" s="3" t="s">
        <v>50</v>
      </c>
      <c r="C423" s="3" t="s">
        <v>730</v>
      </c>
      <c r="D423" s="92" t="s">
        <v>731</v>
      </c>
      <c r="E423" s="92"/>
      <c r="F423" s="3" t="s">
        <v>56</v>
      </c>
      <c r="G423" s="28">
        <v>1</v>
      </c>
      <c r="H423" s="59">
        <v>0</v>
      </c>
    </row>
    <row r="424" spans="1:8" x14ac:dyDescent="0.25">
      <c r="A424" s="55"/>
      <c r="D424" s="56" t="s">
        <v>53</v>
      </c>
      <c r="E424" s="128" t="s">
        <v>957</v>
      </c>
      <c r="F424" s="128"/>
      <c r="G424" s="57">
        <v>1</v>
      </c>
      <c r="H424" s="58"/>
    </row>
    <row r="425" spans="1:8" x14ac:dyDescent="0.25">
      <c r="A425" s="2" t="s">
        <v>732</v>
      </c>
      <c r="B425" s="3" t="s">
        <v>50</v>
      </c>
      <c r="C425" s="3" t="s">
        <v>733</v>
      </c>
      <c r="D425" s="92" t="s">
        <v>734</v>
      </c>
      <c r="E425" s="92"/>
      <c r="F425" s="3" t="s">
        <v>56</v>
      </c>
      <c r="G425" s="28">
        <v>1</v>
      </c>
      <c r="H425" s="59">
        <v>0</v>
      </c>
    </row>
    <row r="426" spans="1:8" x14ac:dyDescent="0.25">
      <c r="A426" s="55"/>
      <c r="D426" s="56" t="s">
        <v>53</v>
      </c>
      <c r="E426" s="128" t="s">
        <v>957</v>
      </c>
      <c r="F426" s="128"/>
      <c r="G426" s="57">
        <v>1</v>
      </c>
      <c r="H426" s="58"/>
    </row>
    <row r="427" spans="1:8" x14ac:dyDescent="0.25">
      <c r="A427" s="2" t="s">
        <v>735</v>
      </c>
      <c r="B427" s="3" t="s">
        <v>50</v>
      </c>
      <c r="C427" s="3" t="s">
        <v>736</v>
      </c>
      <c r="D427" s="92" t="s">
        <v>737</v>
      </c>
      <c r="E427" s="92"/>
      <c r="F427" s="3" t="s">
        <v>56</v>
      </c>
      <c r="G427" s="28">
        <v>1</v>
      </c>
      <c r="H427" s="59">
        <v>0</v>
      </c>
    </row>
    <row r="428" spans="1:8" x14ac:dyDescent="0.25">
      <c r="A428" s="55"/>
      <c r="D428" s="56" t="s">
        <v>53</v>
      </c>
      <c r="E428" s="128" t="s">
        <v>957</v>
      </c>
      <c r="F428" s="128"/>
      <c r="G428" s="57">
        <v>1</v>
      </c>
      <c r="H428" s="58"/>
    </row>
    <row r="429" spans="1:8" x14ac:dyDescent="0.25">
      <c r="A429" s="2" t="s">
        <v>738</v>
      </c>
      <c r="B429" s="3" t="s">
        <v>50</v>
      </c>
      <c r="C429" s="3" t="s">
        <v>739</v>
      </c>
      <c r="D429" s="92" t="s">
        <v>740</v>
      </c>
      <c r="E429" s="92"/>
      <c r="F429" s="3" t="s">
        <v>56</v>
      </c>
      <c r="G429" s="28">
        <v>2</v>
      </c>
      <c r="H429" s="59">
        <v>0</v>
      </c>
    </row>
    <row r="430" spans="1:8" x14ac:dyDescent="0.25">
      <c r="A430" s="55"/>
      <c r="D430" s="56" t="s">
        <v>61</v>
      </c>
      <c r="E430" s="128" t="s">
        <v>957</v>
      </c>
      <c r="F430" s="128"/>
      <c r="G430" s="57">
        <v>2</v>
      </c>
      <c r="H430" s="58"/>
    </row>
    <row r="431" spans="1:8" x14ac:dyDescent="0.25">
      <c r="A431" s="2" t="s">
        <v>741</v>
      </c>
      <c r="B431" s="3" t="s">
        <v>50</v>
      </c>
      <c r="C431" s="3" t="s">
        <v>742</v>
      </c>
      <c r="D431" s="92" t="s">
        <v>743</v>
      </c>
      <c r="E431" s="92"/>
      <c r="F431" s="3" t="s">
        <v>56</v>
      </c>
      <c r="G431" s="28">
        <v>1</v>
      </c>
      <c r="H431" s="59">
        <v>0</v>
      </c>
    </row>
    <row r="432" spans="1:8" x14ac:dyDescent="0.25">
      <c r="A432" s="55"/>
      <c r="D432" s="56" t="s">
        <v>53</v>
      </c>
      <c r="E432" s="128" t="s">
        <v>957</v>
      </c>
      <c r="F432" s="128"/>
      <c r="G432" s="57">
        <v>1</v>
      </c>
      <c r="H432" s="58"/>
    </row>
    <row r="433" spans="1:8" x14ac:dyDescent="0.25">
      <c r="A433" s="2" t="s">
        <v>744</v>
      </c>
      <c r="B433" s="3" t="s">
        <v>50</v>
      </c>
      <c r="C433" s="3" t="s">
        <v>745</v>
      </c>
      <c r="D433" s="92" t="s">
        <v>746</v>
      </c>
      <c r="E433" s="92"/>
      <c r="F433" s="3" t="s">
        <v>56</v>
      </c>
      <c r="G433" s="28">
        <v>2</v>
      </c>
      <c r="H433" s="59">
        <v>0</v>
      </c>
    </row>
    <row r="434" spans="1:8" x14ac:dyDescent="0.25">
      <c r="A434" s="55"/>
      <c r="D434" s="56" t="s">
        <v>61</v>
      </c>
      <c r="E434" s="128" t="s">
        <v>50</v>
      </c>
      <c r="F434" s="128"/>
      <c r="G434" s="57">
        <v>2</v>
      </c>
      <c r="H434" s="58"/>
    </row>
    <row r="435" spans="1:8" x14ac:dyDescent="0.25">
      <c r="A435" s="2" t="s">
        <v>747</v>
      </c>
      <c r="B435" s="3" t="s">
        <v>50</v>
      </c>
      <c r="C435" s="3" t="s">
        <v>748</v>
      </c>
      <c r="D435" s="92" t="s">
        <v>749</v>
      </c>
      <c r="E435" s="92"/>
      <c r="F435" s="3" t="s">
        <v>56</v>
      </c>
      <c r="G435" s="28">
        <v>16</v>
      </c>
      <c r="H435" s="59">
        <v>0</v>
      </c>
    </row>
    <row r="436" spans="1:8" x14ac:dyDescent="0.25">
      <c r="A436" s="55"/>
      <c r="D436" s="56" t="s">
        <v>114</v>
      </c>
      <c r="E436" s="128" t="s">
        <v>957</v>
      </c>
      <c r="F436" s="128"/>
      <c r="G436" s="57">
        <v>16</v>
      </c>
      <c r="H436" s="58"/>
    </row>
    <row r="437" spans="1:8" x14ac:dyDescent="0.25">
      <c r="A437" s="2" t="s">
        <v>750</v>
      </c>
      <c r="B437" s="3" t="s">
        <v>50</v>
      </c>
      <c r="C437" s="3" t="s">
        <v>751</v>
      </c>
      <c r="D437" s="92" t="s">
        <v>752</v>
      </c>
      <c r="E437" s="92"/>
      <c r="F437" s="3" t="s">
        <v>56</v>
      </c>
      <c r="G437" s="28">
        <v>5</v>
      </c>
      <c r="H437" s="59">
        <v>0</v>
      </c>
    </row>
    <row r="438" spans="1:8" x14ac:dyDescent="0.25">
      <c r="A438" s="55"/>
      <c r="D438" s="56" t="s">
        <v>74</v>
      </c>
      <c r="E438" s="128" t="s">
        <v>957</v>
      </c>
      <c r="F438" s="128"/>
      <c r="G438" s="57">
        <v>5</v>
      </c>
      <c r="H438" s="58"/>
    </row>
    <row r="439" spans="1:8" x14ac:dyDescent="0.25">
      <c r="A439" s="2" t="s">
        <v>753</v>
      </c>
      <c r="B439" s="3" t="s">
        <v>50</v>
      </c>
      <c r="C439" s="3" t="s">
        <v>754</v>
      </c>
      <c r="D439" s="92" t="s">
        <v>755</v>
      </c>
      <c r="E439" s="92"/>
      <c r="F439" s="3" t="s">
        <v>56</v>
      </c>
      <c r="G439" s="28">
        <v>1</v>
      </c>
      <c r="H439" s="59">
        <v>0</v>
      </c>
    </row>
    <row r="440" spans="1:8" x14ac:dyDescent="0.25">
      <c r="A440" s="55"/>
      <c r="D440" s="56" t="s">
        <v>53</v>
      </c>
      <c r="E440" s="128" t="s">
        <v>957</v>
      </c>
      <c r="F440" s="128"/>
      <c r="G440" s="57">
        <v>1</v>
      </c>
      <c r="H440" s="58"/>
    </row>
    <row r="441" spans="1:8" x14ac:dyDescent="0.25">
      <c r="A441" s="2" t="s">
        <v>756</v>
      </c>
      <c r="B441" s="3" t="s">
        <v>50</v>
      </c>
      <c r="C441" s="3" t="s">
        <v>757</v>
      </c>
      <c r="D441" s="92" t="s">
        <v>758</v>
      </c>
      <c r="E441" s="92"/>
      <c r="F441" s="3" t="s">
        <v>56</v>
      </c>
      <c r="G441" s="28">
        <v>1</v>
      </c>
      <c r="H441" s="59">
        <v>0</v>
      </c>
    </row>
    <row r="442" spans="1:8" x14ac:dyDescent="0.25">
      <c r="A442" s="55"/>
      <c r="D442" s="56" t="s">
        <v>53</v>
      </c>
      <c r="E442" s="128" t="s">
        <v>957</v>
      </c>
      <c r="F442" s="128"/>
      <c r="G442" s="57">
        <v>1</v>
      </c>
      <c r="H442" s="58"/>
    </row>
    <row r="443" spans="1:8" x14ac:dyDescent="0.25">
      <c r="A443" s="2" t="s">
        <v>759</v>
      </c>
      <c r="B443" s="3" t="s">
        <v>50</v>
      </c>
      <c r="C443" s="3" t="s">
        <v>760</v>
      </c>
      <c r="D443" s="92" t="s">
        <v>761</v>
      </c>
      <c r="E443" s="92"/>
      <c r="F443" s="3" t="s">
        <v>56</v>
      </c>
      <c r="G443" s="28">
        <v>1</v>
      </c>
      <c r="H443" s="59">
        <v>0</v>
      </c>
    </row>
    <row r="444" spans="1:8" x14ac:dyDescent="0.25">
      <c r="A444" s="55"/>
      <c r="D444" s="56" t="s">
        <v>53</v>
      </c>
      <c r="E444" s="128" t="s">
        <v>957</v>
      </c>
      <c r="F444" s="128"/>
      <c r="G444" s="57">
        <v>1</v>
      </c>
      <c r="H444" s="58"/>
    </row>
    <row r="445" spans="1:8" x14ac:dyDescent="0.25">
      <c r="A445" s="2" t="s">
        <v>762</v>
      </c>
      <c r="B445" s="3" t="s">
        <v>50</v>
      </c>
      <c r="C445" s="3" t="s">
        <v>763</v>
      </c>
      <c r="D445" s="92" t="s">
        <v>764</v>
      </c>
      <c r="E445" s="92"/>
      <c r="F445" s="3" t="s">
        <v>56</v>
      </c>
      <c r="G445" s="28">
        <v>2</v>
      </c>
      <c r="H445" s="59">
        <v>0</v>
      </c>
    </row>
    <row r="446" spans="1:8" x14ac:dyDescent="0.25">
      <c r="A446" s="55"/>
      <c r="D446" s="56" t="s">
        <v>61</v>
      </c>
      <c r="E446" s="128" t="s">
        <v>957</v>
      </c>
      <c r="F446" s="128"/>
      <c r="G446" s="57">
        <v>2</v>
      </c>
      <c r="H446" s="58"/>
    </row>
    <row r="447" spans="1:8" x14ac:dyDescent="0.25">
      <c r="A447" s="2" t="s">
        <v>765</v>
      </c>
      <c r="B447" s="3" t="s">
        <v>50</v>
      </c>
      <c r="C447" s="3" t="s">
        <v>766</v>
      </c>
      <c r="D447" s="92" t="s">
        <v>767</v>
      </c>
      <c r="E447" s="92"/>
      <c r="F447" s="3" t="s">
        <v>56</v>
      </c>
      <c r="G447" s="28">
        <v>1</v>
      </c>
      <c r="H447" s="59">
        <v>0</v>
      </c>
    </row>
    <row r="448" spans="1:8" x14ac:dyDescent="0.25">
      <c r="A448" s="55"/>
      <c r="D448" s="56" t="s">
        <v>53</v>
      </c>
      <c r="E448" s="128" t="s">
        <v>957</v>
      </c>
      <c r="F448" s="128"/>
      <c r="G448" s="57">
        <v>1</v>
      </c>
      <c r="H448" s="58"/>
    </row>
    <row r="449" spans="1:8" x14ac:dyDescent="0.25">
      <c r="A449" s="2" t="s">
        <v>768</v>
      </c>
      <c r="B449" s="3" t="s">
        <v>50</v>
      </c>
      <c r="C449" s="3" t="s">
        <v>698</v>
      </c>
      <c r="D449" s="92" t="s">
        <v>769</v>
      </c>
      <c r="E449" s="92"/>
      <c r="F449" s="3" t="s">
        <v>56</v>
      </c>
      <c r="G449" s="28">
        <v>1</v>
      </c>
      <c r="H449" s="59">
        <v>0</v>
      </c>
    </row>
    <row r="450" spans="1:8" x14ac:dyDescent="0.25">
      <c r="A450" s="55"/>
      <c r="D450" s="56" t="s">
        <v>53</v>
      </c>
      <c r="E450" s="128" t="s">
        <v>957</v>
      </c>
      <c r="F450" s="128"/>
      <c r="G450" s="57">
        <v>1</v>
      </c>
      <c r="H450" s="58"/>
    </row>
    <row r="451" spans="1:8" x14ac:dyDescent="0.25">
      <c r="A451" s="2" t="s">
        <v>770</v>
      </c>
      <c r="B451" s="3" t="s">
        <v>50</v>
      </c>
      <c r="C451" s="3" t="s">
        <v>771</v>
      </c>
      <c r="D451" s="92" t="s">
        <v>772</v>
      </c>
      <c r="E451" s="92"/>
      <c r="F451" s="3" t="s">
        <v>56</v>
      </c>
      <c r="G451" s="28">
        <v>1</v>
      </c>
      <c r="H451" s="59">
        <v>0</v>
      </c>
    </row>
    <row r="452" spans="1:8" x14ac:dyDescent="0.25">
      <c r="A452" s="55"/>
      <c r="D452" s="56" t="s">
        <v>53</v>
      </c>
      <c r="E452" s="128" t="s">
        <v>957</v>
      </c>
      <c r="F452" s="128"/>
      <c r="G452" s="57">
        <v>1</v>
      </c>
      <c r="H452" s="58"/>
    </row>
    <row r="453" spans="1:8" x14ac:dyDescent="0.25">
      <c r="A453" s="2" t="s">
        <v>773</v>
      </c>
      <c r="B453" s="3" t="s">
        <v>50</v>
      </c>
      <c r="C453" s="3" t="s">
        <v>774</v>
      </c>
      <c r="D453" s="92" t="s">
        <v>775</v>
      </c>
      <c r="E453" s="92"/>
      <c r="F453" s="3" t="s">
        <v>686</v>
      </c>
      <c r="G453" s="28">
        <v>1</v>
      </c>
      <c r="H453" s="59">
        <v>0</v>
      </c>
    </row>
    <row r="454" spans="1:8" x14ac:dyDescent="0.25">
      <c r="A454" s="55"/>
      <c r="D454" s="56" t="s">
        <v>53</v>
      </c>
      <c r="E454" s="128" t="s">
        <v>50</v>
      </c>
      <c r="F454" s="128"/>
      <c r="G454" s="57">
        <v>1</v>
      </c>
      <c r="H454" s="58"/>
    </row>
    <row r="455" spans="1:8" x14ac:dyDescent="0.25">
      <c r="A455" s="2" t="s">
        <v>776</v>
      </c>
      <c r="B455" s="3" t="s">
        <v>50</v>
      </c>
      <c r="C455" s="3" t="s">
        <v>102</v>
      </c>
      <c r="D455" s="92" t="s">
        <v>103</v>
      </c>
      <c r="E455" s="92"/>
      <c r="F455" s="3" t="s">
        <v>87</v>
      </c>
      <c r="G455" s="28">
        <v>1.8599999999999998E-2</v>
      </c>
      <c r="H455" s="59">
        <v>0</v>
      </c>
    </row>
    <row r="456" spans="1:8" x14ac:dyDescent="0.25">
      <c r="A456" s="2" t="s">
        <v>779</v>
      </c>
      <c r="B456" s="3" t="s">
        <v>50</v>
      </c>
      <c r="C456" s="3" t="s">
        <v>780</v>
      </c>
      <c r="D456" s="92" t="s">
        <v>781</v>
      </c>
      <c r="E456" s="92"/>
      <c r="F456" s="3" t="s">
        <v>77</v>
      </c>
      <c r="G456" s="28">
        <v>20</v>
      </c>
      <c r="H456" s="59">
        <v>0</v>
      </c>
    </row>
    <row r="457" spans="1:8" x14ac:dyDescent="0.25">
      <c r="A457" s="55"/>
      <c r="D457" s="56" t="s">
        <v>124</v>
      </c>
      <c r="E457" s="128" t="s">
        <v>50</v>
      </c>
      <c r="F457" s="128"/>
      <c r="G457" s="57">
        <v>20</v>
      </c>
      <c r="H457" s="58"/>
    </row>
    <row r="458" spans="1:8" x14ac:dyDescent="0.25">
      <c r="A458" s="2" t="s">
        <v>784</v>
      </c>
      <c r="B458" s="3" t="s">
        <v>50</v>
      </c>
      <c r="C458" s="3" t="s">
        <v>785</v>
      </c>
      <c r="D458" s="92" t="s">
        <v>786</v>
      </c>
      <c r="E458" s="92"/>
      <c r="F458" s="3" t="s">
        <v>77</v>
      </c>
      <c r="G458" s="28">
        <v>10</v>
      </c>
      <c r="H458" s="59">
        <v>0</v>
      </c>
    </row>
    <row r="459" spans="1:8" x14ac:dyDescent="0.25">
      <c r="A459" s="55"/>
      <c r="D459" s="56" t="s">
        <v>91</v>
      </c>
      <c r="E459" s="128" t="s">
        <v>50</v>
      </c>
      <c r="F459" s="128"/>
      <c r="G459" s="57">
        <v>10</v>
      </c>
      <c r="H459" s="58"/>
    </row>
    <row r="460" spans="1:8" x14ac:dyDescent="0.25">
      <c r="A460" s="2" t="s">
        <v>788</v>
      </c>
      <c r="B460" s="3" t="s">
        <v>50</v>
      </c>
      <c r="C460" s="3" t="s">
        <v>789</v>
      </c>
      <c r="D460" s="92" t="s">
        <v>790</v>
      </c>
      <c r="E460" s="92"/>
      <c r="F460" s="3" t="s">
        <v>77</v>
      </c>
      <c r="G460" s="28">
        <v>200</v>
      </c>
      <c r="H460" s="59">
        <v>0</v>
      </c>
    </row>
    <row r="461" spans="1:8" x14ac:dyDescent="0.25">
      <c r="A461" s="55"/>
      <c r="D461" s="56" t="s">
        <v>738</v>
      </c>
      <c r="E461" s="128" t="s">
        <v>50</v>
      </c>
      <c r="F461" s="128"/>
      <c r="G461" s="57">
        <v>200</v>
      </c>
      <c r="H461" s="58"/>
    </row>
    <row r="462" spans="1:8" x14ac:dyDescent="0.25">
      <c r="A462" s="2" t="s">
        <v>792</v>
      </c>
      <c r="B462" s="3" t="s">
        <v>50</v>
      </c>
      <c r="C462" s="3" t="s">
        <v>793</v>
      </c>
      <c r="D462" s="92" t="s">
        <v>794</v>
      </c>
      <c r="E462" s="92"/>
      <c r="F462" s="3" t="s">
        <v>77</v>
      </c>
      <c r="G462" s="28">
        <v>200</v>
      </c>
      <c r="H462" s="59">
        <v>0</v>
      </c>
    </row>
    <row r="463" spans="1:8" x14ac:dyDescent="0.25">
      <c r="A463" s="55"/>
      <c r="D463" s="56" t="s">
        <v>738</v>
      </c>
      <c r="E463" s="128" t="s">
        <v>50</v>
      </c>
      <c r="F463" s="128"/>
      <c r="G463" s="57">
        <v>200</v>
      </c>
      <c r="H463" s="58"/>
    </row>
    <row r="464" spans="1:8" x14ac:dyDescent="0.25">
      <c r="A464" s="2" t="s">
        <v>796</v>
      </c>
      <c r="B464" s="3" t="s">
        <v>50</v>
      </c>
      <c r="C464" s="3" t="s">
        <v>797</v>
      </c>
      <c r="D464" s="92" t="s">
        <v>798</v>
      </c>
      <c r="E464" s="92"/>
      <c r="F464" s="3" t="s">
        <v>77</v>
      </c>
      <c r="G464" s="28">
        <v>50</v>
      </c>
      <c r="H464" s="59">
        <v>0</v>
      </c>
    </row>
    <row r="465" spans="1:8" x14ac:dyDescent="0.25">
      <c r="A465" s="55"/>
      <c r="D465" s="56" t="s">
        <v>226</v>
      </c>
      <c r="E465" s="128" t="s">
        <v>50</v>
      </c>
      <c r="F465" s="128"/>
      <c r="G465" s="57">
        <v>50</v>
      </c>
      <c r="H465" s="58"/>
    </row>
    <row r="466" spans="1:8" x14ac:dyDescent="0.25">
      <c r="A466" s="2" t="s">
        <v>800</v>
      </c>
      <c r="B466" s="3" t="s">
        <v>50</v>
      </c>
      <c r="C466" s="3" t="s">
        <v>801</v>
      </c>
      <c r="D466" s="92" t="s">
        <v>802</v>
      </c>
      <c r="E466" s="92"/>
      <c r="F466" s="3" t="s">
        <v>77</v>
      </c>
      <c r="G466" s="28">
        <v>25</v>
      </c>
      <c r="H466" s="59">
        <v>0</v>
      </c>
    </row>
    <row r="467" spans="1:8" x14ac:dyDescent="0.25">
      <c r="A467" s="55"/>
      <c r="D467" s="56" t="s">
        <v>140</v>
      </c>
      <c r="E467" s="128" t="s">
        <v>50</v>
      </c>
      <c r="F467" s="128"/>
      <c r="G467" s="57">
        <v>25</v>
      </c>
      <c r="H467" s="58"/>
    </row>
    <row r="468" spans="1:8" x14ac:dyDescent="0.25">
      <c r="A468" s="2" t="s">
        <v>804</v>
      </c>
      <c r="B468" s="3" t="s">
        <v>50</v>
      </c>
      <c r="C468" s="3" t="s">
        <v>805</v>
      </c>
      <c r="D468" s="92" t="s">
        <v>806</v>
      </c>
      <c r="E468" s="92"/>
      <c r="F468" s="3" t="s">
        <v>77</v>
      </c>
      <c r="G468" s="28">
        <v>2.5</v>
      </c>
      <c r="H468" s="59">
        <v>0</v>
      </c>
    </row>
    <row r="469" spans="1:8" x14ac:dyDescent="0.25">
      <c r="A469" s="55"/>
      <c r="D469" s="56" t="s">
        <v>959</v>
      </c>
      <c r="E469" s="128" t="s">
        <v>50</v>
      </c>
      <c r="F469" s="128"/>
      <c r="G469" s="57">
        <v>2.5</v>
      </c>
      <c r="H469" s="58"/>
    </row>
    <row r="470" spans="1:8" x14ac:dyDescent="0.25">
      <c r="A470" s="2" t="s">
        <v>808</v>
      </c>
      <c r="B470" s="3" t="s">
        <v>50</v>
      </c>
      <c r="C470" s="3" t="s">
        <v>809</v>
      </c>
      <c r="D470" s="92" t="s">
        <v>810</v>
      </c>
      <c r="E470" s="92"/>
      <c r="F470" s="3" t="s">
        <v>77</v>
      </c>
      <c r="G470" s="28">
        <v>25</v>
      </c>
      <c r="H470" s="59">
        <v>0</v>
      </c>
    </row>
    <row r="471" spans="1:8" x14ac:dyDescent="0.25">
      <c r="A471" s="55"/>
      <c r="D471" s="56" t="s">
        <v>140</v>
      </c>
      <c r="E471" s="128" t="s">
        <v>50</v>
      </c>
      <c r="F471" s="128"/>
      <c r="G471" s="57">
        <v>25</v>
      </c>
      <c r="H471" s="58"/>
    </row>
    <row r="472" spans="1:8" x14ac:dyDescent="0.25">
      <c r="A472" s="2" t="s">
        <v>812</v>
      </c>
      <c r="B472" s="3" t="s">
        <v>50</v>
      </c>
      <c r="C472" s="3" t="s">
        <v>813</v>
      </c>
      <c r="D472" s="92" t="s">
        <v>814</v>
      </c>
      <c r="E472" s="92"/>
      <c r="F472" s="3" t="s">
        <v>77</v>
      </c>
      <c r="G472" s="28">
        <v>50</v>
      </c>
      <c r="H472" s="59">
        <v>0</v>
      </c>
    </row>
    <row r="473" spans="1:8" x14ac:dyDescent="0.25">
      <c r="A473" s="55"/>
      <c r="D473" s="56" t="s">
        <v>226</v>
      </c>
      <c r="E473" s="128" t="s">
        <v>50</v>
      </c>
      <c r="F473" s="128"/>
      <c r="G473" s="57">
        <v>50</v>
      </c>
      <c r="H473" s="58"/>
    </row>
    <row r="474" spans="1:8" x14ac:dyDescent="0.25">
      <c r="A474" s="2" t="s">
        <v>816</v>
      </c>
      <c r="B474" s="3" t="s">
        <v>50</v>
      </c>
      <c r="C474" s="3" t="s">
        <v>817</v>
      </c>
      <c r="D474" s="92" t="s">
        <v>818</v>
      </c>
      <c r="E474" s="92"/>
      <c r="F474" s="3" t="s">
        <v>77</v>
      </c>
      <c r="G474" s="28">
        <v>10</v>
      </c>
      <c r="H474" s="59">
        <v>0</v>
      </c>
    </row>
    <row r="475" spans="1:8" x14ac:dyDescent="0.25">
      <c r="A475" s="55"/>
      <c r="D475" s="56" t="s">
        <v>91</v>
      </c>
      <c r="E475" s="128" t="s">
        <v>50</v>
      </c>
      <c r="F475" s="128"/>
      <c r="G475" s="57">
        <v>10</v>
      </c>
      <c r="H475" s="58"/>
    </row>
    <row r="476" spans="1:8" x14ac:dyDescent="0.25">
      <c r="A476" s="2" t="s">
        <v>820</v>
      </c>
      <c r="B476" s="3" t="s">
        <v>50</v>
      </c>
      <c r="C476" s="3" t="s">
        <v>121</v>
      </c>
      <c r="D476" s="92" t="s">
        <v>122</v>
      </c>
      <c r="E476" s="92"/>
      <c r="F476" s="3" t="s">
        <v>77</v>
      </c>
      <c r="G476" s="28">
        <v>60</v>
      </c>
      <c r="H476" s="59">
        <v>0</v>
      </c>
    </row>
    <row r="477" spans="1:8" x14ac:dyDescent="0.25">
      <c r="A477" s="55"/>
      <c r="D477" s="56" t="s">
        <v>257</v>
      </c>
      <c r="E477" s="128" t="s">
        <v>855</v>
      </c>
      <c r="F477" s="128"/>
      <c r="G477" s="57">
        <v>60</v>
      </c>
      <c r="H477" s="58"/>
    </row>
    <row r="478" spans="1:8" x14ac:dyDescent="0.25">
      <c r="A478" s="2" t="s">
        <v>821</v>
      </c>
      <c r="B478" s="3" t="s">
        <v>50</v>
      </c>
      <c r="C478" s="3" t="s">
        <v>102</v>
      </c>
      <c r="D478" s="92" t="s">
        <v>103</v>
      </c>
      <c r="E478" s="92"/>
      <c r="F478" s="3" t="s">
        <v>87</v>
      </c>
      <c r="G478" s="28">
        <v>1.1392</v>
      </c>
      <c r="H478" s="59">
        <v>0</v>
      </c>
    </row>
    <row r="479" spans="1:8" x14ac:dyDescent="0.25">
      <c r="A479" s="61"/>
      <c r="B479" s="62"/>
      <c r="C479" s="62"/>
      <c r="D479" s="63" t="s">
        <v>960</v>
      </c>
      <c r="E479" s="129" t="s">
        <v>50</v>
      </c>
      <c r="F479" s="129"/>
      <c r="G479" s="64">
        <v>0.13800000000000001</v>
      </c>
      <c r="H479" s="65"/>
    </row>
    <row r="481" spans="1:7" x14ac:dyDescent="0.25">
      <c r="A481" s="46" t="s">
        <v>823</v>
      </c>
    </row>
    <row r="482" spans="1:7" ht="12.75" customHeight="1" x14ac:dyDescent="0.25">
      <c r="A482" s="97" t="s">
        <v>50</v>
      </c>
      <c r="B482" s="92"/>
      <c r="C482" s="92"/>
      <c r="D482" s="92"/>
      <c r="E482" s="92"/>
      <c r="F482" s="92"/>
      <c r="G482" s="92"/>
    </row>
  </sheetData>
  <mergeCells count="488">
    <mergeCell ref="E479:F479"/>
    <mergeCell ref="A482:G482"/>
    <mergeCell ref="D474:E474"/>
    <mergeCell ref="E475:F475"/>
    <mergeCell ref="D476:E476"/>
    <mergeCell ref="E477:F477"/>
    <mergeCell ref="D478:E478"/>
    <mergeCell ref="E469:F469"/>
    <mergeCell ref="D470:E470"/>
    <mergeCell ref="E471:F471"/>
    <mergeCell ref="D472:E472"/>
    <mergeCell ref="E473:F473"/>
    <mergeCell ref="D464:E464"/>
    <mergeCell ref="E465:F465"/>
    <mergeCell ref="D466:E466"/>
    <mergeCell ref="E467:F467"/>
    <mergeCell ref="D468:E468"/>
    <mergeCell ref="E459:F459"/>
    <mergeCell ref="D460:E460"/>
    <mergeCell ref="E461:F461"/>
    <mergeCell ref="D462:E462"/>
    <mergeCell ref="E463:F463"/>
    <mergeCell ref="E454:F454"/>
    <mergeCell ref="D455:E455"/>
    <mergeCell ref="D456:E456"/>
    <mergeCell ref="E457:F457"/>
    <mergeCell ref="D458:E458"/>
    <mergeCell ref="D449:E449"/>
    <mergeCell ref="E450:F450"/>
    <mergeCell ref="D451:E451"/>
    <mergeCell ref="E452:F452"/>
    <mergeCell ref="D453:E453"/>
    <mergeCell ref="E444:F444"/>
    <mergeCell ref="D445:E445"/>
    <mergeCell ref="E446:F446"/>
    <mergeCell ref="D447:E447"/>
    <mergeCell ref="E448:F448"/>
    <mergeCell ref="D439:E439"/>
    <mergeCell ref="E440:F440"/>
    <mergeCell ref="D441:E441"/>
    <mergeCell ref="E442:F442"/>
    <mergeCell ref="D443:E443"/>
    <mergeCell ref="E434:F434"/>
    <mergeCell ref="D435:E435"/>
    <mergeCell ref="E436:F436"/>
    <mergeCell ref="D437:E437"/>
    <mergeCell ref="E438:F438"/>
    <mergeCell ref="D429:E429"/>
    <mergeCell ref="E430:F430"/>
    <mergeCell ref="D431:E431"/>
    <mergeCell ref="E432:F432"/>
    <mergeCell ref="D433:E433"/>
    <mergeCell ref="E424:F424"/>
    <mergeCell ref="D425:E425"/>
    <mergeCell ref="E426:F426"/>
    <mergeCell ref="D427:E427"/>
    <mergeCell ref="E428:F428"/>
    <mergeCell ref="D419:E419"/>
    <mergeCell ref="E420:F420"/>
    <mergeCell ref="D421:E421"/>
    <mergeCell ref="E422:F422"/>
    <mergeCell ref="D423:E423"/>
    <mergeCell ref="E414:F414"/>
    <mergeCell ref="D415:E415"/>
    <mergeCell ref="E416:F416"/>
    <mergeCell ref="D417:E417"/>
    <mergeCell ref="E418:F418"/>
    <mergeCell ref="D409:E409"/>
    <mergeCell ref="E410:F410"/>
    <mergeCell ref="D411:E411"/>
    <mergeCell ref="E412:F412"/>
    <mergeCell ref="D413:E413"/>
    <mergeCell ref="E404:F404"/>
    <mergeCell ref="D405:E405"/>
    <mergeCell ref="E406:F406"/>
    <mergeCell ref="D407:E407"/>
    <mergeCell ref="E408:F408"/>
    <mergeCell ref="D399:E399"/>
    <mergeCell ref="E400:F400"/>
    <mergeCell ref="D401:E401"/>
    <mergeCell ref="E402:F402"/>
    <mergeCell ref="D403:E403"/>
    <mergeCell ref="E394:F394"/>
    <mergeCell ref="D395:E395"/>
    <mergeCell ref="E396:F396"/>
    <mergeCell ref="D397:E397"/>
    <mergeCell ref="E398:F398"/>
    <mergeCell ref="D389:E389"/>
    <mergeCell ref="E390:F390"/>
    <mergeCell ref="D391:E391"/>
    <mergeCell ref="E392:F392"/>
    <mergeCell ref="D393:E393"/>
    <mergeCell ref="E384:F384"/>
    <mergeCell ref="E385:F385"/>
    <mergeCell ref="E386:F386"/>
    <mergeCell ref="D387:E387"/>
    <mergeCell ref="E388:F388"/>
    <mergeCell ref="E379:F379"/>
    <mergeCell ref="E380:F380"/>
    <mergeCell ref="D381:E381"/>
    <mergeCell ref="E382:F382"/>
    <mergeCell ref="E383:F383"/>
    <mergeCell ref="E374:F374"/>
    <mergeCell ref="D375:E375"/>
    <mergeCell ref="E376:F376"/>
    <mergeCell ref="E377:F377"/>
    <mergeCell ref="E378:F378"/>
    <mergeCell ref="E369:F369"/>
    <mergeCell ref="E370:F370"/>
    <mergeCell ref="D371:E371"/>
    <mergeCell ref="E372:F372"/>
    <mergeCell ref="D373:E373"/>
    <mergeCell ref="D364:E364"/>
    <mergeCell ref="D365:E365"/>
    <mergeCell ref="E366:F366"/>
    <mergeCell ref="E367:F367"/>
    <mergeCell ref="D368:E368"/>
    <mergeCell ref="D359:E359"/>
    <mergeCell ref="E360:F360"/>
    <mergeCell ref="E361:F361"/>
    <mergeCell ref="D362:E362"/>
    <mergeCell ref="E363:F363"/>
    <mergeCell ref="E354:F354"/>
    <mergeCell ref="D355:E355"/>
    <mergeCell ref="D356:E356"/>
    <mergeCell ref="D357:E357"/>
    <mergeCell ref="E358:F358"/>
    <mergeCell ref="D349:E349"/>
    <mergeCell ref="E350:F350"/>
    <mergeCell ref="D351:E351"/>
    <mergeCell ref="E352:F352"/>
    <mergeCell ref="D353:E353"/>
    <mergeCell ref="D344:E344"/>
    <mergeCell ref="E345:F345"/>
    <mergeCell ref="D346:E346"/>
    <mergeCell ref="E347:F347"/>
    <mergeCell ref="D348:E348"/>
    <mergeCell ref="E339:F339"/>
    <mergeCell ref="D340:E340"/>
    <mergeCell ref="E341:F341"/>
    <mergeCell ref="D342:E342"/>
    <mergeCell ref="E343:F343"/>
    <mergeCell ref="D334:E334"/>
    <mergeCell ref="E335:F335"/>
    <mergeCell ref="D336:E336"/>
    <mergeCell ref="E337:F337"/>
    <mergeCell ref="D338:E338"/>
    <mergeCell ref="D329:E329"/>
    <mergeCell ref="E330:F330"/>
    <mergeCell ref="E331:F331"/>
    <mergeCell ref="D332:E332"/>
    <mergeCell ref="E333:F333"/>
    <mergeCell ref="D324:E324"/>
    <mergeCell ref="E325:F325"/>
    <mergeCell ref="E326:F326"/>
    <mergeCell ref="D327:E327"/>
    <mergeCell ref="E328:F328"/>
    <mergeCell ref="E319:F319"/>
    <mergeCell ref="D320:E320"/>
    <mergeCell ref="E321:F321"/>
    <mergeCell ref="D322:E322"/>
    <mergeCell ref="E323:F323"/>
    <mergeCell ref="D314:E314"/>
    <mergeCell ref="D315:E315"/>
    <mergeCell ref="D316:E316"/>
    <mergeCell ref="E317:F317"/>
    <mergeCell ref="D318:E318"/>
    <mergeCell ref="D309:E309"/>
    <mergeCell ref="D310:E310"/>
    <mergeCell ref="E311:F311"/>
    <mergeCell ref="D312:E312"/>
    <mergeCell ref="E313:F313"/>
    <mergeCell ref="E304:F304"/>
    <mergeCell ref="D305:E305"/>
    <mergeCell ref="E306:F306"/>
    <mergeCell ref="D307:E307"/>
    <mergeCell ref="E308:F308"/>
    <mergeCell ref="D299:E299"/>
    <mergeCell ref="E300:F300"/>
    <mergeCell ref="D301:E301"/>
    <mergeCell ref="E302:F302"/>
    <mergeCell ref="D303:E303"/>
    <mergeCell ref="D294:E294"/>
    <mergeCell ref="E295:F295"/>
    <mergeCell ref="D296:E296"/>
    <mergeCell ref="E297:F297"/>
    <mergeCell ref="D298:E298"/>
    <mergeCell ref="D289:E289"/>
    <mergeCell ref="E290:F290"/>
    <mergeCell ref="D291:E291"/>
    <mergeCell ref="E292:F292"/>
    <mergeCell ref="D293:E293"/>
    <mergeCell ref="D284:E284"/>
    <mergeCell ref="E285:F285"/>
    <mergeCell ref="D286:E286"/>
    <mergeCell ref="E287:F287"/>
    <mergeCell ref="D288:E288"/>
    <mergeCell ref="E279:F279"/>
    <mergeCell ref="D280:E280"/>
    <mergeCell ref="E281:F281"/>
    <mergeCell ref="D282:E282"/>
    <mergeCell ref="E283:F283"/>
    <mergeCell ref="D274:E274"/>
    <mergeCell ref="E275:F275"/>
    <mergeCell ref="D276:E276"/>
    <mergeCell ref="E277:F277"/>
    <mergeCell ref="D278:E278"/>
    <mergeCell ref="D269:E269"/>
    <mergeCell ref="E270:F270"/>
    <mergeCell ref="D271:E271"/>
    <mergeCell ref="E272:F272"/>
    <mergeCell ref="D273:E273"/>
    <mergeCell ref="E264:F264"/>
    <mergeCell ref="D265:E265"/>
    <mergeCell ref="E266:F266"/>
    <mergeCell ref="D267:E267"/>
    <mergeCell ref="E268:F268"/>
    <mergeCell ref="E259:F259"/>
    <mergeCell ref="D260:E260"/>
    <mergeCell ref="D261:E261"/>
    <mergeCell ref="E262:F262"/>
    <mergeCell ref="D263:E263"/>
    <mergeCell ref="D254:E254"/>
    <mergeCell ref="E255:F255"/>
    <mergeCell ref="D256:E256"/>
    <mergeCell ref="E257:F257"/>
    <mergeCell ref="D258:E258"/>
    <mergeCell ref="E249:F249"/>
    <mergeCell ref="D250:E250"/>
    <mergeCell ref="E251:F251"/>
    <mergeCell ref="D252:E252"/>
    <mergeCell ref="E253:F253"/>
    <mergeCell ref="E244:F244"/>
    <mergeCell ref="D245:E245"/>
    <mergeCell ref="E246:F246"/>
    <mergeCell ref="D247:E247"/>
    <mergeCell ref="D248:E248"/>
    <mergeCell ref="D239:E239"/>
    <mergeCell ref="E240:F240"/>
    <mergeCell ref="D241:E241"/>
    <mergeCell ref="E242:F242"/>
    <mergeCell ref="D243:E243"/>
    <mergeCell ref="E234:F234"/>
    <mergeCell ref="D235:E235"/>
    <mergeCell ref="E236:F236"/>
    <mergeCell ref="D237:E237"/>
    <mergeCell ref="E238:F238"/>
    <mergeCell ref="E229:F229"/>
    <mergeCell ref="D230:E230"/>
    <mergeCell ref="E231:F231"/>
    <mergeCell ref="E232:F232"/>
    <mergeCell ref="D233:E233"/>
    <mergeCell ref="E224:F224"/>
    <mergeCell ref="D225:E225"/>
    <mergeCell ref="E226:F226"/>
    <mergeCell ref="D227:E227"/>
    <mergeCell ref="E228:F228"/>
    <mergeCell ref="E219:F219"/>
    <mergeCell ref="D220:E220"/>
    <mergeCell ref="E221:F221"/>
    <mergeCell ref="D222:E222"/>
    <mergeCell ref="D223:E223"/>
    <mergeCell ref="D214:E214"/>
    <mergeCell ref="E215:F215"/>
    <mergeCell ref="D216:E216"/>
    <mergeCell ref="E217:F217"/>
    <mergeCell ref="D218:E218"/>
    <mergeCell ref="E209:F209"/>
    <mergeCell ref="D210:E210"/>
    <mergeCell ref="E211:F211"/>
    <mergeCell ref="D212:E212"/>
    <mergeCell ref="E213:F213"/>
    <mergeCell ref="D204:E204"/>
    <mergeCell ref="E205:F205"/>
    <mergeCell ref="D206:E206"/>
    <mergeCell ref="E207:F207"/>
    <mergeCell ref="D208:E208"/>
    <mergeCell ref="E199:F199"/>
    <mergeCell ref="D200:E200"/>
    <mergeCell ref="E201:F201"/>
    <mergeCell ref="D202:E202"/>
    <mergeCell ref="E203:F203"/>
    <mergeCell ref="D194:E194"/>
    <mergeCell ref="E195:F195"/>
    <mergeCell ref="D196:E196"/>
    <mergeCell ref="E197:F197"/>
    <mergeCell ref="D198:E198"/>
    <mergeCell ref="E189:F189"/>
    <mergeCell ref="D190:E190"/>
    <mergeCell ref="E191:F191"/>
    <mergeCell ref="D192:E192"/>
    <mergeCell ref="E193:F193"/>
    <mergeCell ref="D184:E184"/>
    <mergeCell ref="E185:F185"/>
    <mergeCell ref="D186:E186"/>
    <mergeCell ref="E187:F187"/>
    <mergeCell ref="D188:E188"/>
    <mergeCell ref="E179:F179"/>
    <mergeCell ref="D180:E180"/>
    <mergeCell ref="E181:F181"/>
    <mergeCell ref="D182:E182"/>
    <mergeCell ref="E183:F183"/>
    <mergeCell ref="D174:E174"/>
    <mergeCell ref="E175:F175"/>
    <mergeCell ref="D176:E176"/>
    <mergeCell ref="E177:F177"/>
    <mergeCell ref="D178:E178"/>
    <mergeCell ref="D169:E169"/>
    <mergeCell ref="E170:F170"/>
    <mergeCell ref="D171:E171"/>
    <mergeCell ref="E172:F172"/>
    <mergeCell ref="E173:F173"/>
    <mergeCell ref="E164:F164"/>
    <mergeCell ref="D165:E165"/>
    <mergeCell ref="E166:F166"/>
    <mergeCell ref="D167:E167"/>
    <mergeCell ref="E168:F168"/>
    <mergeCell ref="E159:F159"/>
    <mergeCell ref="D160:E160"/>
    <mergeCell ref="E161:F161"/>
    <mergeCell ref="D162:E162"/>
    <mergeCell ref="D163:E163"/>
    <mergeCell ref="D154:E154"/>
    <mergeCell ref="E155:F155"/>
    <mergeCell ref="D156:E156"/>
    <mergeCell ref="E157:F157"/>
    <mergeCell ref="D158:E158"/>
    <mergeCell ref="D149:E149"/>
    <mergeCell ref="E150:F150"/>
    <mergeCell ref="D151:E151"/>
    <mergeCell ref="D152:E152"/>
    <mergeCell ref="E153:F153"/>
    <mergeCell ref="E144:F144"/>
    <mergeCell ref="D145:E145"/>
    <mergeCell ref="E146:F146"/>
    <mergeCell ref="D147:E147"/>
    <mergeCell ref="E148:F148"/>
    <mergeCell ref="D139:E139"/>
    <mergeCell ref="E140:F140"/>
    <mergeCell ref="D141:E141"/>
    <mergeCell ref="E142:F142"/>
    <mergeCell ref="D143:E143"/>
    <mergeCell ref="E134:F134"/>
    <mergeCell ref="D135:E135"/>
    <mergeCell ref="E136:F136"/>
    <mergeCell ref="D137:E137"/>
    <mergeCell ref="E138:F138"/>
    <mergeCell ref="E129:F129"/>
    <mergeCell ref="D130:E130"/>
    <mergeCell ref="E131:F131"/>
    <mergeCell ref="E132:F132"/>
    <mergeCell ref="D133:E133"/>
    <mergeCell ref="D124:E124"/>
    <mergeCell ref="E125:F125"/>
    <mergeCell ref="E126:F126"/>
    <mergeCell ref="D127:E127"/>
    <mergeCell ref="E128:F128"/>
    <mergeCell ref="E119:F119"/>
    <mergeCell ref="E120:F120"/>
    <mergeCell ref="D121:E121"/>
    <mergeCell ref="E122:F122"/>
    <mergeCell ref="E123:F123"/>
    <mergeCell ref="E114:F114"/>
    <mergeCell ref="D115:E115"/>
    <mergeCell ref="E116:F116"/>
    <mergeCell ref="E117:F117"/>
    <mergeCell ref="D118:E118"/>
    <mergeCell ref="D109:E109"/>
    <mergeCell ref="E110:F110"/>
    <mergeCell ref="E111:F111"/>
    <mergeCell ref="D112:E112"/>
    <mergeCell ref="E113:F113"/>
    <mergeCell ref="E104:F104"/>
    <mergeCell ref="D105:E105"/>
    <mergeCell ref="D106:E106"/>
    <mergeCell ref="E107:F107"/>
    <mergeCell ref="E108:F108"/>
    <mergeCell ref="D99:E99"/>
    <mergeCell ref="E100:F100"/>
    <mergeCell ref="D101:E101"/>
    <mergeCell ref="E102:F102"/>
    <mergeCell ref="D103:E103"/>
    <mergeCell ref="E94:F94"/>
    <mergeCell ref="D95:E95"/>
    <mergeCell ref="E96:F96"/>
    <mergeCell ref="D97:E97"/>
    <mergeCell ref="E98:F98"/>
    <mergeCell ref="E89:F89"/>
    <mergeCell ref="D90:E90"/>
    <mergeCell ref="E91:F91"/>
    <mergeCell ref="D92:E92"/>
    <mergeCell ref="D93:E93"/>
    <mergeCell ref="E84:F84"/>
    <mergeCell ref="D85:E85"/>
    <mergeCell ref="E86:F86"/>
    <mergeCell ref="D87:E87"/>
    <mergeCell ref="D88:E88"/>
    <mergeCell ref="E79:F79"/>
    <mergeCell ref="E80:F80"/>
    <mergeCell ref="D81:E81"/>
    <mergeCell ref="E82:F82"/>
    <mergeCell ref="D83:E83"/>
    <mergeCell ref="E74:F74"/>
    <mergeCell ref="D75:E75"/>
    <mergeCell ref="E76:F76"/>
    <mergeCell ref="E77:F77"/>
    <mergeCell ref="E78:F78"/>
    <mergeCell ref="E69:F69"/>
    <mergeCell ref="E70:F70"/>
    <mergeCell ref="E71:F71"/>
    <mergeCell ref="D72:E72"/>
    <mergeCell ref="E73:F73"/>
    <mergeCell ref="D64:E64"/>
    <mergeCell ref="E65:F65"/>
    <mergeCell ref="D66:E66"/>
    <mergeCell ref="E67:F67"/>
    <mergeCell ref="E68:F68"/>
    <mergeCell ref="D59:E59"/>
    <mergeCell ref="E60:F60"/>
    <mergeCell ref="E61:F61"/>
    <mergeCell ref="D62:E62"/>
    <mergeCell ref="E63:F63"/>
    <mergeCell ref="E54:F54"/>
    <mergeCell ref="E55:F55"/>
    <mergeCell ref="E56:F56"/>
    <mergeCell ref="D57:E57"/>
    <mergeCell ref="E58:F58"/>
    <mergeCell ref="E49:F49"/>
    <mergeCell ref="E50:F50"/>
    <mergeCell ref="D51:E51"/>
    <mergeCell ref="E52:F52"/>
    <mergeCell ref="E53:F53"/>
    <mergeCell ref="D44:E44"/>
    <mergeCell ref="E45:F45"/>
    <mergeCell ref="D46:E46"/>
    <mergeCell ref="E47:F47"/>
    <mergeCell ref="D48:E48"/>
    <mergeCell ref="E39:F39"/>
    <mergeCell ref="E40:F40"/>
    <mergeCell ref="D41:E41"/>
    <mergeCell ref="D42:E42"/>
    <mergeCell ref="E43:F43"/>
    <mergeCell ref="D34:E34"/>
    <mergeCell ref="D35:E35"/>
    <mergeCell ref="E36:F36"/>
    <mergeCell ref="E37:F37"/>
    <mergeCell ref="D38:E38"/>
    <mergeCell ref="D29:E29"/>
    <mergeCell ref="D30:E30"/>
    <mergeCell ref="E31:F31"/>
    <mergeCell ref="D32:E32"/>
    <mergeCell ref="E33:F33"/>
    <mergeCell ref="E24:F24"/>
    <mergeCell ref="D25:E25"/>
    <mergeCell ref="E26:F26"/>
    <mergeCell ref="D27:E27"/>
    <mergeCell ref="D28:E28"/>
    <mergeCell ref="E19:F19"/>
    <mergeCell ref="D20:E20"/>
    <mergeCell ref="E21:F21"/>
    <mergeCell ref="D22:E22"/>
    <mergeCell ref="E23:F23"/>
    <mergeCell ref="E14:F14"/>
    <mergeCell ref="D15:E15"/>
    <mergeCell ref="E16:F16"/>
    <mergeCell ref="E17:F17"/>
    <mergeCell ref="D18:E18"/>
    <mergeCell ref="F8:H9"/>
    <mergeCell ref="D10:E10"/>
    <mergeCell ref="D11:E11"/>
    <mergeCell ref="E12:F12"/>
    <mergeCell ref="D13:E13"/>
    <mergeCell ref="A1:H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  <mergeCell ref="F2:H3"/>
    <mergeCell ref="F4:H5"/>
    <mergeCell ref="F6:H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14053-81A4-49F9-9FAA-A3312CA5E47F}">
  <dimension ref="A1:C23"/>
  <sheetViews>
    <sheetView tabSelected="1" workbookViewId="0">
      <selection activeCell="A24" sqref="A24:XFD50"/>
    </sheetView>
  </sheetViews>
  <sheetFormatPr defaultRowHeight="15" x14ac:dyDescent="0.25"/>
  <cols>
    <col min="1" max="1" width="53.140625" style="191" customWidth="1"/>
    <col min="2" max="2" width="19.140625" style="196" customWidth="1"/>
    <col min="3" max="3" width="13.140625" style="196" customWidth="1"/>
    <col min="4" max="16384" width="9.140625" style="191"/>
  </cols>
  <sheetData>
    <row r="1" spans="1:3" ht="15.75" thickBot="1" x14ac:dyDescent="0.3">
      <c r="A1" s="188" t="s">
        <v>1019</v>
      </c>
      <c r="B1" s="189"/>
      <c r="C1" s="190"/>
    </row>
    <row r="2" spans="1:3" x14ac:dyDescent="0.25">
      <c r="A2" s="192" t="s">
        <v>1020</v>
      </c>
      <c r="B2" s="193" t="s">
        <v>1021</v>
      </c>
      <c r="C2" s="194" t="s">
        <v>1022</v>
      </c>
    </row>
    <row r="3" spans="1:3" x14ac:dyDescent="0.25">
      <c r="A3" s="195" t="s">
        <v>693</v>
      </c>
      <c r="B3" s="196" t="s">
        <v>1023</v>
      </c>
      <c r="C3" s="197">
        <v>1</v>
      </c>
    </row>
    <row r="4" spans="1:3" x14ac:dyDescent="0.25">
      <c r="A4" s="195" t="s">
        <v>1024</v>
      </c>
      <c r="B4" s="196" t="s">
        <v>1025</v>
      </c>
      <c r="C4" s="197">
        <v>1</v>
      </c>
    </row>
    <row r="5" spans="1:3" x14ac:dyDescent="0.25">
      <c r="A5" s="195" t="s">
        <v>705</v>
      </c>
      <c r="B5" s="196" t="s">
        <v>1026</v>
      </c>
      <c r="C5" s="197">
        <v>1</v>
      </c>
    </row>
    <row r="6" spans="1:3" x14ac:dyDescent="0.25">
      <c r="A6" s="195" t="s">
        <v>711</v>
      </c>
      <c r="B6" s="196" t="s">
        <v>1027</v>
      </c>
      <c r="C6" s="197">
        <v>2</v>
      </c>
    </row>
    <row r="7" spans="1:3" x14ac:dyDescent="0.25">
      <c r="A7" s="195" t="s">
        <v>714</v>
      </c>
      <c r="B7" s="196" t="s">
        <v>1028</v>
      </c>
      <c r="C7" s="197">
        <v>1</v>
      </c>
    </row>
    <row r="8" spans="1:3" x14ac:dyDescent="0.25">
      <c r="A8" s="195" t="s">
        <v>717</v>
      </c>
      <c r="B8" s="196" t="s">
        <v>1029</v>
      </c>
      <c r="C8" s="197">
        <v>6</v>
      </c>
    </row>
    <row r="9" spans="1:3" x14ac:dyDescent="0.25">
      <c r="A9" s="195" t="s">
        <v>1030</v>
      </c>
      <c r="B9" s="196" t="s">
        <v>1031</v>
      </c>
      <c r="C9" s="197">
        <v>1</v>
      </c>
    </row>
    <row r="10" spans="1:3" x14ac:dyDescent="0.25">
      <c r="A10" s="195" t="s">
        <v>1032</v>
      </c>
      <c r="B10" s="196" t="s">
        <v>1033</v>
      </c>
      <c r="C10" s="197">
        <v>21</v>
      </c>
    </row>
    <row r="11" spans="1:3" x14ac:dyDescent="0.25">
      <c r="A11" s="195" t="s">
        <v>1034</v>
      </c>
      <c r="B11" s="196" t="s">
        <v>1035</v>
      </c>
      <c r="C11" s="197">
        <v>3</v>
      </c>
    </row>
    <row r="12" spans="1:3" x14ac:dyDescent="0.25">
      <c r="A12" s="195" t="s">
        <v>1036</v>
      </c>
      <c r="B12" s="196" t="s">
        <v>1037</v>
      </c>
      <c r="C12" s="197">
        <v>2</v>
      </c>
    </row>
    <row r="13" spans="1:3" x14ac:dyDescent="0.25">
      <c r="A13" s="195" t="s">
        <v>1038</v>
      </c>
      <c r="B13" s="196" t="s">
        <v>1039</v>
      </c>
      <c r="C13" s="197">
        <v>1</v>
      </c>
    </row>
    <row r="14" spans="1:3" x14ac:dyDescent="0.25">
      <c r="A14" s="195" t="s">
        <v>1040</v>
      </c>
      <c r="B14" s="196" t="s">
        <v>1041</v>
      </c>
      <c r="C14" s="197">
        <v>1</v>
      </c>
    </row>
    <row r="15" spans="1:3" x14ac:dyDescent="0.25">
      <c r="A15" s="195" t="s">
        <v>1042</v>
      </c>
      <c r="B15" s="196" t="s">
        <v>1043</v>
      </c>
      <c r="C15" s="197">
        <v>2</v>
      </c>
    </row>
    <row r="16" spans="1:3" x14ac:dyDescent="0.25">
      <c r="A16" s="195" t="s">
        <v>1044</v>
      </c>
      <c r="B16" s="196" t="s">
        <v>1045</v>
      </c>
      <c r="C16" s="197">
        <v>1</v>
      </c>
    </row>
    <row r="17" spans="1:3" x14ac:dyDescent="0.25">
      <c r="A17" s="195" t="s">
        <v>1046</v>
      </c>
      <c r="B17" s="196" t="s">
        <v>1047</v>
      </c>
      <c r="C17" s="197">
        <v>1</v>
      </c>
    </row>
    <row r="18" spans="1:3" x14ac:dyDescent="0.25">
      <c r="A18" s="195" t="s">
        <v>1048</v>
      </c>
      <c r="B18" s="196" t="s">
        <v>1049</v>
      </c>
      <c r="C18" s="197">
        <v>16</v>
      </c>
    </row>
    <row r="19" spans="1:3" x14ac:dyDescent="0.25">
      <c r="A19" s="195" t="s">
        <v>1050</v>
      </c>
      <c r="B19" s="196" t="s">
        <v>1051</v>
      </c>
      <c r="C19" s="197">
        <v>4</v>
      </c>
    </row>
    <row r="20" spans="1:3" x14ac:dyDescent="0.25">
      <c r="A20" s="195" t="s">
        <v>1052</v>
      </c>
      <c r="B20" s="196" t="s">
        <v>1053</v>
      </c>
      <c r="C20" s="197">
        <v>1</v>
      </c>
    </row>
    <row r="21" spans="1:3" x14ac:dyDescent="0.25">
      <c r="A21" s="195" t="s">
        <v>1054</v>
      </c>
      <c r="B21" s="196" t="s">
        <v>1055</v>
      </c>
      <c r="C21" s="197">
        <v>1</v>
      </c>
    </row>
    <row r="22" spans="1:3" x14ac:dyDescent="0.25">
      <c r="A22" s="195" t="s">
        <v>1056</v>
      </c>
      <c r="B22" s="196" t="s">
        <v>1057</v>
      </c>
      <c r="C22" s="197">
        <v>1</v>
      </c>
    </row>
    <row r="23" spans="1:3" x14ac:dyDescent="0.25">
      <c r="A23" s="195" t="s">
        <v>1058</v>
      </c>
      <c r="B23" s="196" t="s">
        <v>1059</v>
      </c>
      <c r="C23" s="197">
        <v>1</v>
      </c>
    </row>
  </sheetData>
  <mergeCells count="1">
    <mergeCell ref="A1:C1"/>
  </mergeCells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30" t="s">
        <v>1007</v>
      </c>
      <c r="B1" s="88"/>
      <c r="C1" s="88"/>
      <c r="D1" s="88"/>
      <c r="E1" s="88"/>
      <c r="F1" s="88"/>
      <c r="G1" s="88"/>
      <c r="H1" s="88"/>
      <c r="I1" s="88"/>
    </row>
    <row r="2" spans="1:9" x14ac:dyDescent="0.25">
      <c r="A2" s="89" t="s">
        <v>1</v>
      </c>
      <c r="B2" s="90"/>
      <c r="C2" s="98" t="str">
        <f>'Stavební rozpočet'!C2</f>
        <v>Revitalizace městských bytů v Šumperku - BJ č.4</v>
      </c>
      <c r="D2" s="99"/>
      <c r="E2" s="96" t="s">
        <v>5</v>
      </c>
      <c r="F2" s="96" t="str">
        <f>'Stavební rozpočet'!I2</f>
        <v>Město Šumperk, nám. Míru 1, 787 01 Šumperk</v>
      </c>
      <c r="G2" s="90"/>
      <c r="H2" s="96" t="s">
        <v>962</v>
      </c>
      <c r="I2" s="101" t="s">
        <v>963</v>
      </c>
    </row>
    <row r="3" spans="1:9" ht="15" customHeight="1" x14ac:dyDescent="0.25">
      <c r="A3" s="91"/>
      <c r="B3" s="92"/>
      <c r="C3" s="100"/>
      <c r="D3" s="100"/>
      <c r="E3" s="92"/>
      <c r="F3" s="92"/>
      <c r="G3" s="92"/>
      <c r="H3" s="92"/>
      <c r="I3" s="102"/>
    </row>
    <row r="4" spans="1:9" x14ac:dyDescent="0.25">
      <c r="A4" s="93" t="s">
        <v>7</v>
      </c>
      <c r="B4" s="92"/>
      <c r="C4" s="97" t="str">
        <f>'Stavební rozpočet'!C4</f>
        <v>Bytový dům</v>
      </c>
      <c r="D4" s="92"/>
      <c r="E4" s="97" t="s">
        <v>10</v>
      </c>
      <c r="F4" s="97" t="str">
        <f>'Stavební rozpočet'!I4</f>
        <v>Ing. Petr Doleček</v>
      </c>
      <c r="G4" s="92"/>
      <c r="H4" s="97" t="s">
        <v>962</v>
      </c>
      <c r="I4" s="102" t="s">
        <v>964</v>
      </c>
    </row>
    <row r="5" spans="1:9" ht="15" customHeight="1" x14ac:dyDescent="0.25">
      <c r="A5" s="91"/>
      <c r="B5" s="92"/>
      <c r="C5" s="92"/>
      <c r="D5" s="92"/>
      <c r="E5" s="92"/>
      <c r="F5" s="92"/>
      <c r="G5" s="92"/>
      <c r="H5" s="92"/>
      <c r="I5" s="102"/>
    </row>
    <row r="6" spans="1:9" x14ac:dyDescent="0.25">
      <c r="A6" s="93" t="s">
        <v>12</v>
      </c>
      <c r="B6" s="92"/>
      <c r="C6" s="97" t="str">
        <f>'Stavební rozpočet'!C6</f>
        <v>17.listopadu 1326/5 Šumperk</v>
      </c>
      <c r="D6" s="92"/>
      <c r="E6" s="97" t="s">
        <v>15</v>
      </c>
      <c r="F6" s="97" t="str">
        <f>'Stavební rozpočet'!I6</f>
        <v> </v>
      </c>
      <c r="G6" s="92"/>
      <c r="H6" s="97" t="s">
        <v>962</v>
      </c>
      <c r="I6" s="102" t="s">
        <v>50</v>
      </c>
    </row>
    <row r="7" spans="1:9" ht="15" customHeight="1" x14ac:dyDescent="0.25">
      <c r="A7" s="91"/>
      <c r="B7" s="92"/>
      <c r="C7" s="92"/>
      <c r="D7" s="92"/>
      <c r="E7" s="92"/>
      <c r="F7" s="92"/>
      <c r="G7" s="92"/>
      <c r="H7" s="92"/>
      <c r="I7" s="102"/>
    </row>
    <row r="8" spans="1:9" x14ac:dyDescent="0.25">
      <c r="A8" s="93" t="s">
        <v>9</v>
      </c>
      <c r="B8" s="92"/>
      <c r="C8" s="97" t="str">
        <f>'Stavební rozpočet'!G4</f>
        <v xml:space="preserve"> </v>
      </c>
      <c r="D8" s="92"/>
      <c r="E8" s="97" t="s">
        <v>14</v>
      </c>
      <c r="F8" s="97" t="str">
        <f>'Stavební rozpočet'!G6</f>
        <v xml:space="preserve"> </v>
      </c>
      <c r="G8" s="92"/>
      <c r="H8" s="92" t="s">
        <v>965</v>
      </c>
      <c r="I8" s="133">
        <v>225</v>
      </c>
    </row>
    <row r="9" spans="1:9" x14ac:dyDescent="0.25">
      <c r="A9" s="91"/>
      <c r="B9" s="92"/>
      <c r="C9" s="92"/>
      <c r="D9" s="92"/>
      <c r="E9" s="92"/>
      <c r="F9" s="92"/>
      <c r="G9" s="92"/>
      <c r="H9" s="92"/>
      <c r="I9" s="102"/>
    </row>
    <row r="10" spans="1:9" x14ac:dyDescent="0.25">
      <c r="A10" s="93" t="s">
        <v>17</v>
      </c>
      <c r="B10" s="92"/>
      <c r="C10" s="97" t="str">
        <f>'Stavební rozpočet'!C8</f>
        <v xml:space="preserve"> </v>
      </c>
      <c r="D10" s="92"/>
      <c r="E10" s="97" t="s">
        <v>20</v>
      </c>
      <c r="F10" s="97" t="str">
        <f>'Stavební rozpočet'!I8</f>
        <v>Ing. Petr Doleček</v>
      </c>
      <c r="G10" s="92"/>
      <c r="H10" s="92" t="s">
        <v>966</v>
      </c>
      <c r="I10" s="134" t="str">
        <f>'Stavební rozpočet'!G8</f>
        <v>26.06.2024</v>
      </c>
    </row>
    <row r="11" spans="1:9" x14ac:dyDescent="0.25">
      <c r="A11" s="131"/>
      <c r="B11" s="132"/>
      <c r="C11" s="132"/>
      <c r="D11" s="132"/>
      <c r="E11" s="132"/>
      <c r="F11" s="132"/>
      <c r="G11" s="132"/>
      <c r="H11" s="132"/>
      <c r="I11" s="135"/>
    </row>
    <row r="13" spans="1:9" ht="15.75" x14ac:dyDescent="0.25">
      <c r="A13" s="169" t="s">
        <v>1008</v>
      </c>
      <c r="B13" s="169"/>
      <c r="C13" s="169"/>
      <c r="D13" s="169"/>
      <c r="E13" s="169"/>
    </row>
    <row r="14" spans="1:9" x14ac:dyDescent="0.25">
      <c r="A14" s="170" t="s">
        <v>1009</v>
      </c>
      <c r="B14" s="171"/>
      <c r="C14" s="171"/>
      <c r="D14" s="171"/>
      <c r="E14" s="172"/>
      <c r="F14" s="80" t="s">
        <v>1010</v>
      </c>
      <c r="G14" s="80" t="s">
        <v>1011</v>
      </c>
      <c r="H14" s="80" t="s">
        <v>1012</v>
      </c>
      <c r="I14" s="80" t="s">
        <v>1010</v>
      </c>
    </row>
    <row r="15" spans="1:9" x14ac:dyDescent="0.25">
      <c r="A15" s="173" t="s">
        <v>976</v>
      </c>
      <c r="B15" s="174"/>
      <c r="C15" s="174"/>
      <c r="D15" s="174"/>
      <c r="E15" s="175"/>
      <c r="F15" s="81">
        <v>0</v>
      </c>
      <c r="G15" s="82" t="s">
        <v>50</v>
      </c>
      <c r="H15" s="82" t="s">
        <v>50</v>
      </c>
      <c r="I15" s="81">
        <f>F15</f>
        <v>0</v>
      </c>
    </row>
    <row r="16" spans="1:9" x14ac:dyDescent="0.25">
      <c r="A16" s="173" t="s">
        <v>978</v>
      </c>
      <c r="B16" s="174"/>
      <c r="C16" s="174"/>
      <c r="D16" s="174"/>
      <c r="E16" s="175"/>
      <c r="F16" s="81">
        <v>0</v>
      </c>
      <c r="G16" s="82" t="s">
        <v>50</v>
      </c>
      <c r="H16" s="82" t="s">
        <v>50</v>
      </c>
      <c r="I16" s="81">
        <f>F16</f>
        <v>0</v>
      </c>
    </row>
    <row r="17" spans="1:9" x14ac:dyDescent="0.25">
      <c r="A17" s="176" t="s">
        <v>981</v>
      </c>
      <c r="B17" s="177"/>
      <c r="C17" s="177"/>
      <c r="D17" s="177"/>
      <c r="E17" s="178"/>
      <c r="F17" s="83">
        <v>0</v>
      </c>
      <c r="G17" s="84" t="s">
        <v>50</v>
      </c>
      <c r="H17" s="84" t="s">
        <v>50</v>
      </c>
      <c r="I17" s="83">
        <f>F17</f>
        <v>0</v>
      </c>
    </row>
    <row r="18" spans="1:9" x14ac:dyDescent="0.25">
      <c r="A18" s="179" t="s">
        <v>1013</v>
      </c>
      <c r="B18" s="180"/>
      <c r="C18" s="180"/>
      <c r="D18" s="180"/>
      <c r="E18" s="181"/>
      <c r="F18" s="85" t="s">
        <v>50</v>
      </c>
      <c r="G18" s="86" t="s">
        <v>50</v>
      </c>
      <c r="H18" s="86" t="s">
        <v>50</v>
      </c>
      <c r="I18" s="87">
        <f>SUM(I15:I17)</f>
        <v>0</v>
      </c>
    </row>
    <row r="20" spans="1:9" x14ac:dyDescent="0.25">
      <c r="A20" s="170" t="s">
        <v>973</v>
      </c>
      <c r="B20" s="171"/>
      <c r="C20" s="171"/>
      <c r="D20" s="171"/>
      <c r="E20" s="172"/>
      <c r="F20" s="80" t="s">
        <v>1010</v>
      </c>
      <c r="G20" s="80" t="s">
        <v>1011</v>
      </c>
      <c r="H20" s="80" t="s">
        <v>1012</v>
      </c>
      <c r="I20" s="80" t="s">
        <v>1010</v>
      </c>
    </row>
    <row r="21" spans="1:9" x14ac:dyDescent="0.25">
      <c r="A21" s="173" t="s">
        <v>977</v>
      </c>
      <c r="B21" s="174"/>
      <c r="C21" s="174"/>
      <c r="D21" s="174"/>
      <c r="E21" s="175"/>
      <c r="F21" s="81">
        <v>0</v>
      </c>
      <c r="G21" s="82" t="s">
        <v>50</v>
      </c>
      <c r="H21" s="82" t="s">
        <v>50</v>
      </c>
      <c r="I21" s="81">
        <f t="shared" ref="I21:I26" si="0">F21</f>
        <v>0</v>
      </c>
    </row>
    <row r="22" spans="1:9" x14ac:dyDescent="0.25">
      <c r="A22" s="173" t="s">
        <v>979</v>
      </c>
      <c r="B22" s="174"/>
      <c r="C22" s="174"/>
      <c r="D22" s="174"/>
      <c r="E22" s="175"/>
      <c r="F22" s="81">
        <v>0</v>
      </c>
      <c r="G22" s="82" t="s">
        <v>50</v>
      </c>
      <c r="H22" s="82" t="s">
        <v>50</v>
      </c>
      <c r="I22" s="81">
        <f t="shared" si="0"/>
        <v>0</v>
      </c>
    </row>
    <row r="23" spans="1:9" x14ac:dyDescent="0.25">
      <c r="A23" s="173" t="s">
        <v>982</v>
      </c>
      <c r="B23" s="174"/>
      <c r="C23" s="174"/>
      <c r="D23" s="174"/>
      <c r="E23" s="175"/>
      <c r="F23" s="81">
        <v>0</v>
      </c>
      <c r="G23" s="82" t="s">
        <v>50</v>
      </c>
      <c r="H23" s="82" t="s">
        <v>50</v>
      </c>
      <c r="I23" s="81">
        <f t="shared" si="0"/>
        <v>0</v>
      </c>
    </row>
    <row r="24" spans="1:9" x14ac:dyDescent="0.25">
      <c r="A24" s="173" t="s">
        <v>983</v>
      </c>
      <c r="B24" s="174"/>
      <c r="C24" s="174"/>
      <c r="D24" s="174"/>
      <c r="E24" s="175"/>
      <c r="F24" s="81">
        <v>0</v>
      </c>
      <c r="G24" s="82" t="s">
        <v>50</v>
      </c>
      <c r="H24" s="82" t="s">
        <v>50</v>
      </c>
      <c r="I24" s="81">
        <f t="shared" si="0"/>
        <v>0</v>
      </c>
    </row>
    <row r="25" spans="1:9" x14ac:dyDescent="0.25">
      <c r="A25" s="173" t="s">
        <v>985</v>
      </c>
      <c r="B25" s="174"/>
      <c r="C25" s="174"/>
      <c r="D25" s="174"/>
      <c r="E25" s="175"/>
      <c r="F25" s="81">
        <v>0</v>
      </c>
      <c r="G25" s="82" t="s">
        <v>50</v>
      </c>
      <c r="H25" s="82" t="s">
        <v>50</v>
      </c>
      <c r="I25" s="81">
        <f t="shared" si="0"/>
        <v>0</v>
      </c>
    </row>
    <row r="26" spans="1:9" x14ac:dyDescent="0.25">
      <c r="A26" s="176" t="s">
        <v>986</v>
      </c>
      <c r="B26" s="177"/>
      <c r="C26" s="177"/>
      <c r="D26" s="177"/>
      <c r="E26" s="178"/>
      <c r="F26" s="83">
        <v>0</v>
      </c>
      <c r="G26" s="84" t="s">
        <v>50</v>
      </c>
      <c r="H26" s="84" t="s">
        <v>50</v>
      </c>
      <c r="I26" s="83">
        <f t="shared" si="0"/>
        <v>0</v>
      </c>
    </row>
    <row r="27" spans="1:9" x14ac:dyDescent="0.25">
      <c r="A27" s="179" t="s">
        <v>1014</v>
      </c>
      <c r="B27" s="180"/>
      <c r="C27" s="180"/>
      <c r="D27" s="180"/>
      <c r="E27" s="181"/>
      <c r="F27" s="85" t="s">
        <v>50</v>
      </c>
      <c r="G27" s="87">
        <v>3</v>
      </c>
      <c r="H27" s="87">
        <f>'Krycí list rozpočtu'!C22</f>
        <v>0</v>
      </c>
      <c r="I27" s="87">
        <f>ROUND((G27/100)*H27,2)</f>
        <v>0</v>
      </c>
    </row>
    <row r="29" spans="1:9" ht="15.75" x14ac:dyDescent="0.25">
      <c r="A29" s="182" t="s">
        <v>1015</v>
      </c>
      <c r="B29" s="183"/>
      <c r="C29" s="183"/>
      <c r="D29" s="183"/>
      <c r="E29" s="184"/>
      <c r="F29" s="185">
        <f>I18+I27</f>
        <v>0</v>
      </c>
      <c r="G29" s="186"/>
      <c r="H29" s="186"/>
      <c r="I29" s="187"/>
    </row>
    <row r="33" spans="1:9" ht="15.75" x14ac:dyDescent="0.25">
      <c r="A33" s="169" t="s">
        <v>1016</v>
      </c>
      <c r="B33" s="169"/>
      <c r="C33" s="169"/>
      <c r="D33" s="169"/>
      <c r="E33" s="169"/>
    </row>
    <row r="34" spans="1:9" x14ac:dyDescent="0.25">
      <c r="A34" s="170" t="s">
        <v>1017</v>
      </c>
      <c r="B34" s="171"/>
      <c r="C34" s="171"/>
      <c r="D34" s="171"/>
      <c r="E34" s="172"/>
      <c r="F34" s="80" t="s">
        <v>1010</v>
      </c>
      <c r="G34" s="80" t="s">
        <v>1011</v>
      </c>
      <c r="H34" s="80" t="s">
        <v>1012</v>
      </c>
      <c r="I34" s="80" t="s">
        <v>1010</v>
      </c>
    </row>
    <row r="35" spans="1:9" x14ac:dyDescent="0.25">
      <c r="A35" s="176" t="s">
        <v>50</v>
      </c>
      <c r="B35" s="177"/>
      <c r="C35" s="177"/>
      <c r="D35" s="177"/>
      <c r="E35" s="178"/>
      <c r="F35" s="83">
        <v>0</v>
      </c>
      <c r="G35" s="84" t="s">
        <v>50</v>
      </c>
      <c r="H35" s="84" t="s">
        <v>50</v>
      </c>
      <c r="I35" s="83">
        <f>F35</f>
        <v>0</v>
      </c>
    </row>
    <row r="36" spans="1:9" x14ac:dyDescent="0.25">
      <c r="A36" s="179" t="s">
        <v>1018</v>
      </c>
      <c r="B36" s="180"/>
      <c r="C36" s="180"/>
      <c r="D36" s="180"/>
      <c r="E36" s="181"/>
      <c r="F36" s="85" t="s">
        <v>50</v>
      </c>
      <c r="G36" s="86" t="s">
        <v>50</v>
      </c>
      <c r="H36" s="86" t="s">
        <v>50</v>
      </c>
      <c r="I36" s="87">
        <f>SUM(I35:I35)</f>
        <v>0</v>
      </c>
    </row>
  </sheetData>
  <mergeCells count="51">
    <mergeCell ref="A36:E36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A10:B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Krycí list rozpočtu</vt:lpstr>
      <vt:lpstr>Stavební rozpočet</vt:lpstr>
      <vt:lpstr>Výkaz výměr</vt:lpstr>
      <vt:lpstr>Výpis materiálu elektro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Salcburgerová Lenka, Ing.</cp:lastModifiedBy>
  <dcterms:created xsi:type="dcterms:W3CDTF">2021-06-10T20:06:38Z</dcterms:created>
  <dcterms:modified xsi:type="dcterms:W3CDTF">2024-12-09T13:20:37Z</dcterms:modified>
</cp:coreProperties>
</file>