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490" activeTab="0"/>
  </bookViews>
  <sheets>
    <sheet name="Výkaz výměr" sheetId="1" r:id="rId1"/>
    <sheet name="Výkaz výměr - součet" sheetId="2" r:id="rId2"/>
    <sheet name="Krycí list výkazu výměr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<sst xmlns="http://schemas.openxmlformats.org/spreadsheetml/2006/main" count="2414" uniqueCount="781">
  <si>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</si>
  <si>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</si>
  <si>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</si>
  <si>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</si>
  <si>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</si>
  <si>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</si>
  <si>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</si>
  <si>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</si>
  <si>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</si>
  <si>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</si>
  <si>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</si>
  <si>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</si>
  <si>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</si>
  <si>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</si>
  <si>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</si>
  <si>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</si>
  <si>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</si>
  <si>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</si>
  <si>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</si>
  <si>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</si>
  <si>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</si>
  <si>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</si>
  <si>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</si>
  <si>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</si>
  <si>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</si>
  <si>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</si>
  <si>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</si>
  <si>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</si>
  <si>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</si>
  <si>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</si>
  <si>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</si>
  <si>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</si>
  <si>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</si>
  <si>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</si>
  <si>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</si>
  <si>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</si>
  <si>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</si>
  <si>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</si>
  <si>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</si>
  <si>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</si>
  <si>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</si>
  <si>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</si>
  <si>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</si>
  <si>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</si>
  <si>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</si>
  <si>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</si>
  <si>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</si>
  <si>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</si>
  <si>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</si>
  <si>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</si>
  <si>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</si>
  <si>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</si>
  <si>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</si>
  <si>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</si>
  <si>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</si>
  <si>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</si>
  <si>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</si>
  <si>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</si>
  <si>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</si>
  <si>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</si>
  <si>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</si>
  <si>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</si>
  <si>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</si>
  <si>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</si>
  <si>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</si>
  <si>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</si>
  <si>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</si>
  <si>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</si>
  <si>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</si>
  <si>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</si>
  <si>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</si>
  <si>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</si>
  <si>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</si>
  <si>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</si>
  <si>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</si>
  <si>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</si>
  <si>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</si>
  <si>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</si>
  <si>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</si>
  <si>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</si>
  <si>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</si>
  <si>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</si>
  <si>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</si>
  <si>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</si>
  <si>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</si>
  <si>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</si>
  <si>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</si>
  <si>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</si>
  <si>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</si>
  <si>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</si>
  <si>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</si>
  <si>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</si>
  <si>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</si>
  <si>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</si>
  <si>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</si>
  <si>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</si>
  <si>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</si>
  <si>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</si>
  <si>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</si>
  <si>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</si>
  <si>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</si>
  <si>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</si>
  <si>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</si>
  <si>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</si>
  <si>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</si>
  <si>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</si>
  <si>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</si>
  <si>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</si>
  <si>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</si>
  <si>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</si>
  <si>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</si>
  <si>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</si>
  <si>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</si>
  <si>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</si>
  <si>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</si>
  <si>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</si>
  <si>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</si>
  <si>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</si>
  <si>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</si>
  <si>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</si>
  <si>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</si>
  <si>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</si>
  <si>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</si>
  <si>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</si>
  <si>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</si>
  <si>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</si>
  <si>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</si>
  <si>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</si>
  <si>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</si>
  <si>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</si>
  <si>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</si>
  <si>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</si>
  <si>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</si>
  <si>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</si>
  <si>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</si>
  <si>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</si>
  <si>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</si>
  <si>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</si>
  <si>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</si>
  <si>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</si>
  <si>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</si>
  <si>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</si>
  <si>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</si>
  <si>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</si>
  <si>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</si>
  <si>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</si>
  <si>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</si>
  <si>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</si>
  <si>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</si>
  <si>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</si>
  <si>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</si>
  <si>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</si>
  <si>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</si>
  <si>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</si>
  <si>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</si>
  <si>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</si>
  <si>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</si>
  <si>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</si>
  <si>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</si>
  <si>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</si>
  <si>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</si>
  <si>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</si>
  <si>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</si>
  <si>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</si>
  <si>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</si>
  <si>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</si>
  <si>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</si>
  <si>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</si>
  <si>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</si>
  <si>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</si>
  <si>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</si>
  <si>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</si>
  <si>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</si>
  <si>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</si>
  <si>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</si>
  <si>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</si>
  <si>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</si>
  <si>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</si>
  <si>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</si>
  <si>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</si>
  <si>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</si>
  <si>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</si>
  <si>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</si>
  <si>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</si>
  <si>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</si>
  <si>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</si>
  <si>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Poznámka:</t>
  </si>
  <si>
    <t>Objekt</t>
  </si>
  <si>
    <t>F 1.1</t>
  </si>
  <si>
    <t>SO100</t>
  </si>
  <si>
    <t>SO400</t>
  </si>
  <si>
    <t>SO700</t>
  </si>
  <si>
    <t>SO_01</t>
  </si>
  <si>
    <t>SO_02</t>
  </si>
  <si>
    <t>Kód</t>
  </si>
  <si>
    <t>132201211R00</t>
  </si>
  <si>
    <t>131201209R00</t>
  </si>
  <si>
    <t>174101101R00</t>
  </si>
  <si>
    <t>162401101R00</t>
  </si>
  <si>
    <t>M23</t>
  </si>
  <si>
    <t>230080465R00</t>
  </si>
  <si>
    <t>230080466R00</t>
  </si>
  <si>
    <t>230080467R00</t>
  </si>
  <si>
    <t>230081031R00</t>
  </si>
  <si>
    <t>230082045R00</t>
  </si>
  <si>
    <t>230082068R00</t>
  </si>
  <si>
    <t>230082089R00</t>
  </si>
  <si>
    <t>00</t>
  </si>
  <si>
    <t>001101VDIM</t>
  </si>
  <si>
    <t>002102VDIM</t>
  </si>
  <si>
    <t>004104VDIM</t>
  </si>
  <si>
    <t>003103VDIM</t>
  </si>
  <si>
    <t>201Aa0020IM</t>
  </si>
  <si>
    <t>10135699IM</t>
  </si>
  <si>
    <t>119001412R00</t>
  </si>
  <si>
    <t>119001422R00</t>
  </si>
  <si>
    <t>121101102R00</t>
  </si>
  <si>
    <t>182001121R00</t>
  </si>
  <si>
    <t>979097115</t>
  </si>
  <si>
    <t>979097125</t>
  </si>
  <si>
    <t>122202201R00</t>
  </si>
  <si>
    <t>181102302R00</t>
  </si>
  <si>
    <t>567122114</t>
  </si>
  <si>
    <t>457451132</t>
  </si>
  <si>
    <t>564801111R00</t>
  </si>
  <si>
    <t>565175221</t>
  </si>
  <si>
    <t>564851111R00</t>
  </si>
  <si>
    <t>564821112R00</t>
  </si>
  <si>
    <t>567114111</t>
  </si>
  <si>
    <t>571200011VD</t>
  </si>
  <si>
    <t>573231111R00</t>
  </si>
  <si>
    <t>577144221</t>
  </si>
  <si>
    <t>565175221/00</t>
  </si>
  <si>
    <t>591211111R00</t>
  </si>
  <si>
    <t>599632111R00</t>
  </si>
  <si>
    <t>596215020R00</t>
  </si>
  <si>
    <t>596215028R00</t>
  </si>
  <si>
    <t>599432111R00</t>
  </si>
  <si>
    <t>58380129</t>
  </si>
  <si>
    <t>592451178</t>
  </si>
  <si>
    <t>592451124</t>
  </si>
  <si>
    <t>592451151</t>
  </si>
  <si>
    <t>8702310VD</t>
  </si>
  <si>
    <t>8911111VD</t>
  </si>
  <si>
    <t>892571111R00</t>
  </si>
  <si>
    <t>895941311RT2</t>
  </si>
  <si>
    <t>899201111RT2</t>
  </si>
  <si>
    <t>899231111R00</t>
  </si>
  <si>
    <t>899331111R00</t>
  </si>
  <si>
    <t>460490012RT1</t>
  </si>
  <si>
    <t>8001210VD</t>
  </si>
  <si>
    <t>831350012RA0</t>
  </si>
  <si>
    <t>914001111R00</t>
  </si>
  <si>
    <t>915495112R00</t>
  </si>
  <si>
    <t>915711111R00</t>
  </si>
  <si>
    <t>915719111R00</t>
  </si>
  <si>
    <t>915721112R00</t>
  </si>
  <si>
    <t>915791111R00</t>
  </si>
  <si>
    <t>917862111RT5</t>
  </si>
  <si>
    <t>918101111R00</t>
  </si>
  <si>
    <t>40445221</t>
  </si>
  <si>
    <t>40445343</t>
  </si>
  <si>
    <t>40445347</t>
  </si>
  <si>
    <t>40445920</t>
  </si>
  <si>
    <t>40445900</t>
  </si>
  <si>
    <t>592162117.A</t>
  </si>
  <si>
    <t>966006132R00</t>
  </si>
  <si>
    <t>966006211R00</t>
  </si>
  <si>
    <t>113106121R00</t>
  </si>
  <si>
    <t>113107112R00</t>
  </si>
  <si>
    <t>113107242R00</t>
  </si>
  <si>
    <t>113151214R00</t>
  </si>
  <si>
    <t>979011111R00</t>
  </si>
  <si>
    <t>113201111R00</t>
  </si>
  <si>
    <t>113202111R00</t>
  </si>
  <si>
    <t>130901121R00</t>
  </si>
  <si>
    <t>979081111R00</t>
  </si>
  <si>
    <t>979081121R00</t>
  </si>
  <si>
    <t>979093111R00</t>
  </si>
  <si>
    <t>979999996R00</t>
  </si>
  <si>
    <t>979999999R00</t>
  </si>
  <si>
    <t>998225111R00</t>
  </si>
  <si>
    <t>MOB</t>
  </si>
  <si>
    <t>MOBMMC02a</t>
  </si>
  <si>
    <t>MOBMMC02b</t>
  </si>
  <si>
    <t>MOBMMC02</t>
  </si>
  <si>
    <t>MOBMMC03a</t>
  </si>
  <si>
    <t>MOBMMC03b</t>
  </si>
  <si>
    <t>MOBMMC03</t>
  </si>
  <si>
    <t>MOBMMC04a</t>
  </si>
  <si>
    <t>MOBMMC04b</t>
  </si>
  <si>
    <t>MOBMMC04</t>
  </si>
  <si>
    <t>MOBkar05a</t>
  </si>
  <si>
    <t>MOBkar05</t>
  </si>
  <si>
    <t>MOBMMC06a</t>
  </si>
  <si>
    <t>MOBMMC06b</t>
  </si>
  <si>
    <t>MOBMMC06</t>
  </si>
  <si>
    <t>MOBMMC07a</t>
  </si>
  <si>
    <t>MOBMMC07b</t>
  </si>
  <si>
    <t>MOBMMC07</t>
  </si>
  <si>
    <t>M21</t>
  </si>
  <si>
    <t>210100030RAB</t>
  </si>
  <si>
    <t>M21_01</t>
  </si>
  <si>
    <t>220101VD</t>
  </si>
  <si>
    <t>963053936</t>
  </si>
  <si>
    <t>767392801</t>
  </si>
  <si>
    <t>M21_02</t>
  </si>
  <si>
    <t>221131101VD</t>
  </si>
  <si>
    <t>221131102VD</t>
  </si>
  <si>
    <t>221131103VD</t>
  </si>
  <si>
    <t>221131104VD</t>
  </si>
  <si>
    <t>221131105VD</t>
  </si>
  <si>
    <t>221131106VD</t>
  </si>
  <si>
    <t>221131107VD</t>
  </si>
  <si>
    <t>221131111VD</t>
  </si>
  <si>
    <t>221131112VD</t>
  </si>
  <si>
    <t>221131113VD</t>
  </si>
  <si>
    <t>221131114VD</t>
  </si>
  <si>
    <t>221131115VD</t>
  </si>
  <si>
    <t>221131116VD</t>
  </si>
  <si>
    <t>221131117VD</t>
  </si>
  <si>
    <t>221131118VD</t>
  </si>
  <si>
    <t>221131119VD</t>
  </si>
  <si>
    <t>221131120VD</t>
  </si>
  <si>
    <t>221131121VD</t>
  </si>
  <si>
    <t>221151101VD</t>
  </si>
  <si>
    <t>221151102VD</t>
  </si>
  <si>
    <t>221151103VD</t>
  </si>
  <si>
    <t>M46</t>
  </si>
  <si>
    <t>460010011RT1</t>
  </si>
  <si>
    <t>460070553</t>
  </si>
  <si>
    <t>460120013</t>
  </si>
  <si>
    <t>460200153</t>
  </si>
  <si>
    <t>460300001</t>
  </si>
  <si>
    <t>460421001</t>
  </si>
  <si>
    <t>598X44957</t>
  </si>
  <si>
    <t>022X3088</t>
  </si>
  <si>
    <t>162501102</t>
  </si>
  <si>
    <t>171201201</t>
  </si>
  <si>
    <t>181101102</t>
  </si>
  <si>
    <t>561291111R00</t>
  </si>
  <si>
    <t>271531111</t>
  </si>
  <si>
    <t>273321211</t>
  </si>
  <si>
    <t>564851113R00</t>
  </si>
  <si>
    <t>564861114R00</t>
  </si>
  <si>
    <t>596215040R00</t>
  </si>
  <si>
    <t>59245030</t>
  </si>
  <si>
    <t>951</t>
  </si>
  <si>
    <t>900111VD</t>
  </si>
  <si>
    <t>900112VD</t>
  </si>
  <si>
    <t>900115VD</t>
  </si>
  <si>
    <t>0301</t>
  </si>
  <si>
    <t>0601</t>
  </si>
  <si>
    <t>998223011R00</t>
  </si>
  <si>
    <t>PARKOVIŠTĚ A SBĚRNÁ MÍSTA PRO ODPAD,ULICE EVALDOVA</t>
  </si>
  <si>
    <t>Šumperk</t>
  </si>
  <si>
    <t>Zkrácený popis</t>
  </si>
  <si>
    <t>Rozměry</t>
  </si>
  <si>
    <t>Rušený plynovod</t>
  </si>
  <si>
    <t>Zemní práce</t>
  </si>
  <si>
    <t>Hloubení rýh š.do 200 cm hor.3 do 100 m3,STROJNĚ</t>
  </si>
  <si>
    <t>Příplatek za lepivost - hloubení zapaž.jam v hor.3</t>
  </si>
  <si>
    <t>292*0,3</t>
  </si>
  <si>
    <t>Zásyp jam, rýh, šachet se zhutněním</t>
  </si>
  <si>
    <t>Vodorovné přemístění výkopku z hor.1-4 do 1500 m</t>
  </si>
  <si>
    <t>Montáže potrubí</t>
  </si>
  <si>
    <t>Řez potrubí ocel DN 50</t>
  </si>
  <si>
    <t>Řez potrubí ocel DN 70</t>
  </si>
  <si>
    <t>Řez potrubí ruční pilkou 76 x 3,2</t>
  </si>
  <si>
    <t>Řez potrubí ruční pilkou 89 x 3,6</t>
  </si>
  <si>
    <t>Demontáž do šrotu do 10 kg, DN 50 vč odvozu do šrotu</t>
  </si>
  <si>
    <t>7/3</t>
  </si>
  <si>
    <t>Demontáž do šrotu do 50 kg, DN 70 vč odvozu do šrotu</t>
  </si>
  <si>
    <t>36/3</t>
  </si>
  <si>
    <t>Demontáž do šrotu do 50 kg, DN 100 vč odvozu do šrotu</t>
  </si>
  <si>
    <t>55/3</t>
  </si>
  <si>
    <t>Demontáž do šrotu do 50 kg, DN 150 vč odvozu do šrotu</t>
  </si>
  <si>
    <t>267/3</t>
  </si>
  <si>
    <t>Stavební úpravy komunikace, ulice Evaldova</t>
  </si>
  <si>
    <t>Všeobecné konstrukce a práce</t>
  </si>
  <si>
    <t>Vytyčení stavby</t>
  </si>
  <si>
    <t>Dopravní značení po čas výstavby</t>
  </si>
  <si>
    <t>Geometrické zaměření skut. Stavu, 3*CD</t>
  </si>
  <si>
    <t>Dočasná panelová komunikace</t>
  </si>
  <si>
    <t>Projektová dokumentace pro - skutečné provedení stavby (DSPS), 3*cd</t>
  </si>
  <si>
    <t>Geometrické zaměření , 5*CD</t>
  </si>
  <si>
    <t>Provedení statických zatěžovacích zkoušek (5 zkoušek)</t>
  </si>
  <si>
    <t>Dočasné zajištění betonového potrubí DN 200-500 mm – stávající kanalizace a vodovodu (předpoklad)</t>
  </si>
  <si>
    <t>Dočasné zajištění kabelů - v počtu 3 - 6 kabelů (NN, VN a O2)</t>
  </si>
  <si>
    <t>Sejmutí ornice s přemístěním přes 50 do 100 m</t>
  </si>
  <si>
    <t>Plošná úprava terénu, nerovnosti do 15 cm v rovině</t>
  </si>
  <si>
    <t>Poplatek za skládku - ostatní zemina</t>
  </si>
  <si>
    <t>Nákup ornice, včetně manipulace a dovozu</t>
  </si>
  <si>
    <t>Odkopávky pro silnice v hor. 3 do 100 m3</t>
  </si>
  <si>
    <t>Úprava pláně silnic v zářezech se zhutněním</t>
  </si>
  <si>
    <t>Zpevňování hornin a konstrukcí</t>
  </si>
  <si>
    <t>Podklad z kameniva zpevněného cementem CS I tl.50mm</t>
  </si>
  <si>
    <t>komunikace, parkoviště, zpevněná plocha a pojezdový chodník</t>
  </si>
  <si>
    <t>(2342+1937+32+1202)*0,05</t>
  </si>
  <si>
    <t>(2342+1937+32+1202)</t>
  </si>
  <si>
    <t>Ochranná betonová vrstva na izolaci přesýpaných objektů tl 75-90 mm s výztuží sítí beton C 16/20</t>
  </si>
  <si>
    <t>Teplovod</t>
  </si>
  <si>
    <t>(54,40*1,0+20,0*1,0)*0,085</t>
  </si>
  <si>
    <t>Komunikace a zpevněné plochy</t>
  </si>
  <si>
    <t>Podklad ze štěrkodrti po zhutnění tloušťky 4 cm (parkoviště, pojezdové chodníky)</t>
  </si>
  <si>
    <t>1937+1202+32,00</t>
  </si>
  <si>
    <t>Podklad směs stmelená cementem CS C8/10 nad 3,0mm š nad 3 m-tl.130mm</t>
  </si>
  <si>
    <t>2342+1937+32+1202</t>
  </si>
  <si>
    <t>Podklad ze štěrkodrti po zhutnění tloušťky 20 cm (komunikace)</t>
  </si>
  <si>
    <t>2342</t>
  </si>
  <si>
    <t>Podklad ze štěrkodrti po zhutnění tloušťky 20 cm (parkoviště)</t>
  </si>
  <si>
    <t>1937</t>
  </si>
  <si>
    <t>Podklad ze štěrkodrti po zhutnění tloušťky 9 cm (mlatový chodník)</t>
  </si>
  <si>
    <t>Podklad ze štěrkodrti po zhutnění tloušťky 15 cm (mlatový chodník)</t>
  </si>
  <si>
    <t>Podklad ze štěrkodrti po zhutnění tloušťky 3 cm chodníky</t>
  </si>
  <si>
    <t>933+90+19+1202</t>
  </si>
  <si>
    <t>Podklad ze štěrkodrti po zhutnění tloušťky 15 cm (chodníky)</t>
  </si>
  <si>
    <t>Podklad z podkladového betonu PB tl 100 mm</t>
  </si>
  <si>
    <t>(54,40*1,0+20,0*1,0)</t>
  </si>
  <si>
    <t>síť výztužná svařovaná KARÍ KH 30 11 139 3 x 2 m D 6 mm</t>
  </si>
  <si>
    <t>74,4/6=12,4</t>
  </si>
  <si>
    <t>Mlatová vrstva - kačírek praný 22-32</t>
  </si>
  <si>
    <t>117,5*0,06</t>
  </si>
  <si>
    <t>Postřik živičný spojovací z emulze 0,2-0,4 kg/m2</t>
  </si>
  <si>
    <t>Asfaltový beton obrusná  vrstva  ACO11+(ABS) tl 70 mm š nad 3 mz modifikovaného asfaltu</t>
  </si>
  <si>
    <t>Asfaltový beton ložní vrstva  ACO16+(ABH) tl.40 mm š nad 3 mz modifikovaného asfaltu</t>
  </si>
  <si>
    <t>Kladení dlažby malé kostky,lože z kamen.tl. 10 cm</t>
  </si>
  <si>
    <t>4*5,75</t>
  </si>
  <si>
    <t>Výplň spár dlažby z lomového kamene MC se zatřením</t>
  </si>
  <si>
    <t>24+15,02</t>
  </si>
  <si>
    <t>Kladení zámkové dlažby tl. 6 cm do drtě tl. 3 cm</t>
  </si>
  <si>
    <t>933+90+19</t>
  </si>
  <si>
    <t>Kladení zámkové dlažby tl. 8 cm do drtě tl. 3 cm</t>
  </si>
  <si>
    <t>1202+32</t>
  </si>
  <si>
    <t>Příplatek za více barev dlažby tl. 6 cm, do drtě</t>
  </si>
  <si>
    <t>0,81*6+0,95*12+1,34</t>
  </si>
  <si>
    <t>Výplň spár dlažby z lomového kamene kam.těženým</t>
  </si>
  <si>
    <t>Kostka dlažební drobná 10/12 štípaná Itř. 1t=4,0m2</t>
  </si>
  <si>
    <t>lemování mlatového chodníku</t>
  </si>
  <si>
    <t>133*0,1=13,3m2</t>
  </si>
  <si>
    <t>zpomalovací práh 24,00m2</t>
  </si>
  <si>
    <t>4*5,75=23m2</t>
  </si>
  <si>
    <t>(23+13,3)/4*2,6</t>
  </si>
  <si>
    <t>;ztratné 1,1%; 0,2596</t>
  </si>
  <si>
    <t>Dlažba BF 20x10x8 cm přírodní</t>
  </si>
  <si>
    <t>;ztratné 1,01%; 12,4634</t>
  </si>
  <si>
    <t>Dlažba BF 20x10x6 cm přírodní (BF - bez fazety (ostrá hrana))</t>
  </si>
  <si>
    <t>;ztratné 1,01%; 10,5242</t>
  </si>
  <si>
    <t>Dlažba SLP 20x10x6 cm červená</t>
  </si>
  <si>
    <t>17,6</t>
  </si>
  <si>
    <t>;ztratné 1,01%; 0,17776</t>
  </si>
  <si>
    <t>Potrubí z trub plastických, skleněných a čedičových</t>
  </si>
  <si>
    <t>Signal.vodič CYY 1.5</t>
  </si>
  <si>
    <t>Kamerové zkoušky deštové kanalizace DN 300</t>
  </si>
  <si>
    <t>Zkouška těsnosti kanalizace DN do 200, vodou</t>
  </si>
  <si>
    <t>Zřízení vpusti uliční z dílců typ UVB - 50 včetně dodávky dílců pro uliční vpusti TBV</t>
  </si>
  <si>
    <t>Osazení mříží litinových s rámem do 50 kg včetně dodání mříže lehké s rámem 300 x 300</t>
  </si>
  <si>
    <t>Výšková úprava mříže vpusti</t>
  </si>
  <si>
    <t>Výšková úprava stávajících poklopů</t>
  </si>
  <si>
    <t>Zakrytí potrubí výstražnou folií PVC, šířka 33 cm</t>
  </si>
  <si>
    <t>Napojení na stávající kanalizaci, odstranění záslepek</t>
  </si>
  <si>
    <t>Kanalizace z trub PVC hrdlových D 160, hl. 2,0 m (přípojky) vč zem. prací, obsyp apod</t>
  </si>
  <si>
    <t>Doplňující konstrukce a práce na pozemních komunikacích a zpevněných plochách</t>
  </si>
  <si>
    <t>Montáž svislých dopr.značek na sloupky, konzoly</t>
  </si>
  <si>
    <t>Osazení desek, bílý beton, do kamen.těž., š. 25 cm,</t>
  </si>
  <si>
    <t>181,5+7,0+9,7+9,7+17,0+42,8+16,5+2,8+7,6+2,75</t>
  </si>
  <si>
    <t>32,7+3+8,6+3,2*2*9+13,3+3,9+21,9+41,0+33,25</t>
  </si>
  <si>
    <t>33,25+6,3+15,2+10,7+10,5+9*2+37,2+20,3</t>
  </si>
  <si>
    <t>32,5+20+41,5+7,9+17,2+7,4+41,9+11,55</t>
  </si>
  <si>
    <t>Vodorovné značení střík.barvou dělících čar 12 cm</t>
  </si>
  <si>
    <t>V12a- 5,2+11,7+7,2+11,5+10,7+11,7+10,8+11,7+10,8+11,7=109,30m</t>
  </si>
  <si>
    <t>V10a – 33,5+17,3+41,9+10,8+46,5+2,4*24=207,60m</t>
  </si>
  <si>
    <t>V10f – 10*2,4=24,0m</t>
  </si>
  <si>
    <t>V12d-11,60m</t>
  </si>
  <si>
    <t>109,3+207,6+24+11,6</t>
  </si>
  <si>
    <t>Příplatek za reflexní úpravu dělících čar 12 cm</t>
  </si>
  <si>
    <t>352,5</t>
  </si>
  <si>
    <t>Vodorovné značení silnovrstvé stopčar,zeber atd.</t>
  </si>
  <si>
    <t>352,5*0,2</t>
  </si>
  <si>
    <t>Předznačení pro značení dělící čáry,vodící proužky</t>
  </si>
  <si>
    <t>Osazení stojat. obrub. bet. s opěrou,lože z B 12,5 včetně obrubníku 100/15/25</t>
  </si>
  <si>
    <t>912</t>
  </si>
  <si>
    <t>Osazení stojat. obrub. bet. s opěrou,lože z B 12,5 včetně obrubníku 100/10/25</t>
  </si>
  <si>
    <t>1722</t>
  </si>
  <si>
    <t>Lože pod obrubníky nebo obruby dlažeb z B 12,5</t>
  </si>
  <si>
    <t>(844+912+1722)*0,3*0,25</t>
  </si>
  <si>
    <t>Značka dopr.zákazové B1-B34 700 mm, pozink.tř1</t>
  </si>
  <si>
    <t>Značka dopr.informat.IP8a-IP13d 500x700mm,poz.,tř2</t>
  </si>
  <si>
    <t>Značka dopr.infor.IP22-IP29 1000x1500mm,poz.tř.2</t>
  </si>
  <si>
    <t>Stojan k silničním dopravním značkám jednoduchý</t>
  </si>
  <si>
    <t>Stojan k ČD "rychlostník kulatý"</t>
  </si>
  <si>
    <t>Značka dopr.příkazová P4 700 mm, pozink.tř1</t>
  </si>
  <si>
    <t>Značka dopr.informat.IP4b 700mm,poz.,tř2</t>
  </si>
  <si>
    <t>Přídlažba silniční vysoká 50/25/10 bílá</t>
  </si>
  <si>
    <t>844*2</t>
  </si>
  <si>
    <t>;ztratné 1,01%; 17,0488</t>
  </si>
  <si>
    <t>Bourání konstrukcí</t>
  </si>
  <si>
    <t>Odstranění doprav.značek se sloupky, s bet.patkami</t>
  </si>
  <si>
    <t>Odstranění doprav. značek ze sloupů nebo konzolí</t>
  </si>
  <si>
    <t>Rozebrání dlažeb z betonových dlaždic na sucho</t>
  </si>
  <si>
    <t>770,00+408,50+879,5+17,6</t>
  </si>
  <si>
    <t>Odstranění podkladu pl. 200 m2,kam.těžené tl.20 cm (chodníky)</t>
  </si>
  <si>
    <t>Odstranění podkladu pl. 200 m2,kam.těžené tl.40 cm (komunikace)</t>
  </si>
  <si>
    <t>Odstranění podkladu nad 200 m2, živičného tl.10 cm (komunikace)</t>
  </si>
  <si>
    <t>Frézování krytu nad 500 m2, bez překážek, tl.10 cm</t>
  </si>
  <si>
    <t>Svislá doprava suti a vybour. hmot za 2.NP a 1.PP</t>
  </si>
  <si>
    <t>Vytrhání obrub chodníkových ležatých</t>
  </si>
  <si>
    <t>815,50+11,8+10,9+3,2+360,5+407,4+45,0+67,3+53,1+40,5+14</t>
  </si>
  <si>
    <t>Vytrhání obrub z krajníků nebo obrubníků stojatých</t>
  </si>
  <si>
    <t>41,9+21,9+32,7+3+8,6+3,2*2*9+13,3+3,9+21,9</t>
  </si>
  <si>
    <t>41,0+33,25+6,3+15,2+10,7+10,5+9*2+37,2+20,3</t>
  </si>
  <si>
    <t>32,5+20+41,5+7,9+17,2+7,4+6+6+6+6+6+6+5,2+3+30+5,2+6</t>
  </si>
  <si>
    <t>Vytrhání přídlažby - žulový dvojřádek v betonovém loži, uložení na skladku včetně očištění</t>
  </si>
  <si>
    <t>183*0,3</t>
  </si>
  <si>
    <t>Bourání konstrukcí z betonu prostého</t>
  </si>
  <si>
    <t>0,07*54,9+989,1*0,03+1829,2*0,04</t>
  </si>
  <si>
    <t>Odvoz suti a vybour. hmot na skládku do 1 km</t>
  </si>
  <si>
    <t>Příplatek k odvozu za každý další 1 km</t>
  </si>
  <si>
    <t>3570,4478*7</t>
  </si>
  <si>
    <t>Uložení suti na skládku bez zhutnění</t>
  </si>
  <si>
    <t>3570,4478</t>
  </si>
  <si>
    <t>Poplatek za skládku suti a vybouraných hmot</t>
  </si>
  <si>
    <t>3570,4478-1252,07</t>
  </si>
  <si>
    <t>Poplatek za skladku asfalt</t>
  </si>
  <si>
    <t>1252,068</t>
  </si>
  <si>
    <t>Přesun hmot</t>
  </si>
  <si>
    <t>Mobiliář</t>
  </si>
  <si>
    <t>Parková lavička s opěradlem - montáž</t>
  </si>
  <si>
    <t>Parková lavička s opěradlem - spodní stavba</t>
  </si>
  <si>
    <t>Stojan na jízdní kola - montáž</t>
  </si>
  <si>
    <t>Stojan na jízdní kola - spodní stavba</t>
  </si>
  <si>
    <t>Odpadkový koš se stříškou - montáž</t>
  </si>
  <si>
    <t>Odpadkový koš se stříškou - spodní stavba</t>
  </si>
  <si>
    <t>OS - balanční tyč - montáž a spodní stavba</t>
  </si>
  <si>
    <t>OS - balanční tyč</t>
  </si>
  <si>
    <t>Kolotoč - montáž</t>
  </si>
  <si>
    <t>Kolotoč - spodní stavba</t>
  </si>
  <si>
    <t>Kolotoč - ocelová konstrukce,</t>
  </si>
  <si>
    <t>Houpačka - montáž</t>
  </si>
  <si>
    <t>Houpačka - spodní stavba</t>
  </si>
  <si>
    <t>Houpačka - ocelová konstrukce,</t>
  </si>
  <si>
    <t xml:space="preserve">Stavební úpravy veřejného osvětlení   </t>
  </si>
  <si>
    <t>Elektromontáže</t>
  </si>
  <si>
    <t>Chráničky NN – křížení</t>
  </si>
  <si>
    <t>Demontáže</t>
  </si>
  <si>
    <t>Odpojení a demontáž stávajícího osvětlovacího sloupu nadzemní výšky 4,2 m, s jedním svítidlem VO</t>
  </si>
  <si>
    <t>Bourání základů ze ŽB</t>
  </si>
  <si>
    <t>Demontáž atypických zámečnických konstrukcí hmotnosti jednotlivých dílů do 50 kg -odhad</t>
  </si>
  <si>
    <t>Nové rozvody VO</t>
  </si>
  <si>
    <t>Sloup 5,2 m nad zemí (DCZ 5,2), pozinkovaný + barva RAL černá, včetně držáku 1384 pro 2 výložníky (atyp), Energorozvody Praha</t>
  </si>
  <si>
    <t>Rameno (1369), dlouhé, barva RAL černá,</t>
  </si>
  <si>
    <t>Objímka (1313) SAP-E 70, barva RAL černá,</t>
  </si>
  <si>
    <t>Stínidlo GLOBO 400 (1332), černý vrch</t>
  </si>
  <si>
    <t>Stínicí mřížka (1314),</t>
  </si>
  <si>
    <t>Sodíková výbojka SAP-E 70 W,</t>
  </si>
  <si>
    <t>Sloupová svorkovnice SR 951/2, 2 pojistky,</t>
  </si>
  <si>
    <t>Kabel CYKY-J 3x1,5</t>
  </si>
  <si>
    <t>Ukončení kabelu CYKY-J 3x1,5 ve sloupové svorkovnici a ve objímce, resp. sloupkovém svítidle</t>
  </si>
  <si>
    <t>Kabel CYKY-J 4x16</t>
  </si>
  <si>
    <t>Ukončení kabelu CYKY-J 4x16 ve sloupové rozvodnici</t>
  </si>
  <si>
    <t>Chránička Koruflex PE-HD 75/63, červená</t>
  </si>
  <si>
    <t>Osazení trubky plastové do rýhy + obsyp 15 cm pískem</t>
  </si>
  <si>
    <t>Pásek FeZn 30/4 mm (0,95 kg/m) v zemi a na povrchu</t>
  </si>
  <si>
    <t>Svorka zkušební SR02 - pásek/pásek</t>
  </si>
  <si>
    <t>Spoj pásku v zemi s antikorozní ochranou (nátěrem suspensí)</t>
  </si>
  <si>
    <t>Ukončení pásku FeZn na sloupu a sloupku</t>
  </si>
  <si>
    <t>Pomocný materiál (manipulace v rozváděči VO, nátěrové hmoty, spojovací materiál, příspěvek na ekologickou likvidaci svítidel, příspěvek na ekologickou</t>
  </si>
  <si>
    <t>Dopravní a montážní mechanismy a plošiny</t>
  </si>
  <si>
    <t>Doprava montážního materiálu</t>
  </si>
  <si>
    <t>Výchozí revize</t>
  </si>
  <si>
    <t>Zemní práce při montážích</t>
  </si>
  <si>
    <t>Vytýčení trasy nn vedení v přehled.terénu, v obci</t>
  </si>
  <si>
    <t>Hloubení nezapažených jam pro základy silničních stožárů s patkou v hornině tř 3</t>
  </si>
  <si>
    <t>Zásyp jam ručně v hornině třídy 3</t>
  </si>
  <si>
    <t>0,8*0,8*1,5*32</t>
  </si>
  <si>
    <t>Hloubení kabelových nezapažených rýh ručně š 35 cm, hl 70 cm, v hornině tř 3</t>
  </si>
  <si>
    <t>Zásyp jam nebo rýh strojně včetně zhutnění v zástavbě</t>
  </si>
  <si>
    <t>920*0,35*0,7</t>
  </si>
  <si>
    <t>Lože kabelů z písku nebo štěrkopísku tl 5 cm nad kabel, bez zakrytí, šířky lože do 65 cm</t>
  </si>
  <si>
    <t>Doprava štěrkodrti a kameniva - do 30 km</t>
  </si>
  <si>
    <t>920*0,65*0,05*2,6</t>
  </si>
  <si>
    <t>Zakrytí kabelu výstražnou folií PVC, šířka 33 cm - fólie PVC šířka 33 cm</t>
  </si>
  <si>
    <t>Přeložka vč chráničky kabelů pro NN- + zemní práce</t>
  </si>
  <si>
    <t>Podzemní kontejnery</t>
  </si>
  <si>
    <t>Vodorovné přemístění do 3000 m výkopku z horniny tř. 1 až 4</t>
  </si>
  <si>
    <t>Uložení sypaniny na skládky</t>
  </si>
  <si>
    <t>Úprava pláně v zářezech v hornině tř. 1 až 4 se zhutněním</t>
  </si>
  <si>
    <t>3*30+27,3+28</t>
  </si>
  <si>
    <t>Zpevnění ploch štěrkopísk. stab. cement. SPC 250 (obsyp kontejnerů)</t>
  </si>
  <si>
    <t>Základy</t>
  </si>
  <si>
    <t>Polštáře zhutněné pod základy z kameniva drceného frakce 16 až 63 mm</t>
  </si>
  <si>
    <t>B tř. C 12/15 základových desek</t>
  </si>
  <si>
    <t>Podklad ze štěrkodrti po zhutnění tloušťky 15cm</t>
  </si>
  <si>
    <t>Podklad ze štěrkodrti po zhutnění tloušťky 20 cm</t>
  </si>
  <si>
    <t>Kladení zámkové dlažby tl. 8 cm do drtě tl. 4 cm</t>
  </si>
  <si>
    <t>Dlažba zámková 20x16,5x8 cm přírodní</t>
  </si>
  <si>
    <t>;ztratné 1,01%; 0,9999</t>
  </si>
  <si>
    <t>Kontejnery</t>
  </si>
  <si>
    <t>PODZEMNÍ KONTEJNER 3,00 m3 jednoduchý plast</t>
  </si>
  <si>
    <t>PODZEMNÍ KONTEJNER 3,00 m3 jednoduchý plapír</t>
  </si>
  <si>
    <t>PODZEMNÍ KONTEJNER 5,00 m3 jednoduchý</t>
  </si>
  <si>
    <t>PODZEMNÍ KONTEJNER 1,5+1,5m3 sklo dělené</t>
  </si>
  <si>
    <t>Montáž</t>
  </si>
  <si>
    <t>Doprava</t>
  </si>
  <si>
    <t>Přesun hmot, pozemní komunikace, kryt dlážděný</t>
  </si>
  <si>
    <t>Vodovod - odpočet akce VHZ</t>
  </si>
  <si>
    <t>Štěrkodrť frakce 0-63 - včetně dopravy a přesunu hmot - pro zásyp v komunikaci</t>
  </si>
  <si>
    <t>Kanalizace - odpočet akce VHZ</t>
  </si>
  <si>
    <t>Doba výstavby:</t>
  </si>
  <si>
    <t>Začátek výstavby:</t>
  </si>
  <si>
    <t>Konec výstavby:</t>
  </si>
  <si>
    <t>Zpracováno dne:</t>
  </si>
  <si>
    <t>M.j.</t>
  </si>
  <si>
    <t>m3</t>
  </si>
  <si>
    <t>kus</t>
  </si>
  <si>
    <t>kpl</t>
  </si>
  <si>
    <t>m2</t>
  </si>
  <si>
    <t>m</t>
  </si>
  <si>
    <t>ks</t>
  </si>
  <si>
    <t>T</t>
  </si>
  <si>
    <t>t</t>
  </si>
  <si>
    <t>kg</t>
  </si>
  <si>
    <t>sada</t>
  </si>
  <si>
    <t>hod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</si>
  <si>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</si>
  <si>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</si>
  <si>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</si>
  <si>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</si>
  <si>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</si>
  <si>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</si>
  <si>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</si>
  <si>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</si>
  <si>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</si>
  <si>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</si>
  <si>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</si>
  <si>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Město Šumperk</t>
  </si>
  <si>
    <t>Regioprojektmorava s.r.o. Šumperk</t>
  </si>
  <si>
    <t>Celkem</t>
  </si>
  <si>
    <t>Hmotnost (t)</t>
  </si>
  <si>
    <t>Cenová</t>
  </si>
  <si>
    <t>soustava</t>
  </si>
  <si>
    <t>RTS I / 2014</t>
  </si>
  <si>
    <t>RTS II / 2013</t>
  </si>
  <si>
    <t>0</t>
  </si>
  <si>
    <t>Přesuny</t>
  </si>
  <si>
    <t>Typ skupiny</t>
  </si>
  <si>
    <t>HS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</si>
  <si>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</si>
  <si>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</si>
  <si>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</si>
  <si>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</si>
  <si>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</si>
  <si>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</si>
  <si>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</si>
  <si>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</si>
  <si>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10_</t>
  </si>
  <si>
    <t>M23_</t>
  </si>
  <si>
    <t>00_</t>
  </si>
  <si>
    <t>28_</t>
  </si>
  <si>
    <t>50_</t>
  </si>
  <si>
    <t>87_</t>
  </si>
  <si>
    <t>91_</t>
  </si>
  <si>
    <t>96_</t>
  </si>
  <si>
    <t>99_</t>
  </si>
  <si>
    <t>MOB_</t>
  </si>
  <si>
    <t>M21_</t>
  </si>
  <si>
    <t>M21_01_</t>
  </si>
  <si>
    <t>M21_02_</t>
  </si>
  <si>
    <t>M46_</t>
  </si>
  <si>
    <t>27_</t>
  </si>
  <si>
    <t>951_</t>
  </si>
  <si>
    <t>1_</t>
  </si>
  <si>
    <t>9_</t>
  </si>
  <si>
    <t>0_</t>
  </si>
  <si>
    <t>2_</t>
  </si>
  <si>
    <t>5_</t>
  </si>
  <si>
    <t>8_</t>
  </si>
  <si>
    <t>F 1.1_</t>
  </si>
  <si>
    <t>SO100_</t>
  </si>
  <si>
    <t>SO400_</t>
  </si>
  <si>
    <t>SO700_</t>
  </si>
  <si>
    <t>SO_01_</t>
  </si>
  <si>
    <t>SO_02_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</si>
  <si>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</si>
  <si>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</si>
  <si>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</si>
  <si>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</si>
  <si>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</si>
  <si>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</si>
  <si>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</si>
  <si>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</si>
  <si>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</si>
  <si>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</si>
  <si>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</si>
  <si>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</si>
  <si>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</si>
  <si>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</si>
  <si>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</si>
  <si>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</si>
  <si>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</si>
  <si>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</si>
  <si>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</si>
  <si>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</si>
  <si>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</si>
  <si>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</si>
  <si>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</si>
  <si>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</si>
  <si>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</si>
  <si>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</si>
  <si>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</si>
  <si>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</si>
  <si>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</si>
  <si>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</si>
  <si>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</si>
  <si>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</si>
  <si>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</si>
  <si>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</si>
  <si>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</si>
  <si>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</si>
  <si>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</si>
  <si>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</si>
  <si>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</si>
  <si>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</si>
  <si>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</si>
  <si>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</si>
  <si>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</si>
  <si>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</si>
  <si>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</si>
  <si>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</si>
  <si>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</si>
  <si>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</si>
  <si>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0,00/0,00</t>
  </si>
  <si>
    <t>Vedlejší a ostatní rozpočtové náklady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</si>
  <si>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</si>
  <si>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</si>
  <si>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</si>
  <si>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</si>
  <si>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</si>
  <si>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</si>
  <si>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</si>
  <si>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</si>
  <si>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Kč</t>
  </si>
  <si>
    <t>%</t>
  </si>
  <si>
    <t>Základna</t>
  </si>
  <si>
    <t>113a</t>
  </si>
  <si>
    <t>MOBMMC08</t>
  </si>
  <si>
    <t>Pružinové houpadlo</t>
  </si>
  <si>
    <t>113b</t>
  </si>
  <si>
    <t>MOBMMC08a</t>
  </si>
  <si>
    <t>Pružinové houpadlo - montáž</t>
  </si>
  <si>
    <t>113c</t>
  </si>
  <si>
    <t>MOBMMC08b</t>
  </si>
  <si>
    <t>Pružinové houpadlo - spodní stavba</t>
  </si>
  <si>
    <t>Vrstva geotextilie Geofiltex 400g/m2</t>
  </si>
  <si>
    <t xml:space="preserve">1042+1234+17,6 </t>
  </si>
  <si>
    <t>289970111R01</t>
  </si>
  <si>
    <t>564871111R00</t>
  </si>
  <si>
    <t>3*30*0,47+3*((2*(pi*1,165^2*1,73))+(3*(pi*0,905^2*1,63))); místo A,B,C</t>
  </si>
  <si>
    <t>27,3*2,2*0,47+(pi*1,165^2*1,73)+3*(pi*0,905^2*1,63); místo D</t>
  </si>
  <si>
    <t>28*2,2*0,47+(pi*1,165^2*1,73)+3*(pi*1,165^2*1,63); místo E</t>
  </si>
  <si>
    <t>229,68</t>
  </si>
  <si>
    <t>-8*(pi*0,91^2*1,73)</t>
  </si>
  <si>
    <t>-15*(pi*0,65^2*1,63)</t>
  </si>
  <si>
    <t>-(8,72+5,82)</t>
  </si>
  <si>
    <t>8*(pi*1,165^2*0,12)</t>
  </si>
  <si>
    <t>15*(pi*0,905^2*0,12)</t>
  </si>
  <si>
    <t>8*(pi*1,165^2*0,08)</t>
  </si>
  <si>
    <t>15*(pi*0,905^2*0,08)</t>
  </si>
  <si>
    <t>181</t>
  </si>
  <si>
    <t>182</t>
  </si>
  <si>
    <t>183</t>
  </si>
  <si>
    <t>184</t>
  </si>
  <si>
    <t>-50,24*7</t>
  </si>
  <si>
    <t>-841,68*7</t>
  </si>
  <si>
    <t>Krycí list výkazu výměr</t>
  </si>
  <si>
    <t>Výkaz výměr - rekapitulace</t>
  </si>
  <si>
    <t>Výkaz výměr</t>
  </si>
  <si>
    <t>Parková lavička s opěradlem délka 1,8m, konstrukce hliníková slitina, sedák i opěradlo dřevo (tropické nebo akát)</t>
  </si>
  <si>
    <t>Stojan na jízdní kola dvoustojan - litinová konstrukce,</t>
  </si>
  <si>
    <t xml:space="preserve">Odpadkový koš se stříškou, 45 l, kruhový, opláštění dřevem (tropické nebo akát) </t>
  </si>
  <si>
    <t>19.82014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</si>
</sst>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3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7" fillId="11" borderId="0" applyNumberFormat="0" applyBorder="0" applyAlignment="0" applyProtection="0"/>
    <xf numFmtId="0" fontId="18" fillId="12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8" applyNumberFormat="0" applyAlignment="0" applyProtection="0"/>
    <xf numFmtId="0" fontId="28" fillId="2" borderId="8" applyNumberFormat="0" applyAlignment="0" applyProtection="0"/>
    <xf numFmtId="0" fontId="16" fillId="2" borderId="9" applyNumberFormat="0" applyAlignment="0" applyProtection="0"/>
    <xf numFmtId="0" fontId="2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18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18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18" borderId="0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10" fillId="18" borderId="28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6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8" xfId="0" applyNumberFormat="1" applyFont="1" applyFill="1" applyBorder="1" applyAlignment="1" applyProtection="1">
      <alignment horizontal="right" vertical="center"/>
      <protection/>
    </xf>
    <xf numFmtId="49" fontId="12" fillId="0" borderId="28" xfId="0" applyNumberFormat="1" applyFont="1" applyFill="1" applyBorder="1" applyAlignment="1" applyProtection="1">
      <alignment horizontal="right"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18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49" fontId="30" fillId="18" borderId="32" xfId="0" applyNumberFormat="1" applyFont="1" applyFill="1" applyBorder="1" applyAlignment="1" applyProtection="1">
      <alignment horizontal="left" vertical="center"/>
      <protection/>
    </xf>
    <xf numFmtId="49" fontId="31" fillId="18" borderId="32" xfId="0" applyNumberFormat="1" applyFont="1" applyFill="1" applyBorder="1" applyAlignment="1" applyProtection="1">
      <alignment horizontal="left" vertical="center"/>
      <protection/>
    </xf>
    <xf numFmtId="4" fontId="31" fillId="18" borderId="32" xfId="0" applyNumberFormat="1" applyFont="1" applyFill="1" applyBorder="1" applyAlignment="1" applyProtection="1">
      <alignment horizontal="right" vertical="center"/>
      <protection/>
    </xf>
    <xf numFmtId="49" fontId="31" fillId="18" borderId="3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vertical="center"/>
    </xf>
    <xf numFmtId="49" fontId="30" fillId="18" borderId="0" xfId="0" applyNumberFormat="1" applyFont="1" applyFill="1" applyBorder="1" applyAlignment="1" applyProtection="1">
      <alignment horizontal="left" vertical="center"/>
      <protection/>
    </xf>
    <xf numFmtId="49" fontId="31" fillId="18" borderId="0" xfId="0" applyNumberFormat="1" applyFont="1" applyFill="1" applyBorder="1" applyAlignment="1" applyProtection="1">
      <alignment horizontal="left" vertical="center"/>
      <protection/>
    </xf>
    <xf numFmtId="4" fontId="31" fillId="18" borderId="0" xfId="0" applyNumberFormat="1" applyFont="1" applyFill="1" applyBorder="1" applyAlignment="1" applyProtection="1">
      <alignment horizontal="right" vertical="center"/>
      <protection/>
    </xf>
    <xf numFmtId="49" fontId="31" fillId="18" borderId="0" xfId="0" applyNumberFormat="1" applyFont="1" applyFill="1" applyBorder="1" applyAlignment="1" applyProtection="1">
      <alignment horizontal="right" vertical="center"/>
      <protection/>
    </xf>
    <xf numFmtId="49" fontId="31" fillId="0" borderId="32" xfId="0" applyNumberFormat="1" applyFont="1" applyFill="1" applyBorder="1" applyAlignment="1" applyProtection="1">
      <alignment horizontal="left" vertical="center"/>
      <protection/>
    </xf>
    <xf numFmtId="4" fontId="31" fillId="0" borderId="32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49" fontId="31" fillId="0" borderId="3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18" borderId="0" xfId="0" applyNumberFormat="1" applyFont="1" applyFill="1" applyBorder="1" applyAlignment="1" applyProtection="1">
      <alignment horizontal="left" vertical="center"/>
      <protection/>
    </xf>
    <xf numFmtId="0" fontId="31" fillId="18" borderId="32" xfId="0" applyNumberFormat="1" applyFont="1" applyFill="1" applyBorder="1" applyAlignment="1" applyProtection="1">
      <alignment horizontal="left" vertical="center"/>
      <protection/>
    </xf>
    <xf numFmtId="49" fontId="31" fillId="18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18" borderId="0" xfId="0" applyNumberFormat="1" applyFont="1" applyFill="1" applyBorder="1" applyAlignment="1" applyProtection="1">
      <alignment horizontal="left" vertical="center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1" fillId="18" borderId="3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18" borderId="49" xfId="0" applyNumberFormat="1" applyFont="1" applyFill="1" applyBorder="1" applyAlignment="1" applyProtection="1">
      <alignment horizontal="left" vertical="center"/>
      <protection/>
    </xf>
    <xf numFmtId="0" fontId="11" fillId="18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8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7"/>
  <sheetViews>
    <sheetView tabSelected="1" zoomScalePageLayoutView="0" workbookViewId="0" topLeftCell="A178">
      <selection activeCell="AV192" sqref="AV192"/>
    </sheetView>
  </sheetViews>
  <sheetFormatPr defaultColWidth="11.57421875" defaultRowHeight="12.75"/>
  <cols>
    <col min="1" max="1" width="4.8515625" style="0" customWidth="1"/>
    <col min="2" max="2" width="6.8515625" style="0" customWidth="1"/>
    <col min="3" max="3" width="14.00390625" style="0" customWidth="1"/>
    <col min="4" max="4" width="60.7109375" style="70" customWidth="1"/>
    <col min="5" max="5" width="5.14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7" width="12.140625" style="0" hidden="1" customWidth="1"/>
  </cols>
  <sheetData>
    <row r="1" spans="1:13" ht="21.75" customHeight="1">
      <c r="A1" s="97" t="s">
        <v>776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12.75">
      <c r="A2" s="99" t="s">
        <v>0</v>
      </c>
      <c r="B2" s="100"/>
      <c r="C2" s="100"/>
      <c r="D2" s="102" t="s">
        <v>354</v>
      </c>
      <c r="E2" s="104" t="s">
        <v>608</v>
      </c>
      <c r="F2" s="100"/>
      <c r="G2" s="104"/>
      <c r="H2" s="100"/>
      <c r="I2" s="105" t="s">
        <v>631</v>
      </c>
      <c r="J2" s="105" t="s">
        <v>635</v>
      </c>
      <c r="K2" s="100"/>
      <c r="L2" s="100"/>
      <c r="M2" s="106"/>
      <c r="N2" s="26"/>
    </row>
    <row r="3" spans="1:14" ht="12.75">
      <c r="A3" s="101"/>
      <c r="B3" s="95"/>
      <c r="C3" s="95"/>
      <c r="D3" s="103"/>
      <c r="E3" s="95"/>
      <c r="F3" s="95"/>
      <c r="G3" s="95"/>
      <c r="H3" s="95"/>
      <c r="I3" s="95"/>
      <c r="J3" s="95"/>
      <c r="K3" s="95"/>
      <c r="L3" s="95"/>
      <c r="M3" s="96"/>
      <c r="N3" s="26"/>
    </row>
    <row r="4" spans="1:14" ht="12.75">
      <c r="A4" s="107" t="s">
        <v>1</v>
      </c>
      <c r="B4" s="95"/>
      <c r="C4" s="95"/>
      <c r="D4" s="94"/>
      <c r="E4" s="108" t="s">
        <v>609</v>
      </c>
      <c r="F4" s="95"/>
      <c r="G4" s="108" t="s">
        <v>5</v>
      </c>
      <c r="H4" s="95"/>
      <c r="I4" s="94" t="s">
        <v>632</v>
      </c>
      <c r="J4" s="94" t="s">
        <v>636</v>
      </c>
      <c r="K4" s="95"/>
      <c r="L4" s="95"/>
      <c r="M4" s="96"/>
      <c r="N4" s="26"/>
    </row>
    <row r="5" spans="1:14" ht="12.75">
      <c r="A5" s="101"/>
      <c r="B5" s="95"/>
      <c r="C5" s="95"/>
      <c r="D5" s="94"/>
      <c r="E5" s="95"/>
      <c r="F5" s="95"/>
      <c r="G5" s="95"/>
      <c r="H5" s="95"/>
      <c r="I5" s="95"/>
      <c r="J5" s="95"/>
      <c r="K5" s="95"/>
      <c r="L5" s="95"/>
      <c r="M5" s="96"/>
      <c r="N5" s="26"/>
    </row>
    <row r="6" spans="1:14" ht="12.75">
      <c r="A6" s="107" t="s">
        <v>2</v>
      </c>
      <c r="B6" s="95"/>
      <c r="C6" s="95"/>
      <c r="D6" s="94" t="s">
        <v>355</v>
      </c>
      <c r="E6" s="108" t="s">
        <v>610</v>
      </c>
      <c r="F6" s="95"/>
      <c r="G6" s="95"/>
      <c r="H6" s="95"/>
      <c r="I6" s="94" t="s">
        <v>633</v>
      </c>
      <c r="J6" s="94"/>
      <c r="K6" s="95"/>
      <c r="L6" s="95"/>
      <c r="M6" s="96"/>
      <c r="N6" s="26"/>
    </row>
    <row r="7" spans="1:14" ht="12.75">
      <c r="A7" s="101"/>
      <c r="B7" s="95"/>
      <c r="C7" s="95"/>
      <c r="D7" s="94"/>
      <c r="E7" s="95"/>
      <c r="F7" s="95"/>
      <c r="G7" s="95"/>
      <c r="H7" s="95"/>
      <c r="I7" s="95"/>
      <c r="J7" s="95"/>
      <c r="K7" s="95"/>
      <c r="L7" s="95"/>
      <c r="M7" s="96"/>
      <c r="N7" s="26"/>
    </row>
    <row r="8" spans="1:14" ht="12.75">
      <c r="A8" s="107" t="s">
        <v>3</v>
      </c>
      <c r="B8" s="95"/>
      <c r="C8" s="95"/>
      <c r="D8" s="94"/>
      <c r="E8" s="108" t="s">
        <v>611</v>
      </c>
      <c r="F8" s="95"/>
      <c r="G8" s="113">
        <v>41870</v>
      </c>
      <c r="H8" s="95"/>
      <c r="I8" s="94" t="s">
        <v>634</v>
      </c>
      <c r="J8" s="94"/>
      <c r="K8" s="95"/>
      <c r="L8" s="95"/>
      <c r="M8" s="96"/>
      <c r="N8" s="26"/>
    </row>
    <row r="9" spans="1:14" ht="12.75">
      <c r="A9" s="111"/>
      <c r="B9" s="109"/>
      <c r="C9" s="109"/>
      <c r="D9" s="112"/>
      <c r="E9" s="109"/>
      <c r="F9" s="109"/>
      <c r="G9" s="109"/>
      <c r="H9" s="109"/>
      <c r="I9" s="109"/>
      <c r="J9" s="109"/>
      <c r="K9" s="109"/>
      <c r="L9" s="109"/>
      <c r="M9" s="110"/>
      <c r="N9" s="26"/>
    </row>
    <row r="10" spans="1:14" ht="12.75">
      <c r="A10" s="1" t="s">
        <v>4</v>
      </c>
      <c r="B10" s="8" t="s">
        <v>187</v>
      </c>
      <c r="C10" s="8" t="s">
        <v>194</v>
      </c>
      <c r="D10" s="64" t="s">
        <v>356</v>
      </c>
      <c r="E10" s="8" t="s">
        <v>612</v>
      </c>
      <c r="F10" s="12" t="s">
        <v>625</v>
      </c>
      <c r="G10" s="16" t="s">
        <v>626</v>
      </c>
      <c r="H10" s="116" t="s">
        <v>628</v>
      </c>
      <c r="I10" s="117"/>
      <c r="J10" s="118"/>
      <c r="K10" s="116" t="s">
        <v>638</v>
      </c>
      <c r="L10" s="118"/>
      <c r="M10" s="22" t="s">
        <v>639</v>
      </c>
      <c r="N10" s="27"/>
    </row>
    <row r="11" spans="1:24" ht="12.75">
      <c r="A11" s="2" t="s">
        <v>5</v>
      </c>
      <c r="B11" s="9" t="s">
        <v>5</v>
      </c>
      <c r="C11" s="9" t="s">
        <v>5</v>
      </c>
      <c r="D11" s="65" t="s">
        <v>357</v>
      </c>
      <c r="E11" s="9" t="s">
        <v>5</v>
      </c>
      <c r="F11" s="9" t="s">
        <v>5</v>
      </c>
      <c r="G11" s="17" t="s">
        <v>627</v>
      </c>
      <c r="H11" s="18" t="s">
        <v>629</v>
      </c>
      <c r="I11" s="19" t="s">
        <v>602</v>
      </c>
      <c r="J11" s="20" t="s">
        <v>637</v>
      </c>
      <c r="K11" s="18" t="s">
        <v>626</v>
      </c>
      <c r="L11" s="20" t="s">
        <v>637</v>
      </c>
      <c r="M11" s="23" t="s">
        <v>640</v>
      </c>
      <c r="N11" s="27"/>
      <c r="P11" s="21" t="s">
        <v>644</v>
      </c>
      <c r="Q11" s="21" t="s">
        <v>645</v>
      </c>
      <c r="R11" s="21" t="s">
        <v>648</v>
      </c>
      <c r="S11" s="21" t="s">
        <v>649</v>
      </c>
      <c r="T11" s="21" t="s">
        <v>650</v>
      </c>
      <c r="U11" s="21" t="s">
        <v>651</v>
      </c>
      <c r="V11" s="21" t="s">
        <v>652</v>
      </c>
      <c r="W11" s="21" t="s">
        <v>653</v>
      </c>
      <c r="X11" s="21" t="s">
        <v>654</v>
      </c>
    </row>
    <row r="12" spans="1:13" s="75" customFormat="1" ht="12.75">
      <c r="A12" s="71"/>
      <c r="B12" s="72" t="s">
        <v>188</v>
      </c>
      <c r="C12" s="72"/>
      <c r="D12" s="119" t="s">
        <v>358</v>
      </c>
      <c r="E12" s="91"/>
      <c r="F12" s="91"/>
      <c r="G12" s="91"/>
      <c r="H12" s="73">
        <f>H13+H19</f>
        <v>0</v>
      </c>
      <c r="I12" s="73">
        <f>I13+I19</f>
        <v>0</v>
      </c>
      <c r="J12" s="73">
        <f>H12+I12</f>
        <v>0</v>
      </c>
      <c r="K12" s="74"/>
      <c r="L12" s="73">
        <f>L13+L19</f>
        <v>0</v>
      </c>
      <c r="M12" s="74"/>
    </row>
    <row r="13" spans="1:37" ht="12.75">
      <c r="A13" s="3"/>
      <c r="B13" s="10" t="s">
        <v>188</v>
      </c>
      <c r="C13" s="10" t="s">
        <v>15</v>
      </c>
      <c r="D13" s="114" t="s">
        <v>359</v>
      </c>
      <c r="E13" s="115"/>
      <c r="F13" s="115"/>
      <c r="G13" s="115"/>
      <c r="H13" s="30">
        <f>SUM(H14:H18)</f>
        <v>0</v>
      </c>
      <c r="I13" s="30">
        <f>SUM(I14:I18)</f>
        <v>0</v>
      </c>
      <c r="J13" s="30">
        <f>H13+I13</f>
        <v>0</v>
      </c>
      <c r="K13" s="21"/>
      <c r="L13" s="30">
        <f>SUM(L14:L18)</f>
        <v>0</v>
      </c>
      <c r="M13" s="21"/>
      <c r="P13" s="30">
        <f>IF(Q13="PR",J13,SUM(O14:O18))</f>
        <v>0</v>
      </c>
      <c r="Q13" s="21" t="s">
        <v>646</v>
      </c>
      <c r="R13" s="30">
        <f>IF(Q13="HS",H13,0)</f>
        <v>0</v>
      </c>
      <c r="S13" s="30">
        <f>IF(Q13="HS",I13-P13,0)</f>
        <v>0</v>
      </c>
      <c r="T13" s="30">
        <f>IF(Q13="PS",H13,0)</f>
        <v>0</v>
      </c>
      <c r="U13" s="30">
        <f>IF(Q13="PS",I13-P13,0)</f>
        <v>0</v>
      </c>
      <c r="V13" s="30">
        <f>IF(Q13="MP",H13,0)</f>
        <v>0</v>
      </c>
      <c r="W13" s="30">
        <f>IF(Q13="MP",I13-P13,0)</f>
        <v>0</v>
      </c>
      <c r="X13" s="30">
        <f>IF(Q13="OM",H13,0)</f>
        <v>0</v>
      </c>
      <c r="Y13" s="21" t="s">
        <v>188</v>
      </c>
      <c r="AI13" s="30">
        <f>SUM(Z14:Z18)</f>
        <v>0</v>
      </c>
      <c r="AJ13" s="30">
        <f>SUM(AA14:AA18)</f>
        <v>0</v>
      </c>
      <c r="AK13" s="30">
        <f>SUM(AB14:AB18)</f>
        <v>0</v>
      </c>
    </row>
    <row r="14" spans="1:43" ht="12.75">
      <c r="A14" s="4" t="s">
        <v>6</v>
      </c>
      <c r="B14" s="4" t="s">
        <v>188</v>
      </c>
      <c r="C14" s="4" t="s">
        <v>195</v>
      </c>
      <c r="D14" s="66" t="s">
        <v>360</v>
      </c>
      <c r="E14" s="4" t="s">
        <v>613</v>
      </c>
      <c r="F14" s="13">
        <v>292</v>
      </c>
      <c r="G14" s="13">
        <v>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M14" s="24" t="s">
        <v>641</v>
      </c>
      <c r="N14" s="24" t="s">
        <v>6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28">
        <v>21</v>
      </c>
      <c r="AE14" s="28">
        <f>G14*0</f>
        <v>0</v>
      </c>
      <c r="AF14" s="28">
        <f>G14*(1-0)</f>
        <v>0</v>
      </c>
      <c r="AM14" s="28">
        <f>F14*AE14</f>
        <v>0</v>
      </c>
      <c r="AN14" s="28">
        <f>F14*AF14</f>
        <v>0</v>
      </c>
      <c r="AO14" s="29" t="s">
        <v>655</v>
      </c>
      <c r="AP14" s="29" t="s">
        <v>671</v>
      </c>
      <c r="AQ14" s="21" t="s">
        <v>677</v>
      </c>
    </row>
    <row r="15" spans="1:43" ht="12.75">
      <c r="A15" s="4" t="s">
        <v>7</v>
      </c>
      <c r="B15" s="4" t="s">
        <v>188</v>
      </c>
      <c r="C15" s="4" t="s">
        <v>196</v>
      </c>
      <c r="D15" s="66" t="s">
        <v>361</v>
      </c>
      <c r="E15" s="4" t="s">
        <v>613</v>
      </c>
      <c r="F15" s="13">
        <v>87.6</v>
      </c>
      <c r="G15" s="13">
        <v>0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M15" s="24" t="s">
        <v>641</v>
      </c>
      <c r="N15" s="24" t="s">
        <v>6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8">
        <v>21</v>
      </c>
      <c r="AE15" s="28">
        <f>G15*0</f>
        <v>0</v>
      </c>
      <c r="AF15" s="28">
        <f>G15*(1-0)</f>
        <v>0</v>
      </c>
      <c r="AM15" s="28">
        <f>F15*AE15</f>
        <v>0</v>
      </c>
      <c r="AN15" s="28">
        <f>F15*AF15</f>
        <v>0</v>
      </c>
      <c r="AO15" s="29" t="s">
        <v>655</v>
      </c>
      <c r="AP15" s="29" t="s">
        <v>671</v>
      </c>
      <c r="AQ15" s="21" t="s">
        <v>677</v>
      </c>
    </row>
    <row r="16" spans="4:6" ht="12.75">
      <c r="D16" s="67" t="s">
        <v>362</v>
      </c>
      <c r="F16" s="14">
        <v>87.6</v>
      </c>
    </row>
    <row r="17" spans="1:43" ht="12.75">
      <c r="A17" s="4" t="s">
        <v>8</v>
      </c>
      <c r="B17" s="4" t="s">
        <v>188</v>
      </c>
      <c r="C17" s="4" t="s">
        <v>197</v>
      </c>
      <c r="D17" s="66" t="s">
        <v>363</v>
      </c>
      <c r="E17" s="4" t="s">
        <v>613</v>
      </c>
      <c r="F17" s="13">
        <v>292</v>
      </c>
      <c r="G17" s="13">
        <v>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</v>
      </c>
      <c r="L17" s="13">
        <f>F17*K17</f>
        <v>0</v>
      </c>
      <c r="M17" s="24" t="s">
        <v>641</v>
      </c>
      <c r="N17" s="24" t="s">
        <v>6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8">
        <v>21</v>
      </c>
      <c r="AE17" s="28">
        <f>G17*0</f>
        <v>0</v>
      </c>
      <c r="AF17" s="28">
        <f>G17*(1-0)</f>
        <v>0</v>
      </c>
      <c r="AM17" s="28">
        <f>F17*AE17</f>
        <v>0</v>
      </c>
      <c r="AN17" s="28">
        <f>F17*AF17</f>
        <v>0</v>
      </c>
      <c r="AO17" s="29" t="s">
        <v>655</v>
      </c>
      <c r="AP17" s="29" t="s">
        <v>671</v>
      </c>
      <c r="AQ17" s="21" t="s">
        <v>677</v>
      </c>
    </row>
    <row r="18" spans="1:43" ht="12.75">
      <c r="A18" s="4" t="s">
        <v>9</v>
      </c>
      <c r="B18" s="4" t="s">
        <v>188</v>
      </c>
      <c r="C18" s="4" t="s">
        <v>198</v>
      </c>
      <c r="D18" s="66" t="s">
        <v>364</v>
      </c>
      <c r="E18" s="4" t="s">
        <v>613</v>
      </c>
      <c r="F18" s="13">
        <v>292</v>
      </c>
      <c r="G18" s="13">
        <v>0</v>
      </c>
      <c r="H18" s="13">
        <f>ROUND(F18*AE18,2)</f>
        <v>0</v>
      </c>
      <c r="I18" s="13">
        <f>J18-H18</f>
        <v>0</v>
      </c>
      <c r="J18" s="13">
        <f>ROUND(F18*G18,2)</f>
        <v>0</v>
      </c>
      <c r="K18" s="13">
        <v>0</v>
      </c>
      <c r="L18" s="13">
        <f>F18*K18</f>
        <v>0</v>
      </c>
      <c r="M18" s="24" t="s">
        <v>641</v>
      </c>
      <c r="N18" s="24" t="s">
        <v>6</v>
      </c>
      <c r="O18" s="13">
        <f>IF(N18="5",I18,0)</f>
        <v>0</v>
      </c>
      <c r="Z18" s="13">
        <f>IF(AD18=0,J18,0)</f>
        <v>0</v>
      </c>
      <c r="AA18" s="13">
        <f>IF(AD18=15,J18,0)</f>
        <v>0</v>
      </c>
      <c r="AB18" s="13">
        <f>IF(AD18=21,J18,0)</f>
        <v>0</v>
      </c>
      <c r="AD18" s="28">
        <v>21</v>
      </c>
      <c r="AE18" s="28">
        <f>G18*0</f>
        <v>0</v>
      </c>
      <c r="AF18" s="28">
        <f>G18*(1-0)</f>
        <v>0</v>
      </c>
      <c r="AM18" s="28">
        <f>F18*AE18</f>
        <v>0</v>
      </c>
      <c r="AN18" s="28">
        <f>F18*AF18</f>
        <v>0</v>
      </c>
      <c r="AO18" s="29" t="s">
        <v>655</v>
      </c>
      <c r="AP18" s="29" t="s">
        <v>671</v>
      </c>
      <c r="AQ18" s="21" t="s">
        <v>677</v>
      </c>
    </row>
    <row r="19" spans="1:37" ht="12.75">
      <c r="A19" s="3"/>
      <c r="B19" s="10" t="s">
        <v>188</v>
      </c>
      <c r="C19" s="10" t="s">
        <v>199</v>
      </c>
      <c r="D19" s="114" t="s">
        <v>365</v>
      </c>
      <c r="E19" s="115"/>
      <c r="F19" s="115"/>
      <c r="G19" s="115"/>
      <c r="H19" s="30">
        <f>SUM(H20:H30)</f>
        <v>0</v>
      </c>
      <c r="I19" s="30">
        <f>SUM(I20:I30)</f>
        <v>0</v>
      </c>
      <c r="J19" s="30">
        <f>H19+I19</f>
        <v>0</v>
      </c>
      <c r="K19" s="21"/>
      <c r="L19" s="30">
        <f>SUM(L20:L30)</f>
        <v>0</v>
      </c>
      <c r="M19" s="21"/>
      <c r="P19" s="30">
        <f>IF(Q19="PR",J19,SUM(O20:O30))</f>
        <v>0</v>
      </c>
      <c r="Q19" s="21" t="s">
        <v>647</v>
      </c>
      <c r="R19" s="30">
        <f>IF(Q19="HS",H19,0)</f>
        <v>0</v>
      </c>
      <c r="S19" s="30">
        <f>IF(Q19="HS",I19-P19,0)</f>
        <v>0</v>
      </c>
      <c r="T19" s="30">
        <f>IF(Q19="PS",H19,0)</f>
        <v>0</v>
      </c>
      <c r="U19" s="30">
        <f>IF(Q19="PS",I19-P19,0)</f>
        <v>0</v>
      </c>
      <c r="V19" s="30">
        <f>IF(Q19="MP",H19,0)</f>
        <v>0</v>
      </c>
      <c r="W19" s="30">
        <f>IF(Q19="MP",I19-P19,0)</f>
        <v>0</v>
      </c>
      <c r="X19" s="30">
        <f>IF(Q19="OM",H19,0)</f>
        <v>0</v>
      </c>
      <c r="Y19" s="21" t="s">
        <v>188</v>
      </c>
      <c r="AI19" s="30">
        <f>SUM(Z20:Z30)</f>
        <v>0</v>
      </c>
      <c r="AJ19" s="30">
        <f>SUM(AA20:AA30)</f>
        <v>0</v>
      </c>
      <c r="AK19" s="30">
        <f>SUM(AB20:AB30)</f>
        <v>0</v>
      </c>
    </row>
    <row r="20" spans="1:43" ht="12.75">
      <c r="A20" s="4" t="s">
        <v>10</v>
      </c>
      <c r="B20" s="4" t="s">
        <v>188</v>
      </c>
      <c r="C20" s="4" t="s">
        <v>200</v>
      </c>
      <c r="D20" s="66" t="s">
        <v>366</v>
      </c>
      <c r="E20" s="4" t="s">
        <v>614</v>
      </c>
      <c r="F20" s="13">
        <v>2</v>
      </c>
      <c r="G20" s="13">
        <v>0</v>
      </c>
      <c r="H20" s="13">
        <f>ROUND(F20*AE20,2)</f>
        <v>0</v>
      </c>
      <c r="I20" s="13">
        <f>J20-H20</f>
        <v>0</v>
      </c>
      <c r="J20" s="13">
        <f>ROUND(F20*G20,2)</f>
        <v>0</v>
      </c>
      <c r="K20" s="13">
        <v>0</v>
      </c>
      <c r="L20" s="13">
        <f>F20*K20</f>
        <v>0</v>
      </c>
      <c r="M20" s="24" t="s">
        <v>641</v>
      </c>
      <c r="N20" s="24" t="s">
        <v>7</v>
      </c>
      <c r="O20" s="13">
        <f>IF(N20="5",I20,0)</f>
        <v>0</v>
      </c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28">
        <v>21</v>
      </c>
      <c r="AE20" s="28">
        <f>G20*0</f>
        <v>0</v>
      </c>
      <c r="AF20" s="28">
        <f>G20*(1-0)</f>
        <v>0</v>
      </c>
      <c r="AM20" s="28">
        <f>F20*AE20</f>
        <v>0</v>
      </c>
      <c r="AN20" s="28">
        <f>F20*AF20</f>
        <v>0</v>
      </c>
      <c r="AO20" s="29" t="s">
        <v>656</v>
      </c>
      <c r="AP20" s="29" t="s">
        <v>672</v>
      </c>
      <c r="AQ20" s="21" t="s">
        <v>677</v>
      </c>
    </row>
    <row r="21" spans="1:43" ht="12.75">
      <c r="A21" s="4" t="s">
        <v>11</v>
      </c>
      <c r="B21" s="4" t="s">
        <v>188</v>
      </c>
      <c r="C21" s="4" t="s">
        <v>200</v>
      </c>
      <c r="D21" s="66" t="s">
        <v>367</v>
      </c>
      <c r="E21" s="4" t="s">
        <v>614</v>
      </c>
      <c r="F21" s="13">
        <v>12</v>
      </c>
      <c r="G21" s="13">
        <v>0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</v>
      </c>
      <c r="L21" s="13">
        <f>F21*K21</f>
        <v>0</v>
      </c>
      <c r="M21" s="24" t="s">
        <v>641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28">
        <v>21</v>
      </c>
      <c r="AE21" s="28">
        <f>G21*0</f>
        <v>0</v>
      </c>
      <c r="AF21" s="28">
        <f>G21*(1-0)</f>
        <v>0</v>
      </c>
      <c r="AM21" s="28">
        <f>F21*AE21</f>
        <v>0</v>
      </c>
      <c r="AN21" s="28">
        <f>F21*AF21</f>
        <v>0</v>
      </c>
      <c r="AO21" s="29" t="s">
        <v>656</v>
      </c>
      <c r="AP21" s="29" t="s">
        <v>672</v>
      </c>
      <c r="AQ21" s="21" t="s">
        <v>677</v>
      </c>
    </row>
    <row r="22" spans="1:43" ht="12.75">
      <c r="A22" s="4" t="s">
        <v>12</v>
      </c>
      <c r="B22" s="4" t="s">
        <v>188</v>
      </c>
      <c r="C22" s="4" t="s">
        <v>201</v>
      </c>
      <c r="D22" s="66" t="s">
        <v>368</v>
      </c>
      <c r="E22" s="4" t="s">
        <v>614</v>
      </c>
      <c r="F22" s="13">
        <v>18</v>
      </c>
      <c r="G22" s="13">
        <v>0</v>
      </c>
      <c r="H22" s="13">
        <f>ROUND(F22*AE22,2)</f>
        <v>0</v>
      </c>
      <c r="I22" s="13">
        <f>J22-H22</f>
        <v>0</v>
      </c>
      <c r="J22" s="13">
        <f>ROUND(F22*G22,2)</f>
        <v>0</v>
      </c>
      <c r="K22" s="13">
        <v>0</v>
      </c>
      <c r="L22" s="13">
        <f>F22*K22</f>
        <v>0</v>
      </c>
      <c r="M22" s="24" t="s">
        <v>641</v>
      </c>
      <c r="N22" s="24" t="s">
        <v>7</v>
      </c>
      <c r="O22" s="13">
        <f>IF(N22="5",I22,0)</f>
        <v>0</v>
      </c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8">
        <v>21</v>
      </c>
      <c r="AE22" s="28">
        <f>G22*0</f>
        <v>0</v>
      </c>
      <c r="AF22" s="28">
        <f>G22*(1-0)</f>
        <v>0</v>
      </c>
      <c r="AM22" s="28">
        <f>F22*AE22</f>
        <v>0</v>
      </c>
      <c r="AN22" s="28">
        <f>F22*AF22</f>
        <v>0</v>
      </c>
      <c r="AO22" s="29" t="s">
        <v>656</v>
      </c>
      <c r="AP22" s="29" t="s">
        <v>672</v>
      </c>
      <c r="AQ22" s="21" t="s">
        <v>677</v>
      </c>
    </row>
    <row r="23" spans="1:43" ht="12.75">
      <c r="A23" s="4" t="s">
        <v>13</v>
      </c>
      <c r="B23" s="4" t="s">
        <v>188</v>
      </c>
      <c r="C23" s="4" t="s">
        <v>202</v>
      </c>
      <c r="D23" s="66" t="s">
        <v>369</v>
      </c>
      <c r="E23" s="4" t="s">
        <v>614</v>
      </c>
      <c r="F23" s="13">
        <v>89</v>
      </c>
      <c r="G23" s="13">
        <v>0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</v>
      </c>
      <c r="L23" s="13">
        <f>F23*K23</f>
        <v>0</v>
      </c>
      <c r="M23" s="24" t="s">
        <v>641</v>
      </c>
      <c r="N23" s="24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28">
        <v>21</v>
      </c>
      <c r="AE23" s="28">
        <f>G23*0</f>
        <v>0</v>
      </c>
      <c r="AF23" s="28">
        <f>G23*(1-0)</f>
        <v>0</v>
      </c>
      <c r="AM23" s="28">
        <f>F23*AE23</f>
        <v>0</v>
      </c>
      <c r="AN23" s="28">
        <f>F23*AF23</f>
        <v>0</v>
      </c>
      <c r="AO23" s="29" t="s">
        <v>656</v>
      </c>
      <c r="AP23" s="29" t="s">
        <v>672</v>
      </c>
      <c r="AQ23" s="21" t="s">
        <v>677</v>
      </c>
    </row>
    <row r="24" spans="1:43" ht="12.75">
      <c r="A24" s="4" t="s">
        <v>14</v>
      </c>
      <c r="B24" s="4" t="s">
        <v>188</v>
      </c>
      <c r="C24" s="4" t="s">
        <v>203</v>
      </c>
      <c r="D24" s="66" t="s">
        <v>370</v>
      </c>
      <c r="E24" s="4" t="s">
        <v>614</v>
      </c>
      <c r="F24" s="13">
        <v>2.33</v>
      </c>
      <c r="G24" s="13">
        <v>0</v>
      </c>
      <c r="H24" s="13">
        <f>ROUND(F24*AE24,2)</f>
        <v>0</v>
      </c>
      <c r="I24" s="13">
        <f>J24-H24</f>
        <v>0</v>
      </c>
      <c r="J24" s="13">
        <f>ROUND(F24*G24,2)</f>
        <v>0</v>
      </c>
      <c r="K24" s="13">
        <v>0</v>
      </c>
      <c r="L24" s="13">
        <f>F24*K24</f>
        <v>0</v>
      </c>
      <c r="M24" s="24" t="s">
        <v>641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28">
        <v>21</v>
      </c>
      <c r="AE24" s="28">
        <f>G24*0</f>
        <v>0</v>
      </c>
      <c r="AF24" s="28">
        <f>G24*(1-0)</f>
        <v>0</v>
      </c>
      <c r="AM24" s="28">
        <f>F24*AE24</f>
        <v>0</v>
      </c>
      <c r="AN24" s="28">
        <f>F24*AF24</f>
        <v>0</v>
      </c>
      <c r="AO24" s="29" t="s">
        <v>656</v>
      </c>
      <c r="AP24" s="29" t="s">
        <v>672</v>
      </c>
      <c r="AQ24" s="21" t="s">
        <v>677</v>
      </c>
    </row>
    <row r="25" spans="4:6" ht="12.75">
      <c r="D25" s="67" t="s">
        <v>371</v>
      </c>
      <c r="F25" s="14">
        <v>2.33</v>
      </c>
    </row>
    <row r="26" spans="1:43" ht="12.75">
      <c r="A26" s="4" t="s">
        <v>15</v>
      </c>
      <c r="B26" s="4" t="s">
        <v>188</v>
      </c>
      <c r="C26" s="4" t="s">
        <v>204</v>
      </c>
      <c r="D26" s="66" t="s">
        <v>372</v>
      </c>
      <c r="E26" s="4" t="s">
        <v>614</v>
      </c>
      <c r="F26" s="13">
        <v>12</v>
      </c>
      <c r="G26" s="13">
        <v>0</v>
      </c>
      <c r="H26" s="13">
        <f>ROUND(F26*AE26,2)</f>
        <v>0</v>
      </c>
      <c r="I26" s="13">
        <f>J26-H26</f>
        <v>0</v>
      </c>
      <c r="J26" s="13">
        <f>ROUND(F26*G26,2)</f>
        <v>0</v>
      </c>
      <c r="K26" s="13">
        <v>0</v>
      </c>
      <c r="L26" s="13">
        <f>F26*K26</f>
        <v>0</v>
      </c>
      <c r="M26" s="24" t="s">
        <v>641</v>
      </c>
      <c r="N26" s="24" t="s">
        <v>7</v>
      </c>
      <c r="O26" s="13">
        <f>IF(N26="5",I26,0)</f>
        <v>0</v>
      </c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8">
        <v>21</v>
      </c>
      <c r="AE26" s="28">
        <f>G26*0</f>
        <v>0</v>
      </c>
      <c r="AF26" s="28">
        <f>G26*(1-0)</f>
        <v>0</v>
      </c>
      <c r="AM26" s="28">
        <f>F26*AE26</f>
        <v>0</v>
      </c>
      <c r="AN26" s="28">
        <f>F26*AF26</f>
        <v>0</v>
      </c>
      <c r="AO26" s="29" t="s">
        <v>656</v>
      </c>
      <c r="AP26" s="29" t="s">
        <v>672</v>
      </c>
      <c r="AQ26" s="21" t="s">
        <v>677</v>
      </c>
    </row>
    <row r="27" spans="4:6" ht="12.75">
      <c r="D27" s="67" t="s">
        <v>373</v>
      </c>
      <c r="F27" s="14">
        <v>12</v>
      </c>
    </row>
    <row r="28" spans="1:43" ht="12.75">
      <c r="A28" s="4" t="s">
        <v>16</v>
      </c>
      <c r="B28" s="4" t="s">
        <v>188</v>
      </c>
      <c r="C28" s="4" t="s">
        <v>205</v>
      </c>
      <c r="D28" s="66" t="s">
        <v>374</v>
      </c>
      <c r="E28" s="4" t="s">
        <v>614</v>
      </c>
      <c r="F28" s="13">
        <v>18.33</v>
      </c>
      <c r="G28" s="13">
        <v>0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</v>
      </c>
      <c r="L28" s="13">
        <f>F28*K28</f>
        <v>0</v>
      </c>
      <c r="M28" s="24" t="s">
        <v>641</v>
      </c>
      <c r="N28" s="24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8">
        <v>21</v>
      </c>
      <c r="AE28" s="28">
        <f>G28*0</f>
        <v>0</v>
      </c>
      <c r="AF28" s="28">
        <f>G28*(1-0)</f>
        <v>0</v>
      </c>
      <c r="AM28" s="28">
        <f>F28*AE28</f>
        <v>0</v>
      </c>
      <c r="AN28" s="28">
        <f>F28*AF28</f>
        <v>0</v>
      </c>
      <c r="AO28" s="29" t="s">
        <v>656</v>
      </c>
      <c r="AP28" s="29" t="s">
        <v>672</v>
      </c>
      <c r="AQ28" s="21" t="s">
        <v>677</v>
      </c>
    </row>
    <row r="29" spans="4:6" ht="12.75">
      <c r="D29" s="67" t="s">
        <v>375</v>
      </c>
      <c r="F29" s="14">
        <v>18.33</v>
      </c>
    </row>
    <row r="30" spans="1:43" ht="12.75">
      <c r="A30" s="4" t="s">
        <v>17</v>
      </c>
      <c r="B30" s="4" t="s">
        <v>188</v>
      </c>
      <c r="C30" s="4" t="s">
        <v>206</v>
      </c>
      <c r="D30" s="66" t="s">
        <v>376</v>
      </c>
      <c r="E30" s="4" t="s">
        <v>614</v>
      </c>
      <c r="F30" s="13">
        <v>89</v>
      </c>
      <c r="G30" s="13">
        <v>0</v>
      </c>
      <c r="H30" s="13">
        <f>ROUND(F30*AE30,2)</f>
        <v>0</v>
      </c>
      <c r="I30" s="13">
        <f>J30-H30</f>
        <v>0</v>
      </c>
      <c r="J30" s="13">
        <f>ROUND(F30*G30,2)</f>
        <v>0</v>
      </c>
      <c r="K30" s="13">
        <v>0</v>
      </c>
      <c r="L30" s="13">
        <f>F30*K30</f>
        <v>0</v>
      </c>
      <c r="M30" s="24" t="s">
        <v>641</v>
      </c>
      <c r="N30" s="24" t="s">
        <v>7</v>
      </c>
      <c r="O30" s="13">
        <f>IF(N30="5",I30,0)</f>
        <v>0</v>
      </c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28">
        <v>21</v>
      </c>
      <c r="AE30" s="28">
        <f>G30*0</f>
        <v>0</v>
      </c>
      <c r="AF30" s="28">
        <f>G30*(1-0)</f>
        <v>0</v>
      </c>
      <c r="AM30" s="28">
        <f>F30*AE30</f>
        <v>0</v>
      </c>
      <c r="AN30" s="28">
        <f>F30*AF30</f>
        <v>0</v>
      </c>
      <c r="AO30" s="29" t="s">
        <v>656</v>
      </c>
      <c r="AP30" s="29" t="s">
        <v>672</v>
      </c>
      <c r="AQ30" s="21" t="s">
        <v>677</v>
      </c>
    </row>
    <row r="31" spans="4:6" ht="12.75">
      <c r="D31" s="67" t="s">
        <v>377</v>
      </c>
      <c r="F31" s="14">
        <v>89</v>
      </c>
    </row>
    <row r="32" spans="1:13" s="75" customFormat="1" ht="12.75">
      <c r="A32" s="76"/>
      <c r="B32" s="77" t="s">
        <v>189</v>
      </c>
      <c r="C32" s="77"/>
      <c r="D32" s="92" t="s">
        <v>378</v>
      </c>
      <c r="E32" s="90"/>
      <c r="F32" s="90"/>
      <c r="G32" s="90"/>
      <c r="H32" s="78">
        <f>H33+H41+H50+H60+H120+H131+H166+H197+H199</f>
        <v>0</v>
      </c>
      <c r="I32" s="78">
        <f>I33+I41+I50+I60+I120+I131+I166+I197+I199</f>
        <v>0</v>
      </c>
      <c r="J32" s="78">
        <f>H32+I32</f>
        <v>0</v>
      </c>
      <c r="K32" s="79"/>
      <c r="L32" s="78">
        <f>L33+L41+L50+L60+L120+L131+L166+L197+L199</f>
        <v>10897.985999</v>
      </c>
      <c r="M32" s="79"/>
    </row>
    <row r="33" spans="1:37" ht="12.75">
      <c r="A33" s="3"/>
      <c r="B33" s="10" t="s">
        <v>189</v>
      </c>
      <c r="C33" s="10" t="s">
        <v>207</v>
      </c>
      <c r="D33" s="114" t="s">
        <v>379</v>
      </c>
      <c r="E33" s="115"/>
      <c r="F33" s="115"/>
      <c r="G33" s="115"/>
      <c r="H33" s="30">
        <f>SUM(H34:H40)</f>
        <v>0</v>
      </c>
      <c r="I33" s="30">
        <f>SUM(I34:I40)</f>
        <v>0</v>
      </c>
      <c r="J33" s="30">
        <f>H33+I33</f>
        <v>0</v>
      </c>
      <c r="K33" s="21"/>
      <c r="L33" s="30">
        <f>SUM(L34:L40)</f>
        <v>0</v>
      </c>
      <c r="M33" s="21"/>
      <c r="P33" s="30">
        <f>IF(Q33="PR",J33,SUM(O34:O40))</f>
        <v>0</v>
      </c>
      <c r="Q33" s="21" t="s">
        <v>647</v>
      </c>
      <c r="R33" s="30">
        <f>IF(Q33="HS",H33,0)</f>
        <v>0</v>
      </c>
      <c r="S33" s="30">
        <f>IF(Q33="HS",I33-P33,0)</f>
        <v>0</v>
      </c>
      <c r="T33" s="30">
        <f>IF(Q33="PS",H33,0)</f>
        <v>0</v>
      </c>
      <c r="U33" s="30">
        <f>IF(Q33="PS",I33-P33,0)</f>
        <v>0</v>
      </c>
      <c r="V33" s="30">
        <f>IF(Q33="MP",H33,0)</f>
        <v>0</v>
      </c>
      <c r="W33" s="30">
        <f>IF(Q33="MP",I33-P33,0)</f>
        <v>0</v>
      </c>
      <c r="X33" s="30">
        <f>IF(Q33="OM",H33,0)</f>
        <v>0</v>
      </c>
      <c r="Y33" s="21" t="s">
        <v>189</v>
      </c>
      <c r="AI33" s="30">
        <f>SUM(Z34:Z40)</f>
        <v>0</v>
      </c>
      <c r="AJ33" s="30">
        <f>SUM(AA34:AA40)</f>
        <v>0</v>
      </c>
      <c r="AK33" s="30">
        <f>SUM(AB34:AB40)</f>
        <v>0</v>
      </c>
    </row>
    <row r="34" spans="1:43" ht="12.75">
      <c r="A34" s="4" t="s">
        <v>18</v>
      </c>
      <c r="B34" s="4" t="s">
        <v>189</v>
      </c>
      <c r="C34" s="4" t="s">
        <v>208</v>
      </c>
      <c r="D34" s="66" t="s">
        <v>380</v>
      </c>
      <c r="E34" s="4" t="s">
        <v>615</v>
      </c>
      <c r="F34" s="13">
        <v>1</v>
      </c>
      <c r="G34" s="13">
        <v>0</v>
      </c>
      <c r="H34" s="13">
        <f aca="true" t="shared" si="0" ref="H34:H40">ROUND(F34*AE34,2)</f>
        <v>0</v>
      </c>
      <c r="I34" s="13">
        <f aca="true" t="shared" si="1" ref="I34:I40">J34-H34</f>
        <v>0</v>
      </c>
      <c r="J34" s="13">
        <f aca="true" t="shared" si="2" ref="J34:J40">ROUND(F34*G34,2)</f>
        <v>0</v>
      </c>
      <c r="K34" s="13">
        <v>0</v>
      </c>
      <c r="L34" s="13">
        <f aca="true" t="shared" si="3" ref="L34:L40">F34*K34</f>
        <v>0</v>
      </c>
      <c r="M34" s="24" t="s">
        <v>641</v>
      </c>
      <c r="N34" s="24" t="s">
        <v>6</v>
      </c>
      <c r="O34" s="13">
        <f aca="true" t="shared" si="4" ref="O34:O40">IF(N34="5",I34,0)</f>
        <v>0</v>
      </c>
      <c r="Z34" s="13">
        <f aca="true" t="shared" si="5" ref="Z34:Z40">IF(AD34=0,J34,0)</f>
        <v>0</v>
      </c>
      <c r="AA34" s="13">
        <f aca="true" t="shared" si="6" ref="AA34:AA40">IF(AD34=15,J34,0)</f>
        <v>0</v>
      </c>
      <c r="AB34" s="13">
        <f aca="true" t="shared" si="7" ref="AB34:AB40">IF(AD34=21,J34,0)</f>
        <v>0</v>
      </c>
      <c r="AD34" s="28">
        <v>21</v>
      </c>
      <c r="AE34" s="28">
        <f aca="true" t="shared" si="8" ref="AE34:AE40">G34*0</f>
        <v>0</v>
      </c>
      <c r="AF34" s="28">
        <f aca="true" t="shared" si="9" ref="AF34:AF40">G34*(1-0)</f>
        <v>0</v>
      </c>
      <c r="AM34" s="28">
        <f aca="true" t="shared" si="10" ref="AM34:AM40">F34*AE34</f>
        <v>0</v>
      </c>
      <c r="AN34" s="28">
        <f aca="true" t="shared" si="11" ref="AN34:AN40">F34*AF34</f>
        <v>0</v>
      </c>
      <c r="AO34" s="29" t="s">
        <v>657</v>
      </c>
      <c r="AP34" s="29" t="s">
        <v>673</v>
      </c>
      <c r="AQ34" s="21" t="s">
        <v>678</v>
      </c>
    </row>
    <row r="35" spans="1:43" ht="12.75">
      <c r="A35" s="4" t="s">
        <v>19</v>
      </c>
      <c r="B35" s="4" t="s">
        <v>189</v>
      </c>
      <c r="C35" s="4" t="s">
        <v>209</v>
      </c>
      <c r="D35" s="66" t="s">
        <v>381</v>
      </c>
      <c r="E35" s="4" t="s">
        <v>615</v>
      </c>
      <c r="F35" s="13">
        <v>1</v>
      </c>
      <c r="G35" s="13">
        <v>0</v>
      </c>
      <c r="H35" s="13">
        <f t="shared" si="0"/>
        <v>0</v>
      </c>
      <c r="I35" s="13">
        <f t="shared" si="1"/>
        <v>0</v>
      </c>
      <c r="J35" s="13">
        <f t="shared" si="2"/>
        <v>0</v>
      </c>
      <c r="K35" s="13">
        <v>0</v>
      </c>
      <c r="L35" s="13">
        <f t="shared" si="3"/>
        <v>0</v>
      </c>
      <c r="M35" s="24" t="s">
        <v>641</v>
      </c>
      <c r="N35" s="24" t="s">
        <v>6</v>
      </c>
      <c r="O35" s="13">
        <f t="shared" si="4"/>
        <v>0</v>
      </c>
      <c r="Z35" s="13">
        <f t="shared" si="5"/>
        <v>0</v>
      </c>
      <c r="AA35" s="13">
        <f t="shared" si="6"/>
        <v>0</v>
      </c>
      <c r="AB35" s="13">
        <f t="shared" si="7"/>
        <v>0</v>
      </c>
      <c r="AD35" s="28">
        <v>21</v>
      </c>
      <c r="AE35" s="28">
        <f t="shared" si="8"/>
        <v>0</v>
      </c>
      <c r="AF35" s="28">
        <f t="shared" si="9"/>
        <v>0</v>
      </c>
      <c r="AM35" s="28">
        <f t="shared" si="10"/>
        <v>0</v>
      </c>
      <c r="AN35" s="28">
        <f t="shared" si="11"/>
        <v>0</v>
      </c>
      <c r="AO35" s="29" t="s">
        <v>657</v>
      </c>
      <c r="AP35" s="29" t="s">
        <v>673</v>
      </c>
      <c r="AQ35" s="21" t="s">
        <v>678</v>
      </c>
    </row>
    <row r="36" spans="1:43" ht="12.75">
      <c r="A36" s="4" t="s">
        <v>20</v>
      </c>
      <c r="B36" s="4" t="s">
        <v>189</v>
      </c>
      <c r="C36" s="4" t="s">
        <v>210</v>
      </c>
      <c r="D36" s="66" t="s">
        <v>382</v>
      </c>
      <c r="E36" s="4" t="s">
        <v>615</v>
      </c>
      <c r="F36" s="13">
        <v>1</v>
      </c>
      <c r="G36" s="13">
        <v>0</v>
      </c>
      <c r="H36" s="13">
        <f t="shared" si="0"/>
        <v>0</v>
      </c>
      <c r="I36" s="13">
        <f t="shared" si="1"/>
        <v>0</v>
      </c>
      <c r="J36" s="13">
        <f t="shared" si="2"/>
        <v>0</v>
      </c>
      <c r="K36" s="13">
        <v>0</v>
      </c>
      <c r="L36" s="13">
        <f t="shared" si="3"/>
        <v>0</v>
      </c>
      <c r="M36" s="24" t="s">
        <v>641</v>
      </c>
      <c r="N36" s="24" t="s">
        <v>6</v>
      </c>
      <c r="O36" s="13">
        <f t="shared" si="4"/>
        <v>0</v>
      </c>
      <c r="Z36" s="13">
        <f t="shared" si="5"/>
        <v>0</v>
      </c>
      <c r="AA36" s="13">
        <f t="shared" si="6"/>
        <v>0</v>
      </c>
      <c r="AB36" s="13">
        <f t="shared" si="7"/>
        <v>0</v>
      </c>
      <c r="AD36" s="28">
        <v>21</v>
      </c>
      <c r="AE36" s="28">
        <f t="shared" si="8"/>
        <v>0</v>
      </c>
      <c r="AF36" s="28">
        <f t="shared" si="9"/>
        <v>0</v>
      </c>
      <c r="AM36" s="28">
        <f t="shared" si="10"/>
        <v>0</v>
      </c>
      <c r="AN36" s="28">
        <f t="shared" si="11"/>
        <v>0</v>
      </c>
      <c r="AO36" s="29" t="s">
        <v>657</v>
      </c>
      <c r="AP36" s="29" t="s">
        <v>673</v>
      </c>
      <c r="AQ36" s="21" t="s">
        <v>678</v>
      </c>
    </row>
    <row r="37" spans="1:43" ht="12.75">
      <c r="A37" s="4" t="s">
        <v>21</v>
      </c>
      <c r="B37" s="4" t="s">
        <v>189</v>
      </c>
      <c r="C37" s="4" t="s">
        <v>211</v>
      </c>
      <c r="D37" s="66" t="s">
        <v>383</v>
      </c>
      <c r="E37" s="4" t="s">
        <v>616</v>
      </c>
      <c r="F37" s="13">
        <v>130</v>
      </c>
      <c r="G37" s="13">
        <v>0</v>
      </c>
      <c r="H37" s="13">
        <f t="shared" si="0"/>
        <v>0</v>
      </c>
      <c r="I37" s="13">
        <f t="shared" si="1"/>
        <v>0</v>
      </c>
      <c r="J37" s="13">
        <f t="shared" si="2"/>
        <v>0</v>
      </c>
      <c r="K37" s="13">
        <v>0</v>
      </c>
      <c r="L37" s="13">
        <f t="shared" si="3"/>
        <v>0</v>
      </c>
      <c r="M37" s="24" t="s">
        <v>641</v>
      </c>
      <c r="N37" s="24" t="s">
        <v>6</v>
      </c>
      <c r="O37" s="13">
        <f t="shared" si="4"/>
        <v>0</v>
      </c>
      <c r="Z37" s="13">
        <f t="shared" si="5"/>
        <v>0</v>
      </c>
      <c r="AA37" s="13">
        <f t="shared" si="6"/>
        <v>0</v>
      </c>
      <c r="AB37" s="13">
        <f t="shared" si="7"/>
        <v>0</v>
      </c>
      <c r="AD37" s="28">
        <v>21</v>
      </c>
      <c r="AE37" s="28">
        <f t="shared" si="8"/>
        <v>0</v>
      </c>
      <c r="AF37" s="28">
        <f t="shared" si="9"/>
        <v>0</v>
      </c>
      <c r="AM37" s="28">
        <f t="shared" si="10"/>
        <v>0</v>
      </c>
      <c r="AN37" s="28">
        <f t="shared" si="11"/>
        <v>0</v>
      </c>
      <c r="AO37" s="29" t="s">
        <v>657</v>
      </c>
      <c r="AP37" s="29" t="s">
        <v>673</v>
      </c>
      <c r="AQ37" s="21" t="s">
        <v>678</v>
      </c>
    </row>
    <row r="38" spans="1:43" ht="25.5">
      <c r="A38" s="4" t="s">
        <v>22</v>
      </c>
      <c r="B38" s="4" t="s">
        <v>189</v>
      </c>
      <c r="C38" s="4" t="s">
        <v>212</v>
      </c>
      <c r="D38" s="66" t="s">
        <v>384</v>
      </c>
      <c r="E38" s="4" t="s">
        <v>615</v>
      </c>
      <c r="F38" s="13">
        <v>1</v>
      </c>
      <c r="G38" s="13">
        <v>0</v>
      </c>
      <c r="H38" s="13">
        <f t="shared" si="0"/>
        <v>0</v>
      </c>
      <c r="I38" s="13">
        <f t="shared" si="1"/>
        <v>0</v>
      </c>
      <c r="J38" s="13">
        <f t="shared" si="2"/>
        <v>0</v>
      </c>
      <c r="K38" s="13">
        <v>0</v>
      </c>
      <c r="L38" s="13">
        <f t="shared" si="3"/>
        <v>0</v>
      </c>
      <c r="M38" s="24" t="s">
        <v>641</v>
      </c>
      <c r="N38" s="24" t="s">
        <v>7</v>
      </c>
      <c r="O38" s="13">
        <f t="shared" si="4"/>
        <v>0</v>
      </c>
      <c r="Z38" s="13">
        <f t="shared" si="5"/>
        <v>0</v>
      </c>
      <c r="AA38" s="13">
        <f t="shared" si="6"/>
        <v>0</v>
      </c>
      <c r="AB38" s="13">
        <f t="shared" si="7"/>
        <v>0</v>
      </c>
      <c r="AD38" s="28">
        <v>21</v>
      </c>
      <c r="AE38" s="28">
        <f t="shared" si="8"/>
        <v>0</v>
      </c>
      <c r="AF38" s="28">
        <f t="shared" si="9"/>
        <v>0</v>
      </c>
      <c r="AM38" s="28">
        <f t="shared" si="10"/>
        <v>0</v>
      </c>
      <c r="AN38" s="28">
        <f t="shared" si="11"/>
        <v>0</v>
      </c>
      <c r="AO38" s="29" t="s">
        <v>657</v>
      </c>
      <c r="AP38" s="29" t="s">
        <v>673</v>
      </c>
      <c r="AQ38" s="21" t="s">
        <v>678</v>
      </c>
    </row>
    <row r="39" spans="1:43" ht="12.75">
      <c r="A39" s="4" t="s">
        <v>23</v>
      </c>
      <c r="B39" s="4" t="s">
        <v>189</v>
      </c>
      <c r="C39" s="4" t="s">
        <v>210</v>
      </c>
      <c r="D39" s="66" t="s">
        <v>385</v>
      </c>
      <c r="E39" s="4" t="s">
        <v>615</v>
      </c>
      <c r="F39" s="13">
        <v>1</v>
      </c>
      <c r="G39" s="13">
        <v>0</v>
      </c>
      <c r="H39" s="13">
        <f t="shared" si="0"/>
        <v>0</v>
      </c>
      <c r="I39" s="13">
        <f t="shared" si="1"/>
        <v>0</v>
      </c>
      <c r="J39" s="13">
        <f t="shared" si="2"/>
        <v>0</v>
      </c>
      <c r="K39" s="13">
        <v>0</v>
      </c>
      <c r="L39" s="13">
        <f t="shared" si="3"/>
        <v>0</v>
      </c>
      <c r="M39" s="24" t="s">
        <v>641</v>
      </c>
      <c r="N39" s="24" t="s">
        <v>6</v>
      </c>
      <c r="O39" s="13">
        <f t="shared" si="4"/>
        <v>0</v>
      </c>
      <c r="Z39" s="13">
        <f t="shared" si="5"/>
        <v>0</v>
      </c>
      <c r="AA39" s="13">
        <f t="shared" si="6"/>
        <v>0</v>
      </c>
      <c r="AB39" s="13">
        <f t="shared" si="7"/>
        <v>0</v>
      </c>
      <c r="AD39" s="28">
        <v>21</v>
      </c>
      <c r="AE39" s="28">
        <f t="shared" si="8"/>
        <v>0</v>
      </c>
      <c r="AF39" s="28">
        <f t="shared" si="9"/>
        <v>0</v>
      </c>
      <c r="AM39" s="28">
        <f t="shared" si="10"/>
        <v>0</v>
      </c>
      <c r="AN39" s="28">
        <f t="shared" si="11"/>
        <v>0</v>
      </c>
      <c r="AO39" s="29" t="s">
        <v>657</v>
      </c>
      <c r="AP39" s="29" t="s">
        <v>673</v>
      </c>
      <c r="AQ39" s="21" t="s">
        <v>678</v>
      </c>
    </row>
    <row r="40" spans="1:43" ht="12.75">
      <c r="A40" s="4" t="s">
        <v>24</v>
      </c>
      <c r="B40" s="4" t="s">
        <v>189</v>
      </c>
      <c r="C40" s="4" t="s">
        <v>213</v>
      </c>
      <c r="D40" s="66" t="s">
        <v>386</v>
      </c>
      <c r="E40" s="4" t="s">
        <v>615</v>
      </c>
      <c r="F40" s="13">
        <v>1</v>
      </c>
      <c r="G40" s="13">
        <v>0</v>
      </c>
      <c r="H40" s="13">
        <f t="shared" si="0"/>
        <v>0</v>
      </c>
      <c r="I40" s="13">
        <f t="shared" si="1"/>
        <v>0</v>
      </c>
      <c r="J40" s="13">
        <f t="shared" si="2"/>
        <v>0</v>
      </c>
      <c r="K40" s="13">
        <v>0</v>
      </c>
      <c r="L40" s="13">
        <f t="shared" si="3"/>
        <v>0</v>
      </c>
      <c r="M40" s="24" t="s">
        <v>641</v>
      </c>
      <c r="N40" s="24" t="s">
        <v>6</v>
      </c>
      <c r="O40" s="13">
        <f t="shared" si="4"/>
        <v>0</v>
      </c>
      <c r="Z40" s="13">
        <f t="shared" si="5"/>
        <v>0</v>
      </c>
      <c r="AA40" s="13">
        <f t="shared" si="6"/>
        <v>0</v>
      </c>
      <c r="AB40" s="13">
        <f t="shared" si="7"/>
        <v>0</v>
      </c>
      <c r="AD40" s="28">
        <v>21</v>
      </c>
      <c r="AE40" s="28">
        <f t="shared" si="8"/>
        <v>0</v>
      </c>
      <c r="AF40" s="28">
        <f t="shared" si="9"/>
        <v>0</v>
      </c>
      <c r="AM40" s="28">
        <f t="shared" si="10"/>
        <v>0</v>
      </c>
      <c r="AN40" s="28">
        <f t="shared" si="11"/>
        <v>0</v>
      </c>
      <c r="AO40" s="29" t="s">
        <v>657</v>
      </c>
      <c r="AP40" s="29" t="s">
        <v>673</v>
      </c>
      <c r="AQ40" s="21" t="s">
        <v>678</v>
      </c>
    </row>
    <row r="41" spans="1:37" ht="12.75">
      <c r="A41" s="3"/>
      <c r="B41" s="10" t="s">
        <v>189</v>
      </c>
      <c r="C41" s="10" t="s">
        <v>15</v>
      </c>
      <c r="D41" s="114" t="s">
        <v>359</v>
      </c>
      <c r="E41" s="115"/>
      <c r="F41" s="115"/>
      <c r="G41" s="115"/>
      <c r="H41" s="30">
        <f>SUM(H42:H49)</f>
        <v>0</v>
      </c>
      <c r="I41" s="30">
        <f>SUM(I42:I49)</f>
        <v>0</v>
      </c>
      <c r="J41" s="30">
        <f>H41+I41</f>
        <v>0</v>
      </c>
      <c r="K41" s="21"/>
      <c r="L41" s="30">
        <f>SUM(L42:L49)</f>
        <v>7.322749999999999</v>
      </c>
      <c r="M41" s="21"/>
      <c r="P41" s="30">
        <f>IF(Q41="PR",J41,SUM(O42:O49))</f>
        <v>0</v>
      </c>
      <c r="Q41" s="21" t="s">
        <v>646</v>
      </c>
      <c r="R41" s="30">
        <f>IF(Q41="HS",H41,0)</f>
        <v>0</v>
      </c>
      <c r="S41" s="30">
        <f>IF(Q41="HS",I41-P41,0)</f>
        <v>0</v>
      </c>
      <c r="T41" s="30">
        <f>IF(Q41="PS",H41,0)</f>
        <v>0</v>
      </c>
      <c r="U41" s="30">
        <f>IF(Q41="PS",I41-P41,0)</f>
        <v>0</v>
      </c>
      <c r="V41" s="30">
        <f>IF(Q41="MP",H41,0)</f>
        <v>0</v>
      </c>
      <c r="W41" s="30">
        <f>IF(Q41="MP",I41-P41,0)</f>
        <v>0</v>
      </c>
      <c r="X41" s="30">
        <f>IF(Q41="OM",H41,0)</f>
        <v>0</v>
      </c>
      <c r="Y41" s="21" t="s">
        <v>189</v>
      </c>
      <c r="AI41" s="30">
        <f>SUM(Z42:Z49)</f>
        <v>0</v>
      </c>
      <c r="AJ41" s="30">
        <f>SUM(AA42:AA49)</f>
        <v>0</v>
      </c>
      <c r="AK41" s="30">
        <f>SUM(AB42:AB49)</f>
        <v>0</v>
      </c>
    </row>
    <row r="42" spans="1:43" ht="25.5">
      <c r="A42" s="4" t="s">
        <v>25</v>
      </c>
      <c r="B42" s="4" t="s">
        <v>189</v>
      </c>
      <c r="C42" s="4" t="s">
        <v>214</v>
      </c>
      <c r="D42" s="66" t="s">
        <v>387</v>
      </c>
      <c r="E42" s="4" t="s">
        <v>617</v>
      </c>
      <c r="F42" s="13">
        <v>79</v>
      </c>
      <c r="G42" s="13">
        <v>0</v>
      </c>
      <c r="H42" s="13">
        <f aca="true" t="shared" si="12" ref="H42:H49">ROUND(F42*AE42,2)</f>
        <v>0</v>
      </c>
      <c r="I42" s="13">
        <f aca="true" t="shared" si="13" ref="I42:I49">J42-H42</f>
        <v>0</v>
      </c>
      <c r="J42" s="13">
        <f aca="true" t="shared" si="14" ref="J42:J49">ROUND(F42*G42,2)</f>
        <v>0</v>
      </c>
      <c r="K42" s="13">
        <v>0.01271</v>
      </c>
      <c r="L42" s="13">
        <f aca="true" t="shared" si="15" ref="L42:L49">F42*K42</f>
        <v>1.0040900000000001</v>
      </c>
      <c r="M42" s="24" t="s">
        <v>641</v>
      </c>
      <c r="N42" s="24" t="s">
        <v>6</v>
      </c>
      <c r="O42" s="13">
        <f aca="true" t="shared" si="16" ref="O42:O49">IF(N42="5",I42,0)</f>
        <v>0</v>
      </c>
      <c r="Z42" s="13">
        <f aca="true" t="shared" si="17" ref="Z42:Z49">IF(AD42=0,J42,0)</f>
        <v>0</v>
      </c>
      <c r="AA42" s="13">
        <f aca="true" t="shared" si="18" ref="AA42:AA49">IF(AD42=15,J42,0)</f>
        <v>0</v>
      </c>
      <c r="AB42" s="13">
        <f aca="true" t="shared" si="19" ref="AB42:AB49">IF(AD42=21,J42,0)</f>
        <v>0</v>
      </c>
      <c r="AD42" s="28">
        <v>21</v>
      </c>
      <c r="AE42" s="28">
        <f>G42*0.346896551724138</f>
        <v>0</v>
      </c>
      <c r="AF42" s="28">
        <f>G42*(1-0.346896551724138)</f>
        <v>0</v>
      </c>
      <c r="AM42" s="28">
        <f aca="true" t="shared" si="20" ref="AM42:AM49">F42*AE42</f>
        <v>0</v>
      </c>
      <c r="AN42" s="28">
        <f aca="true" t="shared" si="21" ref="AN42:AN49">F42*AF42</f>
        <v>0</v>
      </c>
      <c r="AO42" s="29" t="s">
        <v>655</v>
      </c>
      <c r="AP42" s="29" t="s">
        <v>671</v>
      </c>
      <c r="AQ42" s="21" t="s">
        <v>678</v>
      </c>
    </row>
    <row r="43" spans="1:43" ht="12.75">
      <c r="A43" s="4" t="s">
        <v>26</v>
      </c>
      <c r="B43" s="4" t="s">
        <v>189</v>
      </c>
      <c r="C43" s="4" t="s">
        <v>215</v>
      </c>
      <c r="D43" s="66" t="s">
        <v>388</v>
      </c>
      <c r="E43" s="4" t="s">
        <v>617</v>
      </c>
      <c r="F43" s="13">
        <v>159</v>
      </c>
      <c r="G43" s="13">
        <v>0</v>
      </c>
      <c r="H43" s="13">
        <f t="shared" si="12"/>
        <v>0</v>
      </c>
      <c r="I43" s="13">
        <f t="shared" si="13"/>
        <v>0</v>
      </c>
      <c r="J43" s="13">
        <f t="shared" si="14"/>
        <v>0</v>
      </c>
      <c r="K43" s="13">
        <v>0.03974</v>
      </c>
      <c r="L43" s="13">
        <f t="shared" si="15"/>
        <v>6.3186599999999995</v>
      </c>
      <c r="M43" s="24" t="s">
        <v>641</v>
      </c>
      <c r="N43" s="24" t="s">
        <v>6</v>
      </c>
      <c r="O43" s="13">
        <f t="shared" si="16"/>
        <v>0</v>
      </c>
      <c r="Z43" s="13">
        <f t="shared" si="17"/>
        <v>0</v>
      </c>
      <c r="AA43" s="13">
        <f t="shared" si="18"/>
        <v>0</v>
      </c>
      <c r="AB43" s="13">
        <f t="shared" si="19"/>
        <v>0</v>
      </c>
      <c r="AD43" s="28">
        <v>21</v>
      </c>
      <c r="AE43" s="28">
        <f>G43*0.374705613554079</f>
        <v>0</v>
      </c>
      <c r="AF43" s="28">
        <f>G43*(1-0.374705613554079)</f>
        <v>0</v>
      </c>
      <c r="AM43" s="28">
        <f t="shared" si="20"/>
        <v>0</v>
      </c>
      <c r="AN43" s="28">
        <f t="shared" si="21"/>
        <v>0</v>
      </c>
      <c r="AO43" s="29" t="s">
        <v>655</v>
      </c>
      <c r="AP43" s="29" t="s">
        <v>671</v>
      </c>
      <c r="AQ43" s="21" t="s">
        <v>678</v>
      </c>
    </row>
    <row r="44" spans="1:43" ht="12.75">
      <c r="A44" s="4" t="s">
        <v>27</v>
      </c>
      <c r="B44" s="4" t="s">
        <v>189</v>
      </c>
      <c r="C44" s="4" t="s">
        <v>216</v>
      </c>
      <c r="D44" s="66" t="s">
        <v>389</v>
      </c>
      <c r="E44" s="4" t="s">
        <v>613</v>
      </c>
      <c r="F44" s="13">
        <v>220</v>
      </c>
      <c r="G44" s="13">
        <v>0</v>
      </c>
      <c r="H44" s="13">
        <f t="shared" si="12"/>
        <v>0</v>
      </c>
      <c r="I44" s="13">
        <f t="shared" si="13"/>
        <v>0</v>
      </c>
      <c r="J44" s="13">
        <f t="shared" si="14"/>
        <v>0</v>
      </c>
      <c r="K44" s="13">
        <v>0</v>
      </c>
      <c r="L44" s="13">
        <f t="shared" si="15"/>
        <v>0</v>
      </c>
      <c r="M44" s="24" t="s">
        <v>641</v>
      </c>
      <c r="N44" s="24" t="s">
        <v>6</v>
      </c>
      <c r="O44" s="13">
        <f t="shared" si="16"/>
        <v>0</v>
      </c>
      <c r="Z44" s="13">
        <f t="shared" si="17"/>
        <v>0</v>
      </c>
      <c r="AA44" s="13">
        <f t="shared" si="18"/>
        <v>0</v>
      </c>
      <c r="AB44" s="13">
        <f t="shared" si="19"/>
        <v>0</v>
      </c>
      <c r="AD44" s="28">
        <v>21</v>
      </c>
      <c r="AE44" s="28">
        <f aca="true" t="shared" si="22" ref="AE44:AE49">G44*0</f>
        <v>0</v>
      </c>
      <c r="AF44" s="28">
        <f aca="true" t="shared" si="23" ref="AF44:AF49">G44*(1-0)</f>
        <v>0</v>
      </c>
      <c r="AM44" s="28">
        <f t="shared" si="20"/>
        <v>0</v>
      </c>
      <c r="AN44" s="28">
        <f t="shared" si="21"/>
        <v>0</v>
      </c>
      <c r="AO44" s="29" t="s">
        <v>655</v>
      </c>
      <c r="AP44" s="29" t="s">
        <v>671</v>
      </c>
      <c r="AQ44" s="21" t="s">
        <v>678</v>
      </c>
    </row>
    <row r="45" spans="1:43" ht="12.75">
      <c r="A45" s="4" t="s">
        <v>28</v>
      </c>
      <c r="B45" s="4" t="s">
        <v>189</v>
      </c>
      <c r="C45" s="4" t="s">
        <v>217</v>
      </c>
      <c r="D45" s="66" t="s">
        <v>390</v>
      </c>
      <c r="E45" s="4" t="s">
        <v>616</v>
      </c>
      <c r="F45" s="13">
        <v>2200</v>
      </c>
      <c r="G45" s="13">
        <v>0</v>
      </c>
      <c r="H45" s="13">
        <f t="shared" si="12"/>
        <v>0</v>
      </c>
      <c r="I45" s="13">
        <f t="shared" si="13"/>
        <v>0</v>
      </c>
      <c r="J45" s="13">
        <f t="shared" si="14"/>
        <v>0</v>
      </c>
      <c r="K45" s="13">
        <v>0</v>
      </c>
      <c r="L45" s="13">
        <f t="shared" si="15"/>
        <v>0</v>
      </c>
      <c r="M45" s="24" t="s">
        <v>641</v>
      </c>
      <c r="N45" s="24" t="s">
        <v>6</v>
      </c>
      <c r="O45" s="13">
        <f t="shared" si="16"/>
        <v>0</v>
      </c>
      <c r="Z45" s="13">
        <f t="shared" si="17"/>
        <v>0</v>
      </c>
      <c r="AA45" s="13">
        <f t="shared" si="18"/>
        <v>0</v>
      </c>
      <c r="AB45" s="13">
        <f t="shared" si="19"/>
        <v>0</v>
      </c>
      <c r="AD45" s="28">
        <v>21</v>
      </c>
      <c r="AE45" s="28">
        <f t="shared" si="22"/>
        <v>0</v>
      </c>
      <c r="AF45" s="28">
        <f t="shared" si="23"/>
        <v>0</v>
      </c>
      <c r="AM45" s="28">
        <f t="shared" si="20"/>
        <v>0</v>
      </c>
      <c r="AN45" s="28">
        <f t="shared" si="21"/>
        <v>0</v>
      </c>
      <c r="AO45" s="29" t="s">
        <v>655</v>
      </c>
      <c r="AP45" s="29" t="s">
        <v>671</v>
      </c>
      <c r="AQ45" s="21" t="s">
        <v>678</v>
      </c>
    </row>
    <row r="46" spans="1:43" ht="12.75">
      <c r="A46" s="4" t="s">
        <v>29</v>
      </c>
      <c r="B46" s="4" t="s">
        <v>189</v>
      </c>
      <c r="C46" s="4" t="s">
        <v>218</v>
      </c>
      <c r="D46" s="66" t="s">
        <v>391</v>
      </c>
      <c r="E46" s="4" t="s">
        <v>613</v>
      </c>
      <c r="F46" s="13">
        <v>148.83</v>
      </c>
      <c r="G46" s="13">
        <v>0</v>
      </c>
      <c r="H46" s="13">
        <f t="shared" si="12"/>
        <v>0</v>
      </c>
      <c r="I46" s="13">
        <f t="shared" si="13"/>
        <v>0</v>
      </c>
      <c r="J46" s="13">
        <f t="shared" si="14"/>
        <v>0</v>
      </c>
      <c r="K46" s="13">
        <v>0</v>
      </c>
      <c r="L46" s="13">
        <f t="shared" si="15"/>
        <v>0</v>
      </c>
      <c r="M46" s="24" t="s">
        <v>641</v>
      </c>
      <c r="N46" s="24" t="s">
        <v>6</v>
      </c>
      <c r="O46" s="13">
        <f t="shared" si="16"/>
        <v>0</v>
      </c>
      <c r="Z46" s="13">
        <f t="shared" si="17"/>
        <v>0</v>
      </c>
      <c r="AA46" s="13">
        <f t="shared" si="18"/>
        <v>0</v>
      </c>
      <c r="AB46" s="13">
        <f t="shared" si="19"/>
        <v>0</v>
      </c>
      <c r="AD46" s="28">
        <v>21</v>
      </c>
      <c r="AE46" s="28">
        <f t="shared" si="22"/>
        <v>0</v>
      </c>
      <c r="AF46" s="28">
        <f t="shared" si="23"/>
        <v>0</v>
      </c>
      <c r="AM46" s="28">
        <f t="shared" si="20"/>
        <v>0</v>
      </c>
      <c r="AN46" s="28">
        <f t="shared" si="21"/>
        <v>0</v>
      </c>
      <c r="AO46" s="29" t="s">
        <v>655</v>
      </c>
      <c r="AP46" s="29" t="s">
        <v>671</v>
      </c>
      <c r="AQ46" s="21" t="s">
        <v>678</v>
      </c>
    </row>
    <row r="47" spans="1:43" ht="12.75">
      <c r="A47" s="4" t="s">
        <v>30</v>
      </c>
      <c r="B47" s="4" t="s">
        <v>189</v>
      </c>
      <c r="C47" s="4" t="s">
        <v>219</v>
      </c>
      <c r="D47" s="66" t="s">
        <v>392</v>
      </c>
      <c r="E47" s="4" t="s">
        <v>613</v>
      </c>
      <c r="F47" s="13">
        <v>147.5</v>
      </c>
      <c r="G47" s="13">
        <v>0</v>
      </c>
      <c r="H47" s="13">
        <f t="shared" si="12"/>
        <v>0</v>
      </c>
      <c r="I47" s="13">
        <f t="shared" si="13"/>
        <v>0</v>
      </c>
      <c r="J47" s="13">
        <f t="shared" si="14"/>
        <v>0</v>
      </c>
      <c r="K47" s="13">
        <v>0</v>
      </c>
      <c r="L47" s="13">
        <f t="shared" si="15"/>
        <v>0</v>
      </c>
      <c r="M47" s="24" t="s">
        <v>641</v>
      </c>
      <c r="N47" s="24" t="s">
        <v>6</v>
      </c>
      <c r="O47" s="13">
        <f t="shared" si="16"/>
        <v>0</v>
      </c>
      <c r="Z47" s="13">
        <f t="shared" si="17"/>
        <v>0</v>
      </c>
      <c r="AA47" s="13">
        <f t="shared" si="18"/>
        <v>0</v>
      </c>
      <c r="AB47" s="13">
        <f t="shared" si="19"/>
        <v>0</v>
      </c>
      <c r="AD47" s="28">
        <v>21</v>
      </c>
      <c r="AE47" s="28">
        <f t="shared" si="22"/>
        <v>0</v>
      </c>
      <c r="AF47" s="28">
        <f t="shared" si="23"/>
        <v>0</v>
      </c>
      <c r="AM47" s="28">
        <f t="shared" si="20"/>
        <v>0</v>
      </c>
      <c r="AN47" s="28">
        <f t="shared" si="21"/>
        <v>0</v>
      </c>
      <c r="AO47" s="29" t="s">
        <v>655</v>
      </c>
      <c r="AP47" s="29" t="s">
        <v>671</v>
      </c>
      <c r="AQ47" s="21" t="s">
        <v>678</v>
      </c>
    </row>
    <row r="48" spans="1:43" ht="12.75">
      <c r="A48" s="4" t="s">
        <v>31</v>
      </c>
      <c r="B48" s="4" t="s">
        <v>189</v>
      </c>
      <c r="C48" s="4" t="s">
        <v>220</v>
      </c>
      <c r="D48" s="66" t="s">
        <v>393</v>
      </c>
      <c r="E48" s="4" t="s">
        <v>613</v>
      </c>
      <c r="F48" s="13">
        <v>55.82</v>
      </c>
      <c r="G48" s="13">
        <v>0</v>
      </c>
      <c r="H48" s="13">
        <f t="shared" si="12"/>
        <v>0</v>
      </c>
      <c r="I48" s="13">
        <f t="shared" si="13"/>
        <v>0</v>
      </c>
      <c r="J48" s="13">
        <f t="shared" si="14"/>
        <v>0</v>
      </c>
      <c r="K48" s="13">
        <v>0</v>
      </c>
      <c r="L48" s="13">
        <f t="shared" si="15"/>
        <v>0</v>
      </c>
      <c r="M48" s="24" t="s">
        <v>641</v>
      </c>
      <c r="N48" s="24" t="s">
        <v>6</v>
      </c>
      <c r="O48" s="13">
        <f t="shared" si="16"/>
        <v>0</v>
      </c>
      <c r="Z48" s="13">
        <f t="shared" si="17"/>
        <v>0</v>
      </c>
      <c r="AA48" s="13">
        <f t="shared" si="18"/>
        <v>0</v>
      </c>
      <c r="AB48" s="13">
        <f t="shared" si="19"/>
        <v>0</v>
      </c>
      <c r="AD48" s="28">
        <v>21</v>
      </c>
      <c r="AE48" s="28">
        <f t="shared" si="22"/>
        <v>0</v>
      </c>
      <c r="AF48" s="28">
        <f t="shared" si="23"/>
        <v>0</v>
      </c>
      <c r="AM48" s="28">
        <f t="shared" si="20"/>
        <v>0</v>
      </c>
      <c r="AN48" s="28">
        <f t="shared" si="21"/>
        <v>0</v>
      </c>
      <c r="AO48" s="29" t="s">
        <v>655</v>
      </c>
      <c r="AP48" s="29" t="s">
        <v>671</v>
      </c>
      <c r="AQ48" s="21" t="s">
        <v>678</v>
      </c>
    </row>
    <row r="49" spans="1:43" ht="12.75">
      <c r="A49" s="4" t="s">
        <v>32</v>
      </c>
      <c r="B49" s="4" t="s">
        <v>189</v>
      </c>
      <c r="C49" s="4" t="s">
        <v>221</v>
      </c>
      <c r="D49" s="66" t="s">
        <v>394</v>
      </c>
      <c r="E49" s="4" t="s">
        <v>616</v>
      </c>
      <c r="F49" s="13">
        <v>372.01</v>
      </c>
      <c r="G49" s="13">
        <v>0</v>
      </c>
      <c r="H49" s="13">
        <f t="shared" si="12"/>
        <v>0</v>
      </c>
      <c r="I49" s="13">
        <f t="shared" si="13"/>
        <v>0</v>
      </c>
      <c r="J49" s="13">
        <f t="shared" si="14"/>
        <v>0</v>
      </c>
      <c r="K49" s="13">
        <v>0</v>
      </c>
      <c r="L49" s="13">
        <f t="shared" si="15"/>
        <v>0</v>
      </c>
      <c r="M49" s="24" t="s">
        <v>641</v>
      </c>
      <c r="N49" s="24" t="s">
        <v>6</v>
      </c>
      <c r="O49" s="13">
        <f t="shared" si="16"/>
        <v>0</v>
      </c>
      <c r="Z49" s="13">
        <f t="shared" si="17"/>
        <v>0</v>
      </c>
      <c r="AA49" s="13">
        <f t="shared" si="18"/>
        <v>0</v>
      </c>
      <c r="AB49" s="13">
        <f t="shared" si="19"/>
        <v>0</v>
      </c>
      <c r="AD49" s="28">
        <v>21</v>
      </c>
      <c r="AE49" s="28">
        <f t="shared" si="22"/>
        <v>0</v>
      </c>
      <c r="AF49" s="28">
        <f t="shared" si="23"/>
        <v>0</v>
      </c>
      <c r="AM49" s="28">
        <f t="shared" si="20"/>
        <v>0</v>
      </c>
      <c r="AN49" s="28">
        <f t="shared" si="21"/>
        <v>0</v>
      </c>
      <c r="AO49" s="29" t="s">
        <v>655</v>
      </c>
      <c r="AP49" s="29" t="s">
        <v>671</v>
      </c>
      <c r="AQ49" s="21" t="s">
        <v>678</v>
      </c>
    </row>
    <row r="50" spans="1:37" ht="12.75">
      <c r="A50" s="3"/>
      <c r="B50" s="10" t="s">
        <v>189</v>
      </c>
      <c r="C50" s="10" t="s">
        <v>33</v>
      </c>
      <c r="D50" s="114" t="s">
        <v>395</v>
      </c>
      <c r="E50" s="115"/>
      <c r="F50" s="115"/>
      <c r="G50" s="115"/>
      <c r="H50" s="30">
        <f>SUM(H51:H57)</f>
        <v>0</v>
      </c>
      <c r="I50" s="30">
        <f>SUM(I51:I57)</f>
        <v>0</v>
      </c>
      <c r="J50" s="30">
        <f>H50+I50</f>
        <v>0</v>
      </c>
      <c r="K50" s="21"/>
      <c r="L50" s="30">
        <f>SUM(L51:L57)</f>
        <v>108.90769459999999</v>
      </c>
      <c r="M50" s="21"/>
      <c r="P50" s="30">
        <f>IF(Q50="PR",J50,SUM(O51:O57))</f>
        <v>0</v>
      </c>
      <c r="Q50" s="21" t="s">
        <v>646</v>
      </c>
      <c r="R50" s="30">
        <f>IF(Q50="HS",H50,0)</f>
        <v>0</v>
      </c>
      <c r="S50" s="30">
        <f>IF(Q50="HS",I50-P50,0)</f>
        <v>0</v>
      </c>
      <c r="T50" s="30">
        <f>IF(Q50="PS",H50,0)</f>
        <v>0</v>
      </c>
      <c r="U50" s="30">
        <f>IF(Q50="PS",I50-P50,0)</f>
        <v>0</v>
      </c>
      <c r="V50" s="30">
        <f>IF(Q50="MP",H50,0)</f>
        <v>0</v>
      </c>
      <c r="W50" s="30">
        <f>IF(Q50="MP",I50-P50,0)</f>
        <v>0</v>
      </c>
      <c r="X50" s="30">
        <f>IF(Q50="OM",H50,0)</f>
        <v>0</v>
      </c>
      <c r="Y50" s="21" t="s">
        <v>189</v>
      </c>
      <c r="AI50" s="30">
        <f>SUM(Z51:Z57)</f>
        <v>0</v>
      </c>
      <c r="AJ50" s="30">
        <f>SUM(AA51:AA57)</f>
        <v>0</v>
      </c>
      <c r="AK50" s="30">
        <f>SUM(AB51:AB57)</f>
        <v>0</v>
      </c>
    </row>
    <row r="51" spans="1:43" ht="12.75">
      <c r="A51" s="4" t="s">
        <v>33</v>
      </c>
      <c r="B51" s="4" t="s">
        <v>189</v>
      </c>
      <c r="C51" s="4" t="s">
        <v>222</v>
      </c>
      <c r="D51" s="66" t="s">
        <v>396</v>
      </c>
      <c r="E51" s="4" t="s">
        <v>613</v>
      </c>
      <c r="F51" s="13">
        <v>275.65</v>
      </c>
      <c r="G51" s="13">
        <v>0</v>
      </c>
      <c r="H51" s="13">
        <f>ROUND(F51*AE51,2)</f>
        <v>0</v>
      </c>
      <c r="I51" s="13">
        <f>J51-H51</f>
        <v>0</v>
      </c>
      <c r="J51" s="13">
        <f>ROUND(F51*G51,2)</f>
        <v>0</v>
      </c>
      <c r="K51" s="13">
        <v>0.38314</v>
      </c>
      <c r="L51" s="13">
        <f>F51*K51</f>
        <v>105.61254099999998</v>
      </c>
      <c r="M51" s="24" t="s">
        <v>641</v>
      </c>
      <c r="N51" s="24" t="s">
        <v>6</v>
      </c>
      <c r="O51" s="13">
        <f>IF(N51="5",I51,0)</f>
        <v>0</v>
      </c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28">
        <v>21</v>
      </c>
      <c r="AE51" s="28">
        <f>G51*0.875802497957278</f>
        <v>0</v>
      </c>
      <c r="AF51" s="28">
        <f>G51*(1-0.875802497957278)</f>
        <v>0</v>
      </c>
      <c r="AM51" s="28">
        <f>F51*AE51</f>
        <v>0</v>
      </c>
      <c r="AN51" s="28">
        <f>F51*AF51</f>
        <v>0</v>
      </c>
      <c r="AO51" s="29" t="s">
        <v>658</v>
      </c>
      <c r="AP51" s="29" t="s">
        <v>674</v>
      </c>
      <c r="AQ51" s="21" t="s">
        <v>678</v>
      </c>
    </row>
    <row r="52" spans="4:6" ht="12.75">
      <c r="D52" s="67" t="s">
        <v>397</v>
      </c>
      <c r="F52" s="14">
        <v>0</v>
      </c>
    </row>
    <row r="53" spans="4:6" ht="12.75">
      <c r="D53" s="67" t="s">
        <v>398</v>
      </c>
      <c r="F53" s="14">
        <v>275.65</v>
      </c>
    </row>
    <row r="54" spans="1:43" ht="12.75">
      <c r="A54" s="4" t="s">
        <v>34</v>
      </c>
      <c r="B54" s="4" t="s">
        <v>189</v>
      </c>
      <c r="C54" s="4" t="s">
        <v>755</v>
      </c>
      <c r="D54" s="66" t="s">
        <v>753</v>
      </c>
      <c r="E54" s="4" t="s">
        <v>616</v>
      </c>
      <c r="F54" s="13">
        <v>5513</v>
      </c>
      <c r="G54" s="13">
        <v>0</v>
      </c>
      <c r="H54" s="13">
        <f>ROUND(F54*AE54,2)</f>
        <v>0</v>
      </c>
      <c r="I54" s="13">
        <f>J54-H54</f>
        <v>0</v>
      </c>
      <c r="J54" s="13">
        <f>ROUND(F54*G54,2)</f>
        <v>0</v>
      </c>
      <c r="K54" s="13">
        <v>0.0005</v>
      </c>
      <c r="L54" s="13">
        <f>F54*K54</f>
        <v>2.7565</v>
      </c>
      <c r="M54" s="24" t="s">
        <v>641</v>
      </c>
      <c r="N54" s="24" t="s">
        <v>6</v>
      </c>
      <c r="O54" s="13">
        <f>IF(N54="5",I54,0)</f>
        <v>0</v>
      </c>
      <c r="Z54" s="13">
        <f>IF(AD54=0,J54,0)</f>
        <v>0</v>
      </c>
      <c r="AA54" s="13">
        <f>IF(AD54=15,J54,0)</f>
        <v>0</v>
      </c>
      <c r="AB54" s="13">
        <f>IF(AD54=21,J54,0)</f>
        <v>0</v>
      </c>
      <c r="AD54" s="28">
        <v>21</v>
      </c>
      <c r="AE54" s="28">
        <f>G54*0.33944748909518</f>
        <v>0</v>
      </c>
      <c r="AF54" s="28">
        <f>G54*(1-0.33944748909518)</f>
        <v>0</v>
      </c>
      <c r="AM54" s="28">
        <f>F54*AE54</f>
        <v>0</v>
      </c>
      <c r="AN54" s="28">
        <f>F54*AF54</f>
        <v>0</v>
      </c>
      <c r="AO54" s="29" t="s">
        <v>658</v>
      </c>
      <c r="AP54" s="29" t="s">
        <v>674</v>
      </c>
      <c r="AQ54" s="21" t="s">
        <v>678</v>
      </c>
    </row>
    <row r="55" spans="4:6" ht="12.75">
      <c r="D55" s="67" t="s">
        <v>397</v>
      </c>
      <c r="F55" s="14">
        <v>0</v>
      </c>
    </row>
    <row r="56" spans="4:6" ht="12.75">
      <c r="D56" s="67" t="s">
        <v>399</v>
      </c>
      <c r="F56" s="14">
        <v>5513</v>
      </c>
    </row>
    <row r="57" spans="1:43" ht="25.5">
      <c r="A57" s="4" t="s">
        <v>35</v>
      </c>
      <c r="B57" s="4" t="s">
        <v>189</v>
      </c>
      <c r="C57" s="4" t="s">
        <v>223</v>
      </c>
      <c r="D57" s="66" t="s">
        <v>400</v>
      </c>
      <c r="E57" s="4" t="s">
        <v>613</v>
      </c>
      <c r="F57" s="13">
        <v>6.32</v>
      </c>
      <c r="G57" s="13">
        <v>0</v>
      </c>
      <c r="H57" s="13">
        <f>ROUND(F57*AE57,2)</f>
        <v>0</v>
      </c>
      <c r="I57" s="13">
        <f>J57-H57</f>
        <v>0</v>
      </c>
      <c r="J57" s="13">
        <f>ROUND(F57*G57,2)</f>
        <v>0</v>
      </c>
      <c r="K57" s="13">
        <v>0.08523</v>
      </c>
      <c r="L57" s="13">
        <f>F57*K57</f>
        <v>0.5386536000000001</v>
      </c>
      <c r="M57" s="24" t="s">
        <v>641</v>
      </c>
      <c r="N57" s="24" t="s">
        <v>6</v>
      </c>
      <c r="O57" s="13">
        <f>IF(N57="5",I57,0)</f>
        <v>0</v>
      </c>
      <c r="Z57" s="13">
        <f>IF(AD57=0,J57,0)</f>
        <v>0</v>
      </c>
      <c r="AA57" s="13">
        <f>IF(AD57=15,J57,0)</f>
        <v>0</v>
      </c>
      <c r="AB57" s="13">
        <f>IF(AD57=21,J57,0)</f>
        <v>0</v>
      </c>
      <c r="AD57" s="28">
        <v>21</v>
      </c>
      <c r="AE57" s="28">
        <f>G57*0.57712272012953</f>
        <v>0</v>
      </c>
      <c r="AF57" s="28">
        <f>G57*(1-0.57712272012953)</f>
        <v>0</v>
      </c>
      <c r="AM57" s="28">
        <f>F57*AE57</f>
        <v>0</v>
      </c>
      <c r="AN57" s="28">
        <f>F57*AF57</f>
        <v>0</v>
      </c>
      <c r="AO57" s="29" t="s">
        <v>658</v>
      </c>
      <c r="AP57" s="29" t="s">
        <v>674</v>
      </c>
      <c r="AQ57" s="21" t="s">
        <v>678</v>
      </c>
    </row>
    <row r="58" spans="4:6" ht="12.75">
      <c r="D58" s="67" t="s">
        <v>401</v>
      </c>
      <c r="F58" s="14">
        <v>0</v>
      </c>
    </row>
    <row r="59" spans="4:6" ht="12.75">
      <c r="D59" s="67" t="s">
        <v>402</v>
      </c>
      <c r="F59" s="14">
        <v>6.32</v>
      </c>
    </row>
    <row r="60" spans="1:37" ht="12.75">
      <c r="A60" s="3"/>
      <c r="B60" s="10" t="s">
        <v>189</v>
      </c>
      <c r="C60" s="10" t="s">
        <v>55</v>
      </c>
      <c r="D60" s="114" t="s">
        <v>403</v>
      </c>
      <c r="E60" s="115"/>
      <c r="F60" s="115"/>
      <c r="G60" s="115"/>
      <c r="H60" s="30">
        <f>SUM(H61:H117)</f>
        <v>0</v>
      </c>
      <c r="I60" s="30">
        <f>SUM(I61:I117)</f>
        <v>0</v>
      </c>
      <c r="J60" s="30">
        <f>H60+I60</f>
        <v>0</v>
      </c>
      <c r="K60" s="21"/>
      <c r="L60" s="30">
        <f>SUM(L61:L117)</f>
        <v>5777.0249984</v>
      </c>
      <c r="M60" s="21"/>
      <c r="P60" s="30">
        <f>IF(Q60="PR",J60,SUM(O61:O117))</f>
        <v>0</v>
      </c>
      <c r="Q60" s="21" t="s">
        <v>646</v>
      </c>
      <c r="R60" s="30">
        <f>IF(Q60="HS",H60,0)</f>
        <v>0</v>
      </c>
      <c r="S60" s="30">
        <f>IF(Q60="HS",I60-P60,0)</f>
        <v>0</v>
      </c>
      <c r="T60" s="30">
        <f>IF(Q60="PS",H60,0)</f>
        <v>0</v>
      </c>
      <c r="U60" s="30">
        <f>IF(Q60="PS",I60-P60,0)</f>
        <v>0</v>
      </c>
      <c r="V60" s="30">
        <f>IF(Q60="MP",H60,0)</f>
        <v>0</v>
      </c>
      <c r="W60" s="30">
        <f>IF(Q60="MP",I60-P60,0)</f>
        <v>0</v>
      </c>
      <c r="X60" s="30">
        <f>IF(Q60="OM",H60,0)</f>
        <v>0</v>
      </c>
      <c r="Y60" s="21" t="s">
        <v>189</v>
      </c>
      <c r="AI60" s="30">
        <f>SUM(Z61:Z117)</f>
        <v>0</v>
      </c>
      <c r="AJ60" s="30">
        <f>SUM(AA61:AA117)</f>
        <v>0</v>
      </c>
      <c r="AK60" s="30">
        <f>SUM(AB61:AB117)</f>
        <v>0</v>
      </c>
    </row>
    <row r="61" spans="1:43" ht="25.5">
      <c r="A61" s="4" t="s">
        <v>36</v>
      </c>
      <c r="B61" s="4" t="s">
        <v>189</v>
      </c>
      <c r="C61" s="4" t="s">
        <v>224</v>
      </c>
      <c r="D61" s="66" t="s">
        <v>404</v>
      </c>
      <c r="E61" s="4" t="s">
        <v>616</v>
      </c>
      <c r="F61" s="13">
        <v>3171</v>
      </c>
      <c r="G61" s="13">
        <v>0</v>
      </c>
      <c r="H61" s="13">
        <f>ROUND(F61*AE61,2)</f>
        <v>0</v>
      </c>
      <c r="I61" s="13">
        <f>J61-H61</f>
        <v>0</v>
      </c>
      <c r="J61" s="13">
        <f>ROUND(F61*G61,2)</f>
        <v>0</v>
      </c>
      <c r="K61" s="13">
        <v>0.06185</v>
      </c>
      <c r="L61" s="13">
        <f>F61*K61</f>
        <v>196.12635</v>
      </c>
      <c r="M61" s="24" t="s">
        <v>641</v>
      </c>
      <c r="N61" s="24" t="s">
        <v>6</v>
      </c>
      <c r="O61" s="13">
        <f>IF(N61="5",I61,0)</f>
        <v>0</v>
      </c>
      <c r="Z61" s="13">
        <f>IF(AD61=0,J61,0)</f>
        <v>0</v>
      </c>
      <c r="AA61" s="13">
        <f>IF(AD61=15,J61,0)</f>
        <v>0</v>
      </c>
      <c r="AB61" s="13">
        <f>IF(AD61=21,J61,0)</f>
        <v>0</v>
      </c>
      <c r="AD61" s="28">
        <v>21</v>
      </c>
      <c r="AE61" s="28">
        <f>G61*0.532968400099527</f>
        <v>0</v>
      </c>
      <c r="AF61" s="28">
        <f>G61*(1-0.532968400099527)</f>
        <v>0</v>
      </c>
      <c r="AM61" s="28">
        <f>F61*AE61</f>
        <v>0</v>
      </c>
      <c r="AN61" s="28">
        <f>F61*AF61</f>
        <v>0</v>
      </c>
      <c r="AO61" s="29" t="s">
        <v>659</v>
      </c>
      <c r="AP61" s="29" t="s">
        <v>675</v>
      </c>
      <c r="AQ61" s="21" t="s">
        <v>678</v>
      </c>
    </row>
    <row r="62" spans="4:6" ht="12.75">
      <c r="D62" s="67" t="s">
        <v>405</v>
      </c>
      <c r="F62" s="14">
        <v>3171</v>
      </c>
    </row>
    <row r="63" spans="1:43" ht="25.5">
      <c r="A63" s="4" t="s">
        <v>37</v>
      </c>
      <c r="B63" s="4" t="s">
        <v>189</v>
      </c>
      <c r="C63" s="4" t="s">
        <v>225</v>
      </c>
      <c r="D63" s="66" t="s">
        <v>406</v>
      </c>
      <c r="E63" s="4" t="s">
        <v>616</v>
      </c>
      <c r="F63" s="13">
        <v>5513</v>
      </c>
      <c r="G63" s="13">
        <v>0</v>
      </c>
      <c r="H63" s="13">
        <f>ROUND(F63*AE63,2)</f>
        <v>0</v>
      </c>
      <c r="I63" s="13">
        <f>J63-H63</f>
        <v>0</v>
      </c>
      <c r="J63" s="13">
        <f>ROUND(F63*G63,2)</f>
        <v>0</v>
      </c>
      <c r="K63" s="13">
        <v>0.26376</v>
      </c>
      <c r="L63" s="13">
        <f>F63*K63</f>
        <v>1454.10888</v>
      </c>
      <c r="M63" s="24" t="s">
        <v>641</v>
      </c>
      <c r="N63" s="24" t="s">
        <v>6</v>
      </c>
      <c r="O63" s="13">
        <f>IF(N63="5",I63,0)</f>
        <v>0</v>
      </c>
      <c r="Z63" s="13">
        <f>IF(AD63=0,J63,0)</f>
        <v>0</v>
      </c>
      <c r="AA63" s="13">
        <f>IF(AD63=15,J63,0)</f>
        <v>0</v>
      </c>
      <c r="AB63" s="13">
        <f>IF(AD63=21,J63,0)</f>
        <v>0</v>
      </c>
      <c r="AD63" s="28">
        <v>21</v>
      </c>
      <c r="AE63" s="28">
        <f>G63*0.842127659574468</f>
        <v>0</v>
      </c>
      <c r="AF63" s="28">
        <f>G63*(1-0.842127659574468)</f>
        <v>0</v>
      </c>
      <c r="AM63" s="28">
        <f>F63*AE63</f>
        <v>0</v>
      </c>
      <c r="AN63" s="28">
        <f>F63*AF63</f>
        <v>0</v>
      </c>
      <c r="AO63" s="29" t="s">
        <v>659</v>
      </c>
      <c r="AP63" s="29" t="s">
        <v>675</v>
      </c>
      <c r="AQ63" s="21" t="s">
        <v>678</v>
      </c>
    </row>
    <row r="64" spans="4:6" ht="12.75">
      <c r="D64" s="67" t="s">
        <v>397</v>
      </c>
      <c r="F64" s="14">
        <v>0</v>
      </c>
    </row>
    <row r="65" spans="4:6" ht="12.75">
      <c r="D65" s="67" t="s">
        <v>407</v>
      </c>
      <c r="F65" s="14">
        <v>5513</v>
      </c>
    </row>
    <row r="66" spans="1:43" ht="12.75">
      <c r="A66" s="4" t="s">
        <v>38</v>
      </c>
      <c r="B66" s="4" t="s">
        <v>189</v>
      </c>
      <c r="C66" s="4" t="s">
        <v>226</v>
      </c>
      <c r="D66" s="66" t="s">
        <v>408</v>
      </c>
      <c r="E66" s="4" t="s">
        <v>616</v>
      </c>
      <c r="F66" s="13">
        <v>2342</v>
      </c>
      <c r="G66" s="13">
        <v>0</v>
      </c>
      <c r="H66" s="13">
        <f>ROUND(F66*AE66,2)</f>
        <v>0</v>
      </c>
      <c r="I66" s="13">
        <f>J66-H66</f>
        <v>0</v>
      </c>
      <c r="J66" s="13">
        <f>ROUND(F66*G66,2)</f>
        <v>0</v>
      </c>
      <c r="K66" s="13">
        <v>0.27994</v>
      </c>
      <c r="L66" s="13">
        <f>F66*K66</f>
        <v>655.6194800000001</v>
      </c>
      <c r="M66" s="24" t="s">
        <v>641</v>
      </c>
      <c r="N66" s="24" t="s">
        <v>6</v>
      </c>
      <c r="O66" s="13">
        <f>IF(N66="5",I66,0)</f>
        <v>0</v>
      </c>
      <c r="Z66" s="13">
        <f>IF(AD66=0,J66,0)</f>
        <v>0</v>
      </c>
      <c r="AA66" s="13">
        <f>IF(AD66=15,J66,0)</f>
        <v>0</v>
      </c>
      <c r="AB66" s="13">
        <f>IF(AD66=21,J66,0)</f>
        <v>0</v>
      </c>
      <c r="AD66" s="28">
        <v>21</v>
      </c>
      <c r="AE66" s="28">
        <f>G66*0.838327272727273</f>
        <v>0</v>
      </c>
      <c r="AF66" s="28">
        <f>G66*(1-0.838327272727273)</f>
        <v>0</v>
      </c>
      <c r="AM66" s="28">
        <f>F66*AE66</f>
        <v>0</v>
      </c>
      <c r="AN66" s="28">
        <f>F66*AF66</f>
        <v>0</v>
      </c>
      <c r="AO66" s="29" t="s">
        <v>659</v>
      </c>
      <c r="AP66" s="29" t="s">
        <v>675</v>
      </c>
      <c r="AQ66" s="21" t="s">
        <v>678</v>
      </c>
    </row>
    <row r="67" spans="4:6" ht="12.75">
      <c r="D67" s="67" t="s">
        <v>409</v>
      </c>
      <c r="F67" s="14">
        <v>2342</v>
      </c>
    </row>
    <row r="68" spans="1:43" ht="12.75">
      <c r="A68" s="4" t="s">
        <v>39</v>
      </c>
      <c r="B68" s="4" t="s">
        <v>189</v>
      </c>
      <c r="C68" s="4" t="s">
        <v>226</v>
      </c>
      <c r="D68" s="66" t="s">
        <v>410</v>
      </c>
      <c r="E68" s="4" t="s">
        <v>616</v>
      </c>
      <c r="F68" s="13">
        <v>1937</v>
      </c>
      <c r="G68" s="13">
        <v>0</v>
      </c>
      <c r="H68" s="13">
        <f>ROUND(F68*AE68,2)</f>
        <v>0</v>
      </c>
      <c r="I68" s="13">
        <f>J68-H68</f>
        <v>0</v>
      </c>
      <c r="J68" s="13">
        <f>ROUND(F68*G68,2)</f>
        <v>0</v>
      </c>
      <c r="K68" s="13">
        <v>0.27994</v>
      </c>
      <c r="L68" s="13">
        <f>F68*K68</f>
        <v>542.24378</v>
      </c>
      <c r="M68" s="24" t="s">
        <v>641</v>
      </c>
      <c r="N68" s="24" t="s">
        <v>6</v>
      </c>
      <c r="O68" s="13">
        <f>IF(N68="5",I68,0)</f>
        <v>0</v>
      </c>
      <c r="Z68" s="13">
        <f>IF(AD68=0,J68,0)</f>
        <v>0</v>
      </c>
      <c r="AA68" s="13">
        <f>IF(AD68=15,J68,0)</f>
        <v>0</v>
      </c>
      <c r="AB68" s="13">
        <f>IF(AD68=21,J68,0)</f>
        <v>0</v>
      </c>
      <c r="AD68" s="28">
        <v>21</v>
      </c>
      <c r="AE68" s="28">
        <f>G68*0.838327272727273</f>
        <v>0</v>
      </c>
      <c r="AF68" s="28">
        <f>G68*(1-0.838327272727273)</f>
        <v>0</v>
      </c>
      <c r="AM68" s="28">
        <f>F68*AE68</f>
        <v>0</v>
      </c>
      <c r="AN68" s="28">
        <f>F68*AF68</f>
        <v>0</v>
      </c>
      <c r="AO68" s="29" t="s">
        <v>659</v>
      </c>
      <c r="AP68" s="29" t="s">
        <v>675</v>
      </c>
      <c r="AQ68" s="21" t="s">
        <v>678</v>
      </c>
    </row>
    <row r="69" spans="4:6" ht="12.75">
      <c r="D69" s="67" t="s">
        <v>411</v>
      </c>
      <c r="F69" s="14">
        <v>1937</v>
      </c>
    </row>
    <row r="70" spans="1:43" ht="12.75">
      <c r="A70" s="4" t="s">
        <v>40</v>
      </c>
      <c r="B70" s="4" t="s">
        <v>189</v>
      </c>
      <c r="C70" s="4" t="s">
        <v>227</v>
      </c>
      <c r="D70" s="66" t="s">
        <v>412</v>
      </c>
      <c r="E70" s="4" t="s">
        <v>616</v>
      </c>
      <c r="F70" s="13">
        <v>123</v>
      </c>
      <c r="G70" s="13">
        <v>0</v>
      </c>
      <c r="H70" s="13">
        <f>ROUND(F70*AE70,2)</f>
        <v>0</v>
      </c>
      <c r="I70" s="13">
        <f>J70-H70</f>
        <v>0</v>
      </c>
      <c r="J70" s="13">
        <f>ROUND(F70*G70,2)</f>
        <v>0</v>
      </c>
      <c r="K70" s="13">
        <v>0.1709</v>
      </c>
      <c r="L70" s="13">
        <f>F70*K70</f>
        <v>21.020699999999998</v>
      </c>
      <c r="M70" s="24" t="s">
        <v>641</v>
      </c>
      <c r="N70" s="24" t="s">
        <v>6</v>
      </c>
      <c r="O70" s="13">
        <f>IF(N70="5",I70,0)</f>
        <v>0</v>
      </c>
      <c r="Z70" s="13">
        <f>IF(AD70=0,J70,0)</f>
        <v>0</v>
      </c>
      <c r="AA70" s="13">
        <f>IF(AD70=15,J70,0)</f>
        <v>0</v>
      </c>
      <c r="AB70" s="13">
        <f>IF(AD70=21,J70,0)</f>
        <v>0</v>
      </c>
      <c r="AD70" s="28">
        <v>21</v>
      </c>
      <c r="AE70" s="28">
        <f>G70*0.751683822594993</f>
        <v>0</v>
      </c>
      <c r="AF70" s="28">
        <f>G70*(1-0.751683822594993)</f>
        <v>0</v>
      </c>
      <c r="AM70" s="28">
        <f>F70*AE70</f>
        <v>0</v>
      </c>
      <c r="AN70" s="28">
        <f>F70*AF70</f>
        <v>0</v>
      </c>
      <c r="AO70" s="29" t="s">
        <v>659</v>
      </c>
      <c r="AP70" s="29" t="s">
        <v>675</v>
      </c>
      <c r="AQ70" s="21" t="s">
        <v>678</v>
      </c>
    </row>
    <row r="71" spans="4:6" ht="12.75">
      <c r="D71" s="67" t="s">
        <v>128</v>
      </c>
      <c r="F71" s="14">
        <v>123</v>
      </c>
    </row>
    <row r="72" spans="1:43" ht="12.75">
      <c r="A72" s="4" t="s">
        <v>41</v>
      </c>
      <c r="B72" s="4" t="s">
        <v>189</v>
      </c>
      <c r="C72" s="4" t="s">
        <v>226</v>
      </c>
      <c r="D72" s="66" t="s">
        <v>413</v>
      </c>
      <c r="E72" s="4" t="s">
        <v>616</v>
      </c>
      <c r="F72" s="13">
        <v>123</v>
      </c>
      <c r="G72" s="13">
        <v>0</v>
      </c>
      <c r="H72" s="13">
        <f>ROUND(F72*AE72,2)</f>
        <v>0</v>
      </c>
      <c r="I72" s="13">
        <f>J72-H72</f>
        <v>0</v>
      </c>
      <c r="J72" s="13">
        <f>ROUND(F72*G72,2)</f>
        <v>0</v>
      </c>
      <c r="K72" s="13">
        <v>0.27994</v>
      </c>
      <c r="L72" s="13">
        <f>F72*K72</f>
        <v>34.43262</v>
      </c>
      <c r="M72" s="24" t="s">
        <v>641</v>
      </c>
      <c r="N72" s="24" t="s">
        <v>6</v>
      </c>
      <c r="O72" s="13">
        <f>IF(N72="5",I72,0)</f>
        <v>0</v>
      </c>
      <c r="Z72" s="13">
        <f>IF(AD72=0,J72,0)</f>
        <v>0</v>
      </c>
      <c r="AA72" s="13">
        <f>IF(AD72=15,J72,0)</f>
        <v>0</v>
      </c>
      <c r="AB72" s="13">
        <f>IF(AD72=21,J72,0)</f>
        <v>0</v>
      </c>
      <c r="AD72" s="28">
        <v>21</v>
      </c>
      <c r="AE72" s="28">
        <f>G72*0.838327272727273</f>
        <v>0</v>
      </c>
      <c r="AF72" s="28">
        <f>G72*(1-0.838327272727273)</f>
        <v>0</v>
      </c>
      <c r="AM72" s="28">
        <f>F72*AE72</f>
        <v>0</v>
      </c>
      <c r="AN72" s="28">
        <f>F72*AF72</f>
        <v>0</v>
      </c>
      <c r="AO72" s="29" t="s">
        <v>659</v>
      </c>
      <c r="AP72" s="29" t="s">
        <v>675</v>
      </c>
      <c r="AQ72" s="21" t="s">
        <v>678</v>
      </c>
    </row>
    <row r="73" spans="4:6" ht="12.75">
      <c r="D73" s="67" t="s">
        <v>128</v>
      </c>
      <c r="F73" s="14">
        <v>123</v>
      </c>
    </row>
    <row r="74" spans="1:43" ht="12.75">
      <c r="A74" s="4" t="s">
        <v>42</v>
      </c>
      <c r="B74" s="4" t="s">
        <v>189</v>
      </c>
      <c r="C74" s="4" t="s">
        <v>224</v>
      </c>
      <c r="D74" s="66" t="s">
        <v>414</v>
      </c>
      <c r="E74" s="4" t="s">
        <v>616</v>
      </c>
      <c r="F74" s="13">
        <v>2244</v>
      </c>
      <c r="G74" s="13">
        <v>0</v>
      </c>
      <c r="H74" s="13">
        <f>ROUND(F74*AE74,2)</f>
        <v>0</v>
      </c>
      <c r="I74" s="13">
        <f>J74-H74</f>
        <v>0</v>
      </c>
      <c r="J74" s="13">
        <f>ROUND(F74*G74,2)</f>
        <v>0</v>
      </c>
      <c r="K74" s="13">
        <v>0.06185</v>
      </c>
      <c r="L74" s="13">
        <f>F74*K74</f>
        <v>138.7914</v>
      </c>
      <c r="M74" s="24" t="s">
        <v>641</v>
      </c>
      <c r="N74" s="24" t="s">
        <v>6</v>
      </c>
      <c r="O74" s="13">
        <f>IF(N74="5",I74,0)</f>
        <v>0</v>
      </c>
      <c r="Z74" s="13">
        <f>IF(AD74=0,J74,0)</f>
        <v>0</v>
      </c>
      <c r="AA74" s="13">
        <f>IF(AD74=15,J74,0)</f>
        <v>0</v>
      </c>
      <c r="AB74" s="13">
        <f>IF(AD74=21,J74,0)</f>
        <v>0</v>
      </c>
      <c r="AD74" s="28">
        <v>21</v>
      </c>
      <c r="AE74" s="28">
        <f>G74*0.532968400099527</f>
        <v>0</v>
      </c>
      <c r="AF74" s="28">
        <f>G74*(1-0.532968400099527)</f>
        <v>0</v>
      </c>
      <c r="AM74" s="28">
        <f>F74*AE74</f>
        <v>0</v>
      </c>
      <c r="AN74" s="28">
        <f>F74*AF74</f>
        <v>0</v>
      </c>
      <c r="AO74" s="29" t="s">
        <v>659</v>
      </c>
      <c r="AP74" s="29" t="s">
        <v>675</v>
      </c>
      <c r="AQ74" s="21" t="s">
        <v>678</v>
      </c>
    </row>
    <row r="75" spans="4:6" ht="12.75">
      <c r="D75" s="67" t="s">
        <v>415</v>
      </c>
      <c r="F75" s="14">
        <v>2244</v>
      </c>
    </row>
    <row r="76" spans="1:43" ht="12.75">
      <c r="A76" s="4" t="s">
        <v>43</v>
      </c>
      <c r="B76" s="4" t="s">
        <v>189</v>
      </c>
      <c r="C76" s="4" t="s">
        <v>756</v>
      </c>
      <c r="D76" s="66" t="s">
        <v>416</v>
      </c>
      <c r="E76" s="4" t="s">
        <v>616</v>
      </c>
      <c r="F76" s="13">
        <v>2244</v>
      </c>
      <c r="G76" s="13">
        <v>0</v>
      </c>
      <c r="H76" s="13">
        <f>ROUND(F76*AE76,2)</f>
        <v>0</v>
      </c>
      <c r="I76" s="13">
        <f>J76-H76</f>
        <v>0</v>
      </c>
      <c r="J76" s="13">
        <f>ROUND(F76*G76,2)</f>
        <v>0</v>
      </c>
      <c r="K76" s="13">
        <v>0.46166</v>
      </c>
      <c r="L76" s="13">
        <f>F76*K76</f>
        <v>1035.96504</v>
      </c>
      <c r="M76" s="24" t="s">
        <v>641</v>
      </c>
      <c r="N76" s="24" t="s">
        <v>6</v>
      </c>
      <c r="O76" s="13">
        <f>IF(N76="5",I76,0)</f>
        <v>0</v>
      </c>
      <c r="Z76" s="13">
        <f>IF(AD76=0,J76,0)</f>
        <v>0</v>
      </c>
      <c r="AA76" s="13">
        <f>IF(AD76=15,J76,0)</f>
        <v>0</v>
      </c>
      <c r="AB76" s="13">
        <f>IF(AD76=21,J76,0)</f>
        <v>0</v>
      </c>
      <c r="AD76" s="28">
        <v>21</v>
      </c>
      <c r="AE76" s="28">
        <f>G76*0.871853546910755</f>
        <v>0</v>
      </c>
      <c r="AF76" s="28">
        <f>G76*(1-0.871853546910755)</f>
        <v>0</v>
      </c>
      <c r="AM76" s="28">
        <f>F76*AE76</f>
        <v>0</v>
      </c>
      <c r="AN76" s="28">
        <f>F76*AF76</f>
        <v>0</v>
      </c>
      <c r="AO76" s="29" t="s">
        <v>659</v>
      </c>
      <c r="AP76" s="29" t="s">
        <v>675</v>
      </c>
      <c r="AQ76" s="21" t="s">
        <v>678</v>
      </c>
    </row>
    <row r="77" spans="4:6" ht="12.75">
      <c r="D77" s="67" t="s">
        <v>415</v>
      </c>
      <c r="F77" s="14">
        <v>2244</v>
      </c>
    </row>
    <row r="78" spans="1:43" ht="12.75">
      <c r="A78" s="4" t="s">
        <v>44</v>
      </c>
      <c r="B78" s="4" t="s">
        <v>189</v>
      </c>
      <c r="C78" s="4" t="s">
        <v>228</v>
      </c>
      <c r="D78" s="66" t="s">
        <v>417</v>
      </c>
      <c r="E78" s="4" t="s">
        <v>616</v>
      </c>
      <c r="F78" s="13">
        <v>74.4</v>
      </c>
      <c r="G78" s="13">
        <v>0</v>
      </c>
      <c r="H78" s="13">
        <f>ROUND(F78*AE78,2)</f>
        <v>0</v>
      </c>
      <c r="I78" s="13">
        <f>J78-H78</f>
        <v>0</v>
      </c>
      <c r="J78" s="13">
        <f>ROUND(F78*G78,2)</f>
        <v>0</v>
      </c>
      <c r="K78" s="13">
        <v>0.30651</v>
      </c>
      <c r="L78" s="13">
        <f>F78*K78</f>
        <v>22.804344</v>
      </c>
      <c r="M78" s="24" t="s">
        <v>641</v>
      </c>
      <c r="N78" s="24" t="s">
        <v>6</v>
      </c>
      <c r="O78" s="13">
        <f>IF(N78="5",I78,0)</f>
        <v>0</v>
      </c>
      <c r="Z78" s="13">
        <f>IF(AD78=0,J78,0)</f>
        <v>0</v>
      </c>
      <c r="AA78" s="13">
        <f>IF(AD78=15,J78,0)</f>
        <v>0</v>
      </c>
      <c r="AB78" s="13">
        <f>IF(AD78=21,J78,0)</f>
        <v>0</v>
      </c>
      <c r="AD78" s="28">
        <v>21</v>
      </c>
      <c r="AE78" s="28">
        <f>G78*0.853420965530285</f>
        <v>0</v>
      </c>
      <c r="AF78" s="28">
        <f>G78*(1-0.853420965530285)</f>
        <v>0</v>
      </c>
      <c r="AM78" s="28">
        <f>F78*AE78</f>
        <v>0</v>
      </c>
      <c r="AN78" s="28">
        <f>F78*AF78</f>
        <v>0</v>
      </c>
      <c r="AO78" s="29" t="s">
        <v>659</v>
      </c>
      <c r="AP78" s="29" t="s">
        <v>675</v>
      </c>
      <c r="AQ78" s="21" t="s">
        <v>678</v>
      </c>
    </row>
    <row r="79" spans="4:6" ht="12.75">
      <c r="D79" s="67" t="s">
        <v>401</v>
      </c>
      <c r="F79" s="14">
        <v>0</v>
      </c>
    </row>
    <row r="80" spans="4:6" ht="12.75">
      <c r="D80" s="67" t="s">
        <v>418</v>
      </c>
      <c r="F80" s="14">
        <v>74.4</v>
      </c>
    </row>
    <row r="81" spans="1:43" ht="12.75">
      <c r="A81" s="4" t="s">
        <v>45</v>
      </c>
      <c r="B81" s="4" t="s">
        <v>189</v>
      </c>
      <c r="C81" s="4" t="s">
        <v>228</v>
      </c>
      <c r="D81" s="66" t="s">
        <v>419</v>
      </c>
      <c r="E81" s="4" t="s">
        <v>618</v>
      </c>
      <c r="F81" s="13">
        <v>13</v>
      </c>
      <c r="G81" s="13">
        <v>0</v>
      </c>
      <c r="H81" s="13">
        <f>ROUND(F81*AE81,2)</f>
        <v>0</v>
      </c>
      <c r="I81" s="13">
        <f>J81-H81</f>
        <v>0</v>
      </c>
      <c r="J81" s="13">
        <f>ROUND(F81*G81,2)</f>
        <v>0</v>
      </c>
      <c r="K81" s="13">
        <v>0.30651</v>
      </c>
      <c r="L81" s="13">
        <f>F81*K81</f>
        <v>3.98463</v>
      </c>
      <c r="M81" s="24" t="s">
        <v>641</v>
      </c>
      <c r="N81" s="24" t="s">
        <v>6</v>
      </c>
      <c r="O81" s="13">
        <f>IF(N81="5",I81,0)</f>
        <v>0</v>
      </c>
      <c r="Z81" s="13">
        <f>IF(AD81=0,J81,0)</f>
        <v>0</v>
      </c>
      <c r="AA81" s="13">
        <f>IF(AD81=15,J81,0)</f>
        <v>0</v>
      </c>
      <c r="AB81" s="13">
        <f>IF(AD81=21,J81,0)</f>
        <v>0</v>
      </c>
      <c r="AD81" s="28">
        <v>21</v>
      </c>
      <c r="AE81" s="28">
        <f>G81*0.853420965530285</f>
        <v>0</v>
      </c>
      <c r="AF81" s="28">
        <f>G81*(1-0.853420965530285)</f>
        <v>0</v>
      </c>
      <c r="AM81" s="28">
        <f>F81*AE81</f>
        <v>0</v>
      </c>
      <c r="AN81" s="28">
        <f>F81*AF81</f>
        <v>0</v>
      </c>
      <c r="AO81" s="29" t="s">
        <v>659</v>
      </c>
      <c r="AP81" s="29" t="s">
        <v>675</v>
      </c>
      <c r="AQ81" s="21" t="s">
        <v>678</v>
      </c>
    </row>
    <row r="82" spans="4:6" ht="12.75">
      <c r="D82" s="67" t="s">
        <v>420</v>
      </c>
      <c r="F82" s="14">
        <v>0</v>
      </c>
    </row>
    <row r="83" spans="4:6" ht="12.75">
      <c r="D83" s="67" t="s">
        <v>18</v>
      </c>
      <c r="F83" s="14">
        <v>13</v>
      </c>
    </row>
    <row r="84" spans="1:43" ht="12.75">
      <c r="A84" s="4" t="s">
        <v>46</v>
      </c>
      <c r="B84" s="4" t="s">
        <v>189</v>
      </c>
      <c r="C84" s="4" t="s">
        <v>229</v>
      </c>
      <c r="D84" s="66" t="s">
        <v>421</v>
      </c>
      <c r="E84" s="4" t="s">
        <v>613</v>
      </c>
      <c r="F84" s="13">
        <v>7.05</v>
      </c>
      <c r="G84" s="13">
        <v>0</v>
      </c>
      <c r="H84" s="13">
        <f>ROUND(F84*AE84,2)</f>
        <v>0</v>
      </c>
      <c r="I84" s="13">
        <f>J84-H84</f>
        <v>0</v>
      </c>
      <c r="J84" s="13">
        <f>ROUND(F84*G84,2)</f>
        <v>0</v>
      </c>
      <c r="K84" s="13">
        <v>0.00524</v>
      </c>
      <c r="L84" s="13">
        <f>F84*K84</f>
        <v>0.036941999999999996</v>
      </c>
      <c r="M84" s="24" t="s">
        <v>641</v>
      </c>
      <c r="N84" s="24" t="s">
        <v>6</v>
      </c>
      <c r="O84" s="13">
        <f>IF(N84="5",I84,0)</f>
        <v>0</v>
      </c>
      <c r="Z84" s="13">
        <f>IF(AD84=0,J84,0)</f>
        <v>0</v>
      </c>
      <c r="AA84" s="13">
        <f>IF(AD84=15,J84,0)</f>
        <v>0</v>
      </c>
      <c r="AB84" s="13">
        <f>IF(AD84=21,J84,0)</f>
        <v>0</v>
      </c>
      <c r="AD84" s="28">
        <v>21</v>
      </c>
      <c r="AE84" s="28">
        <f>G84*0.752218290691345</f>
        <v>0</v>
      </c>
      <c r="AF84" s="28">
        <f>G84*(1-0.752218290691345)</f>
        <v>0</v>
      </c>
      <c r="AM84" s="28">
        <f>F84*AE84</f>
        <v>0</v>
      </c>
      <c r="AN84" s="28">
        <f>F84*AF84</f>
        <v>0</v>
      </c>
      <c r="AO84" s="29" t="s">
        <v>659</v>
      </c>
      <c r="AP84" s="29" t="s">
        <v>675</v>
      </c>
      <c r="AQ84" s="21" t="s">
        <v>678</v>
      </c>
    </row>
    <row r="85" spans="4:6" ht="12.75">
      <c r="D85" s="67" t="s">
        <v>422</v>
      </c>
      <c r="F85" s="14">
        <v>7.05</v>
      </c>
    </row>
    <row r="86" spans="1:43" ht="12.75">
      <c r="A86" s="4" t="s">
        <v>47</v>
      </c>
      <c r="B86" s="4" t="s">
        <v>189</v>
      </c>
      <c r="C86" s="4" t="s">
        <v>230</v>
      </c>
      <c r="D86" s="66" t="s">
        <v>423</v>
      </c>
      <c r="E86" s="4" t="s">
        <v>616</v>
      </c>
      <c r="F86" s="13">
        <v>2342</v>
      </c>
      <c r="G86" s="13">
        <v>0</v>
      </c>
      <c r="H86" s="13">
        <f>ROUND(F86*AE86,2)</f>
        <v>0</v>
      </c>
      <c r="I86" s="13">
        <f>J86-H86</f>
        <v>0</v>
      </c>
      <c r="J86" s="13">
        <f>ROUND(F86*G86,2)</f>
        <v>0</v>
      </c>
      <c r="K86" s="13">
        <v>0.00071</v>
      </c>
      <c r="L86" s="13">
        <f>F86*K86</f>
        <v>1.66282</v>
      </c>
      <c r="M86" s="24" t="s">
        <v>641</v>
      </c>
      <c r="N86" s="24" t="s">
        <v>6</v>
      </c>
      <c r="O86" s="13">
        <f>IF(N86="5",I86,0)</f>
        <v>0</v>
      </c>
      <c r="Z86" s="13">
        <f>IF(AD86=0,J86,0)</f>
        <v>0</v>
      </c>
      <c r="AA86" s="13">
        <f>IF(AD86=15,J86,0)</f>
        <v>0</v>
      </c>
      <c r="AB86" s="13">
        <f>IF(AD86=21,J86,0)</f>
        <v>0</v>
      </c>
      <c r="AD86" s="28">
        <v>21</v>
      </c>
      <c r="AE86" s="28">
        <f>G86*0.91886195995785</f>
        <v>0</v>
      </c>
      <c r="AF86" s="28">
        <f>G86*(1-0.91886195995785)</f>
        <v>0</v>
      </c>
      <c r="AM86" s="28">
        <f>F86*AE86</f>
        <v>0</v>
      </c>
      <c r="AN86" s="28">
        <f>F86*AF86</f>
        <v>0</v>
      </c>
      <c r="AO86" s="29" t="s">
        <v>659</v>
      </c>
      <c r="AP86" s="29" t="s">
        <v>675</v>
      </c>
      <c r="AQ86" s="21" t="s">
        <v>678</v>
      </c>
    </row>
    <row r="87" spans="4:6" ht="12.75">
      <c r="D87" s="67" t="s">
        <v>409</v>
      </c>
      <c r="F87" s="14">
        <v>2342</v>
      </c>
    </row>
    <row r="88" spans="1:43" ht="25.5">
      <c r="A88" s="4" t="s">
        <v>48</v>
      </c>
      <c r="B88" s="4" t="s">
        <v>189</v>
      </c>
      <c r="C88" s="4" t="s">
        <v>231</v>
      </c>
      <c r="D88" s="66" t="s">
        <v>424</v>
      </c>
      <c r="E88" s="4" t="s">
        <v>616</v>
      </c>
      <c r="F88" s="13">
        <v>2342</v>
      </c>
      <c r="G88" s="13">
        <v>0</v>
      </c>
      <c r="H88" s="13">
        <f>ROUND(F88*AE88,2)</f>
        <v>0</v>
      </c>
      <c r="I88" s="13">
        <f>J88-H88</f>
        <v>0</v>
      </c>
      <c r="J88" s="13">
        <f>ROUND(F88*G88,2)</f>
        <v>0</v>
      </c>
      <c r="K88" s="13">
        <v>0.12966</v>
      </c>
      <c r="L88" s="13">
        <f>F88*K88</f>
        <v>303.66372</v>
      </c>
      <c r="M88" s="24" t="s">
        <v>641</v>
      </c>
      <c r="N88" s="24" t="s">
        <v>6</v>
      </c>
      <c r="O88" s="13">
        <f>IF(N88="5",I88,0)</f>
        <v>0</v>
      </c>
      <c r="Z88" s="13">
        <f>IF(AD88=0,J88,0)</f>
        <v>0</v>
      </c>
      <c r="AA88" s="13">
        <f>IF(AD88=15,J88,0)</f>
        <v>0</v>
      </c>
      <c r="AB88" s="13">
        <f>IF(AD88=21,J88,0)</f>
        <v>0</v>
      </c>
      <c r="AD88" s="28">
        <v>21</v>
      </c>
      <c r="AE88" s="28">
        <f>G88*0.811827338129496</f>
        <v>0</v>
      </c>
      <c r="AF88" s="28">
        <f>G88*(1-0.811827338129496)</f>
        <v>0</v>
      </c>
      <c r="AM88" s="28">
        <f>F88*AE88</f>
        <v>0</v>
      </c>
      <c r="AN88" s="28">
        <f>F88*AF88</f>
        <v>0</v>
      </c>
      <c r="AO88" s="29" t="s">
        <v>659</v>
      </c>
      <c r="AP88" s="29" t="s">
        <v>675</v>
      </c>
      <c r="AQ88" s="21" t="s">
        <v>678</v>
      </c>
    </row>
    <row r="89" spans="4:6" ht="12.75">
      <c r="D89" s="67" t="s">
        <v>409</v>
      </c>
      <c r="F89" s="14">
        <v>2342</v>
      </c>
    </row>
    <row r="90" spans="1:43" ht="25.5">
      <c r="A90" s="4" t="s">
        <v>49</v>
      </c>
      <c r="B90" s="4" t="s">
        <v>189</v>
      </c>
      <c r="C90" s="4" t="s">
        <v>232</v>
      </c>
      <c r="D90" s="66" t="s">
        <v>425</v>
      </c>
      <c r="E90" s="4" t="s">
        <v>616</v>
      </c>
      <c r="F90" s="13">
        <v>2342</v>
      </c>
      <c r="G90" s="13">
        <v>0</v>
      </c>
      <c r="H90" s="13">
        <f>ROUND(F90*AE90,2)</f>
        <v>0</v>
      </c>
      <c r="I90" s="13">
        <f>J90-H90</f>
        <v>0</v>
      </c>
      <c r="J90" s="13">
        <f>ROUND(F90*G90,2)</f>
        <v>0</v>
      </c>
      <c r="K90" s="13">
        <v>0.26376</v>
      </c>
      <c r="L90" s="13">
        <f>F90*K90</f>
        <v>617.72592</v>
      </c>
      <c r="M90" s="24" t="s">
        <v>641</v>
      </c>
      <c r="N90" s="24" t="s">
        <v>6</v>
      </c>
      <c r="O90" s="13">
        <f>IF(N90="5",I90,0)</f>
        <v>0</v>
      </c>
      <c r="Z90" s="13">
        <f>IF(AD90=0,J90,0)</f>
        <v>0</v>
      </c>
      <c r="AA90" s="13">
        <f>IF(AD90=15,J90,0)</f>
        <v>0</v>
      </c>
      <c r="AB90" s="13">
        <f>IF(AD90=21,J90,0)</f>
        <v>0</v>
      </c>
      <c r="AD90" s="28">
        <v>21</v>
      </c>
      <c r="AE90" s="28">
        <f>G90*0.842129637570539</f>
        <v>0</v>
      </c>
      <c r="AF90" s="28">
        <f>G90*(1-0.842129637570539)</f>
        <v>0</v>
      </c>
      <c r="AM90" s="28">
        <f>F90*AE90</f>
        <v>0</v>
      </c>
      <c r="AN90" s="28">
        <f>F90*AF90</f>
        <v>0</v>
      </c>
      <c r="AO90" s="29" t="s">
        <v>659</v>
      </c>
      <c r="AP90" s="29" t="s">
        <v>675</v>
      </c>
      <c r="AQ90" s="21" t="s">
        <v>678</v>
      </c>
    </row>
    <row r="91" spans="4:6" ht="12.75">
      <c r="D91" s="67" t="s">
        <v>409</v>
      </c>
      <c r="F91" s="14">
        <v>2342</v>
      </c>
    </row>
    <row r="92" spans="1:43" ht="12.75">
      <c r="A92" s="4" t="s">
        <v>50</v>
      </c>
      <c r="B92" s="4" t="s">
        <v>189</v>
      </c>
      <c r="C92" s="4" t="s">
        <v>233</v>
      </c>
      <c r="D92" s="66" t="s">
        <v>426</v>
      </c>
      <c r="E92" s="4" t="s">
        <v>616</v>
      </c>
      <c r="F92" s="13">
        <v>23</v>
      </c>
      <c r="G92" s="13">
        <v>0</v>
      </c>
      <c r="H92" s="13">
        <f>ROUND(F92*AE92,2)</f>
        <v>0</v>
      </c>
      <c r="I92" s="13">
        <f>J92-H92</f>
        <v>0</v>
      </c>
      <c r="J92" s="13">
        <f>ROUND(F92*G92,2)</f>
        <v>0</v>
      </c>
      <c r="K92" s="13">
        <v>0.11</v>
      </c>
      <c r="L92" s="13">
        <f>F92*K92</f>
        <v>2.53</v>
      </c>
      <c r="M92" s="24" t="s">
        <v>641</v>
      </c>
      <c r="N92" s="24" t="s">
        <v>6</v>
      </c>
      <c r="O92" s="13">
        <f>IF(N92="5",I92,0)</f>
        <v>0</v>
      </c>
      <c r="Z92" s="13">
        <f>IF(AD92=0,J92,0)</f>
        <v>0</v>
      </c>
      <c r="AA92" s="13">
        <f>IF(AD92=15,J92,0)</f>
        <v>0</v>
      </c>
      <c r="AB92" s="13">
        <f>IF(AD92=21,J92,0)</f>
        <v>0</v>
      </c>
      <c r="AD92" s="28">
        <v>21</v>
      </c>
      <c r="AE92" s="28">
        <f>G92*0.134994886557327</f>
        <v>0</v>
      </c>
      <c r="AF92" s="28">
        <f>G92*(1-0.134994886557327)</f>
        <v>0</v>
      </c>
      <c r="AM92" s="28">
        <f>F92*AE92</f>
        <v>0</v>
      </c>
      <c r="AN92" s="28">
        <f>F92*AF92</f>
        <v>0</v>
      </c>
      <c r="AO92" s="29" t="s">
        <v>659</v>
      </c>
      <c r="AP92" s="29" t="s">
        <v>675</v>
      </c>
      <c r="AQ92" s="21" t="s">
        <v>678</v>
      </c>
    </row>
    <row r="93" spans="4:6" ht="12.75">
      <c r="D93" s="67" t="s">
        <v>427</v>
      </c>
      <c r="F93" s="14">
        <v>23</v>
      </c>
    </row>
    <row r="94" spans="1:43" ht="12.75">
      <c r="A94" s="4" t="s">
        <v>51</v>
      </c>
      <c r="B94" s="4" t="s">
        <v>189</v>
      </c>
      <c r="C94" s="4" t="s">
        <v>234</v>
      </c>
      <c r="D94" s="66" t="s">
        <v>428</v>
      </c>
      <c r="E94" s="4" t="s">
        <v>616</v>
      </c>
      <c r="F94" s="13">
        <v>39.02</v>
      </c>
      <c r="G94" s="13">
        <v>0</v>
      </c>
      <c r="H94" s="13">
        <f>ROUND(F94*AE94,2)</f>
        <v>0</v>
      </c>
      <c r="I94" s="13">
        <f>J94-H94</f>
        <v>0</v>
      </c>
      <c r="J94" s="13">
        <f>ROUND(F94*G94,2)</f>
        <v>0</v>
      </c>
      <c r="K94" s="13">
        <v>0.14607</v>
      </c>
      <c r="L94" s="13">
        <f>F94*K94</f>
        <v>5.6996514000000005</v>
      </c>
      <c r="M94" s="24" t="s">
        <v>641</v>
      </c>
      <c r="N94" s="24" t="s">
        <v>6</v>
      </c>
      <c r="O94" s="13">
        <f>IF(N94="5",I94,0)</f>
        <v>0</v>
      </c>
      <c r="Z94" s="13">
        <f>IF(AD94=0,J94,0)</f>
        <v>0</v>
      </c>
      <c r="AA94" s="13">
        <f>IF(AD94=15,J94,0)</f>
        <v>0</v>
      </c>
      <c r="AB94" s="13">
        <f>IF(AD94=21,J94,0)</f>
        <v>0</v>
      </c>
      <c r="AD94" s="28">
        <v>21</v>
      </c>
      <c r="AE94" s="28">
        <f>G94*0.665180722891566</f>
        <v>0</v>
      </c>
      <c r="AF94" s="28">
        <f>G94*(1-0.665180722891566)</f>
        <v>0</v>
      </c>
      <c r="AM94" s="28">
        <f>F94*AE94</f>
        <v>0</v>
      </c>
      <c r="AN94" s="28">
        <f>F94*AF94</f>
        <v>0</v>
      </c>
      <c r="AO94" s="29" t="s">
        <v>659</v>
      </c>
      <c r="AP94" s="29" t="s">
        <v>675</v>
      </c>
      <c r="AQ94" s="21" t="s">
        <v>678</v>
      </c>
    </row>
    <row r="95" spans="4:6" ht="12.75">
      <c r="D95" s="67" t="s">
        <v>429</v>
      </c>
      <c r="F95" s="14">
        <v>39.02</v>
      </c>
    </row>
    <row r="96" spans="1:43" ht="12.75">
      <c r="A96" s="4" t="s">
        <v>52</v>
      </c>
      <c r="B96" s="4" t="s">
        <v>189</v>
      </c>
      <c r="C96" s="4" t="s">
        <v>235</v>
      </c>
      <c r="D96" s="66" t="s">
        <v>430</v>
      </c>
      <c r="E96" s="4" t="s">
        <v>616</v>
      </c>
      <c r="F96" s="13">
        <v>1042</v>
      </c>
      <c r="G96" s="13">
        <v>0</v>
      </c>
      <c r="H96" s="13">
        <f>ROUND(F96*AE96,2)</f>
        <v>0</v>
      </c>
      <c r="I96" s="13">
        <f>J96-H96</f>
        <v>0</v>
      </c>
      <c r="J96" s="13">
        <f>ROUND(F96*G96,2)</f>
        <v>0</v>
      </c>
      <c r="K96" s="13">
        <v>0.05545</v>
      </c>
      <c r="L96" s="13">
        <f>F96*K96</f>
        <v>57.7789</v>
      </c>
      <c r="M96" s="24" t="s">
        <v>641</v>
      </c>
      <c r="N96" s="24" t="s">
        <v>6</v>
      </c>
      <c r="O96" s="13">
        <f>IF(N96="5",I96,0)</f>
        <v>0</v>
      </c>
      <c r="Z96" s="13">
        <f>IF(AD96=0,J96,0)</f>
        <v>0</v>
      </c>
      <c r="AA96" s="13">
        <f>IF(AD96=15,J96,0)</f>
        <v>0</v>
      </c>
      <c r="AB96" s="13">
        <f>IF(AD96=21,J96,0)</f>
        <v>0</v>
      </c>
      <c r="AD96" s="28">
        <v>21</v>
      </c>
      <c r="AE96" s="28">
        <f>G96*0.133776722090261</f>
        <v>0</v>
      </c>
      <c r="AF96" s="28">
        <f>G96*(1-0.133776722090261)</f>
        <v>0</v>
      </c>
      <c r="AM96" s="28">
        <f>F96*AE96</f>
        <v>0</v>
      </c>
      <c r="AN96" s="28">
        <f>F96*AF96</f>
        <v>0</v>
      </c>
      <c r="AO96" s="29" t="s">
        <v>659</v>
      </c>
      <c r="AP96" s="29" t="s">
        <v>675</v>
      </c>
      <c r="AQ96" s="21" t="s">
        <v>678</v>
      </c>
    </row>
    <row r="97" spans="4:6" ht="12.75">
      <c r="D97" s="67" t="s">
        <v>431</v>
      </c>
      <c r="F97" s="14">
        <v>1042</v>
      </c>
    </row>
    <row r="98" spans="1:43" ht="12.75">
      <c r="A98" s="4" t="s">
        <v>53</v>
      </c>
      <c r="B98" s="4" t="s">
        <v>189</v>
      </c>
      <c r="C98" s="4" t="s">
        <v>235</v>
      </c>
      <c r="D98" s="66" t="s">
        <v>432</v>
      </c>
      <c r="E98" s="4" t="s">
        <v>616</v>
      </c>
      <c r="F98" s="13">
        <v>1234</v>
      </c>
      <c r="G98" s="13">
        <v>0</v>
      </c>
      <c r="H98" s="13">
        <f>ROUND(F98*AE98,2)</f>
        <v>0</v>
      </c>
      <c r="I98" s="13">
        <f>J98-H98</f>
        <v>0</v>
      </c>
      <c r="J98" s="13">
        <f>ROUND(F98*G98,2)</f>
        <v>0</v>
      </c>
      <c r="K98" s="13">
        <v>0.05545</v>
      </c>
      <c r="L98" s="13">
        <f>F98*K98</f>
        <v>68.4253</v>
      </c>
      <c r="M98" s="24" t="s">
        <v>641</v>
      </c>
      <c r="N98" s="24" t="s">
        <v>6</v>
      </c>
      <c r="O98" s="13">
        <f>IF(N98="5",I98,0)</f>
        <v>0</v>
      </c>
      <c r="Z98" s="13">
        <f>IF(AD98=0,J98,0)</f>
        <v>0</v>
      </c>
      <c r="AA98" s="13">
        <f>IF(AD98=15,J98,0)</f>
        <v>0</v>
      </c>
      <c r="AB98" s="13">
        <f>IF(AD98=21,J98,0)</f>
        <v>0</v>
      </c>
      <c r="AD98" s="28">
        <v>21</v>
      </c>
      <c r="AE98" s="28">
        <f>G98*0.133776722090261</f>
        <v>0</v>
      </c>
      <c r="AF98" s="28">
        <f>G98*(1-0.133776722090261)</f>
        <v>0</v>
      </c>
      <c r="AM98" s="28">
        <f>F98*AE98</f>
        <v>0</v>
      </c>
      <c r="AN98" s="28">
        <f>F98*AF98</f>
        <v>0</v>
      </c>
      <c r="AO98" s="29" t="s">
        <v>659</v>
      </c>
      <c r="AP98" s="29" t="s">
        <v>675</v>
      </c>
      <c r="AQ98" s="21" t="s">
        <v>678</v>
      </c>
    </row>
    <row r="99" spans="4:6" ht="12.75">
      <c r="D99" s="67" t="s">
        <v>433</v>
      </c>
      <c r="F99" s="14">
        <v>1234</v>
      </c>
    </row>
    <row r="100" spans="1:43" ht="12.75">
      <c r="A100" s="4" t="s">
        <v>54</v>
      </c>
      <c r="B100" s="4" t="s">
        <v>189</v>
      </c>
      <c r="C100" s="4" t="s">
        <v>236</v>
      </c>
      <c r="D100" s="66" t="s">
        <v>434</v>
      </c>
      <c r="E100" s="4" t="s">
        <v>616</v>
      </c>
      <c r="F100" s="13">
        <v>17.6</v>
      </c>
      <c r="G100" s="13">
        <v>0</v>
      </c>
      <c r="H100" s="13">
        <f>ROUND(F100*AE100,2)</f>
        <v>0</v>
      </c>
      <c r="I100" s="13">
        <f>J100-H100</f>
        <v>0</v>
      </c>
      <c r="J100" s="13">
        <f>ROUND(F100*G100,2)</f>
        <v>0</v>
      </c>
      <c r="K100" s="13">
        <v>0</v>
      </c>
      <c r="L100" s="13">
        <f>F100*K100</f>
        <v>0</v>
      </c>
      <c r="M100" s="24" t="s">
        <v>641</v>
      </c>
      <c r="N100" s="24" t="s">
        <v>6</v>
      </c>
      <c r="O100" s="13">
        <f>IF(N100="5",I100,0)</f>
        <v>0</v>
      </c>
      <c r="Z100" s="13">
        <f>IF(AD100=0,J100,0)</f>
        <v>0</v>
      </c>
      <c r="AA100" s="13">
        <f>IF(AD100=15,J100,0)</f>
        <v>0</v>
      </c>
      <c r="AB100" s="13">
        <f>IF(AD100=21,J100,0)</f>
        <v>0</v>
      </c>
      <c r="AD100" s="28">
        <v>21</v>
      </c>
      <c r="AE100" s="28">
        <f>G100*0</f>
        <v>0</v>
      </c>
      <c r="AF100" s="28">
        <f>G100*(1-0)</f>
        <v>0</v>
      </c>
      <c r="AM100" s="28">
        <f>F100*AE100</f>
        <v>0</v>
      </c>
      <c r="AN100" s="28">
        <f>F100*AF100</f>
        <v>0</v>
      </c>
      <c r="AO100" s="29" t="s">
        <v>659</v>
      </c>
      <c r="AP100" s="29" t="s">
        <v>675</v>
      </c>
      <c r="AQ100" s="21" t="s">
        <v>678</v>
      </c>
    </row>
    <row r="101" spans="4:6" ht="12.75">
      <c r="D101" s="67" t="s">
        <v>435</v>
      </c>
      <c r="F101" s="14">
        <v>17.6</v>
      </c>
    </row>
    <row r="102" spans="1:43" ht="12.75">
      <c r="A102" s="4" t="s">
        <v>55</v>
      </c>
      <c r="B102" s="4" t="s">
        <v>189</v>
      </c>
      <c r="C102" s="4" t="s">
        <v>237</v>
      </c>
      <c r="D102" s="66" t="s">
        <v>436</v>
      </c>
      <c r="E102" s="4" t="s">
        <v>616</v>
      </c>
      <c r="F102" s="13">
        <v>2293.6</v>
      </c>
      <c r="G102" s="13">
        <v>0</v>
      </c>
      <c r="H102" s="13">
        <f>ROUND(F102*AE102,2)</f>
        <v>0</v>
      </c>
      <c r="I102" s="13">
        <f>J102-H102</f>
        <v>0</v>
      </c>
      <c r="J102" s="13">
        <f>ROUND(F102*G102,2)</f>
        <v>0</v>
      </c>
      <c r="K102" s="13">
        <v>0.10354</v>
      </c>
      <c r="L102" s="13">
        <f>F102*K102</f>
        <v>237.47934399999997</v>
      </c>
      <c r="M102" s="24" t="s">
        <v>641</v>
      </c>
      <c r="N102" s="24" t="s">
        <v>6</v>
      </c>
      <c r="O102" s="13">
        <f>IF(N102="5",I102,0)</f>
        <v>0</v>
      </c>
      <c r="Z102" s="13">
        <f>IF(AD102=0,J102,0)</f>
        <v>0</v>
      </c>
      <c r="AA102" s="13">
        <f>IF(AD102=15,J102,0)</f>
        <v>0</v>
      </c>
      <c r="AB102" s="13">
        <f>IF(AD102=21,J102,0)</f>
        <v>0</v>
      </c>
      <c r="AD102" s="28">
        <v>21</v>
      </c>
      <c r="AE102" s="28">
        <f>G102*0.53312101910828</f>
        <v>0</v>
      </c>
      <c r="AF102" s="28">
        <f>G102*(1-0.53312101910828)</f>
        <v>0</v>
      </c>
      <c r="AM102" s="28">
        <f>F102*AE102</f>
        <v>0</v>
      </c>
      <c r="AN102" s="28">
        <f>F102*AF102</f>
        <v>0</v>
      </c>
      <c r="AO102" s="29" t="s">
        <v>659</v>
      </c>
      <c r="AP102" s="29" t="s">
        <v>675</v>
      </c>
      <c r="AQ102" s="21" t="s">
        <v>678</v>
      </c>
    </row>
    <row r="103" spans="4:6" ht="12.75">
      <c r="D103" s="67" t="s">
        <v>754</v>
      </c>
      <c r="F103" s="14">
        <v>2293.6</v>
      </c>
    </row>
    <row r="104" spans="1:43" ht="12.75">
      <c r="A104" s="5" t="s">
        <v>56</v>
      </c>
      <c r="B104" s="5" t="s">
        <v>189</v>
      </c>
      <c r="C104" s="5" t="s">
        <v>238</v>
      </c>
      <c r="D104" s="68" t="s">
        <v>437</v>
      </c>
      <c r="E104" s="5" t="s">
        <v>619</v>
      </c>
      <c r="F104" s="15">
        <v>23.86</v>
      </c>
      <c r="G104" s="15">
        <v>0</v>
      </c>
      <c r="H104" s="15">
        <f>ROUND(F104*AE104,2)</f>
        <v>0</v>
      </c>
      <c r="I104" s="15">
        <f>J104-H104</f>
        <v>0</v>
      </c>
      <c r="J104" s="15">
        <f>ROUND(F104*G104,2)</f>
        <v>0</v>
      </c>
      <c r="K104" s="15">
        <v>1</v>
      </c>
      <c r="L104" s="15">
        <f>F104*K104</f>
        <v>23.86</v>
      </c>
      <c r="M104" s="25" t="s">
        <v>641</v>
      </c>
      <c r="N104" s="25" t="s">
        <v>643</v>
      </c>
      <c r="O104" s="15">
        <f>IF(N104="5",I104,0)</f>
        <v>0</v>
      </c>
      <c r="Z104" s="15">
        <f>IF(AD104=0,J104,0)</f>
        <v>0</v>
      </c>
      <c r="AA104" s="15">
        <f>IF(AD104=15,J104,0)</f>
        <v>0</v>
      </c>
      <c r="AB104" s="15">
        <f>IF(AD104=21,J104,0)</f>
        <v>0</v>
      </c>
      <c r="AD104" s="28">
        <v>21</v>
      </c>
      <c r="AE104" s="28">
        <f>G104*1</f>
        <v>0</v>
      </c>
      <c r="AF104" s="28">
        <f>G104*(1-1)</f>
        <v>0</v>
      </c>
      <c r="AM104" s="28">
        <f>F104*AE104</f>
        <v>0</v>
      </c>
      <c r="AN104" s="28">
        <f>F104*AF104</f>
        <v>0</v>
      </c>
      <c r="AO104" s="29" t="s">
        <v>659</v>
      </c>
      <c r="AP104" s="29" t="s">
        <v>675</v>
      </c>
      <c r="AQ104" s="21" t="s">
        <v>678</v>
      </c>
    </row>
    <row r="105" spans="4:6" ht="12.75">
      <c r="D105" s="67" t="s">
        <v>438</v>
      </c>
      <c r="F105" s="14">
        <v>0</v>
      </c>
    </row>
    <row r="106" spans="4:6" ht="12.75">
      <c r="D106" s="67" t="s">
        <v>439</v>
      </c>
      <c r="F106" s="14">
        <v>0</v>
      </c>
    </row>
    <row r="107" spans="4:6" ht="12.75">
      <c r="D107" s="67" t="s">
        <v>440</v>
      </c>
      <c r="F107" s="14">
        <v>0</v>
      </c>
    </row>
    <row r="108" spans="4:6" ht="12.75">
      <c r="D108" s="67" t="s">
        <v>441</v>
      </c>
      <c r="F108" s="14">
        <v>0</v>
      </c>
    </row>
    <row r="109" spans="4:6" ht="12.75">
      <c r="D109" s="67" t="s">
        <v>442</v>
      </c>
      <c r="F109" s="14">
        <v>23.6</v>
      </c>
    </row>
    <row r="110" spans="4:6" ht="12.75">
      <c r="D110" s="67" t="s">
        <v>443</v>
      </c>
      <c r="F110" s="14">
        <v>0.26</v>
      </c>
    </row>
    <row r="111" spans="1:43" ht="12.75">
      <c r="A111" s="5" t="s">
        <v>57</v>
      </c>
      <c r="B111" s="5" t="s">
        <v>189</v>
      </c>
      <c r="C111" s="5" t="s">
        <v>239</v>
      </c>
      <c r="D111" s="68" t="s">
        <v>444</v>
      </c>
      <c r="E111" s="5" t="s">
        <v>616</v>
      </c>
      <c r="F111" s="15">
        <v>1246.46</v>
      </c>
      <c r="G111" s="15">
        <v>0</v>
      </c>
      <c r="H111" s="15">
        <f>ROUND(F111*AE111,2)</f>
        <v>0</v>
      </c>
      <c r="I111" s="15">
        <f>J111-H111</f>
        <v>0</v>
      </c>
      <c r="J111" s="15">
        <f>ROUND(F111*G111,2)</f>
        <v>0</v>
      </c>
      <c r="K111" s="15">
        <v>0.17245</v>
      </c>
      <c r="L111" s="15">
        <f>F111*K111</f>
        <v>214.952027</v>
      </c>
      <c r="M111" s="25" t="s">
        <v>641</v>
      </c>
      <c r="N111" s="25" t="s">
        <v>643</v>
      </c>
      <c r="O111" s="15">
        <f>IF(N111="5",I111,0)</f>
        <v>0</v>
      </c>
      <c r="Z111" s="15">
        <f>IF(AD111=0,J111,0)</f>
        <v>0</v>
      </c>
      <c r="AA111" s="15">
        <f>IF(AD111=15,J111,0)</f>
        <v>0</v>
      </c>
      <c r="AB111" s="15">
        <f>IF(AD111=21,J111,0)</f>
        <v>0</v>
      </c>
      <c r="AD111" s="28">
        <v>21</v>
      </c>
      <c r="AE111" s="28">
        <f>G111*1</f>
        <v>0</v>
      </c>
      <c r="AF111" s="28">
        <f>G111*(1-1)</f>
        <v>0</v>
      </c>
      <c r="AM111" s="28">
        <f>F111*AE111</f>
        <v>0</v>
      </c>
      <c r="AN111" s="28">
        <f>F111*AF111</f>
        <v>0</v>
      </c>
      <c r="AO111" s="29" t="s">
        <v>659</v>
      </c>
      <c r="AP111" s="29" t="s">
        <v>675</v>
      </c>
      <c r="AQ111" s="21" t="s">
        <v>678</v>
      </c>
    </row>
    <row r="112" spans="4:6" ht="12.75">
      <c r="D112" s="67" t="s">
        <v>433</v>
      </c>
      <c r="F112" s="14">
        <v>1234</v>
      </c>
    </row>
    <row r="113" spans="4:6" ht="12.75">
      <c r="D113" s="67" t="s">
        <v>445</v>
      </c>
      <c r="F113" s="14">
        <v>12.46</v>
      </c>
    </row>
    <row r="114" spans="1:43" ht="12.75">
      <c r="A114" s="5" t="s">
        <v>58</v>
      </c>
      <c r="B114" s="5" t="s">
        <v>189</v>
      </c>
      <c r="C114" s="5" t="s">
        <v>240</v>
      </c>
      <c r="D114" s="68" t="s">
        <v>446</v>
      </c>
      <c r="E114" s="5" t="s">
        <v>616</v>
      </c>
      <c r="F114" s="15">
        <v>1052.52</v>
      </c>
      <c r="G114" s="15">
        <v>0</v>
      </c>
      <c r="H114" s="15">
        <f>ROUND(F114*AE114,2)</f>
        <v>0</v>
      </c>
      <c r="I114" s="15">
        <f>J114-H114</f>
        <v>0</v>
      </c>
      <c r="J114" s="15">
        <f>ROUND(F114*G114,2)</f>
        <v>0</v>
      </c>
      <c r="K114" s="15">
        <v>0.129</v>
      </c>
      <c r="L114" s="15">
        <f>F114*K114</f>
        <v>135.77508</v>
      </c>
      <c r="M114" s="25" t="s">
        <v>641</v>
      </c>
      <c r="N114" s="25" t="s">
        <v>643</v>
      </c>
      <c r="O114" s="15">
        <f>IF(N114="5",I114,0)</f>
        <v>0</v>
      </c>
      <c r="Z114" s="15">
        <f>IF(AD114=0,J114,0)</f>
        <v>0</v>
      </c>
      <c r="AA114" s="15">
        <f>IF(AD114=15,J114,0)</f>
        <v>0</v>
      </c>
      <c r="AB114" s="15">
        <f>IF(AD114=21,J114,0)</f>
        <v>0</v>
      </c>
      <c r="AD114" s="28">
        <v>21</v>
      </c>
      <c r="AE114" s="28">
        <f>G114*1</f>
        <v>0</v>
      </c>
      <c r="AF114" s="28">
        <f>G114*(1-1)</f>
        <v>0</v>
      </c>
      <c r="AM114" s="28">
        <f>F114*AE114</f>
        <v>0</v>
      </c>
      <c r="AN114" s="28">
        <f>F114*AF114</f>
        <v>0</v>
      </c>
      <c r="AO114" s="29" t="s">
        <v>659</v>
      </c>
      <c r="AP114" s="29" t="s">
        <v>675</v>
      </c>
      <c r="AQ114" s="21" t="s">
        <v>678</v>
      </c>
    </row>
    <row r="115" spans="4:6" ht="12.75">
      <c r="D115" s="67" t="s">
        <v>431</v>
      </c>
      <c r="F115" s="14">
        <v>1042</v>
      </c>
    </row>
    <row r="116" spans="4:6" ht="12.75">
      <c r="D116" s="67" t="s">
        <v>447</v>
      </c>
      <c r="F116" s="14">
        <v>10.52</v>
      </c>
    </row>
    <row r="117" spans="1:43" ht="12.75">
      <c r="A117" s="5" t="s">
        <v>59</v>
      </c>
      <c r="B117" s="5" t="s">
        <v>189</v>
      </c>
      <c r="C117" s="5" t="s">
        <v>241</v>
      </c>
      <c r="D117" s="68" t="s">
        <v>448</v>
      </c>
      <c r="E117" s="5" t="s">
        <v>616</v>
      </c>
      <c r="F117" s="15">
        <v>17.78</v>
      </c>
      <c r="G117" s="15">
        <v>0</v>
      </c>
      <c r="H117" s="15">
        <f>ROUND(F117*AE117,2)</f>
        <v>0</v>
      </c>
      <c r="I117" s="15">
        <f>J117-H117</f>
        <v>0</v>
      </c>
      <c r="J117" s="15">
        <f>ROUND(F117*G117,2)</f>
        <v>0</v>
      </c>
      <c r="K117" s="15">
        <v>0.1315</v>
      </c>
      <c r="L117" s="15">
        <f>F117*K117</f>
        <v>2.33807</v>
      </c>
      <c r="M117" s="25" t="s">
        <v>641</v>
      </c>
      <c r="N117" s="25" t="s">
        <v>643</v>
      </c>
      <c r="O117" s="15">
        <f>IF(N117="5",I117,0)</f>
        <v>0</v>
      </c>
      <c r="Z117" s="15">
        <f>IF(AD117=0,J117,0)</f>
        <v>0</v>
      </c>
      <c r="AA117" s="15">
        <f>IF(AD117=15,J117,0)</f>
        <v>0</v>
      </c>
      <c r="AB117" s="15">
        <f>IF(AD117=21,J117,0)</f>
        <v>0</v>
      </c>
      <c r="AD117" s="28">
        <v>21</v>
      </c>
      <c r="AE117" s="28">
        <f>G117*1</f>
        <v>0</v>
      </c>
      <c r="AF117" s="28">
        <f>G117*(1-1)</f>
        <v>0</v>
      </c>
      <c r="AM117" s="28">
        <f>F117*AE117</f>
        <v>0</v>
      </c>
      <c r="AN117" s="28">
        <f>F117*AF117</f>
        <v>0</v>
      </c>
      <c r="AO117" s="29" t="s">
        <v>659</v>
      </c>
      <c r="AP117" s="29" t="s">
        <v>675</v>
      </c>
      <c r="AQ117" s="21" t="s">
        <v>678</v>
      </c>
    </row>
    <row r="118" spans="4:6" ht="12.75">
      <c r="D118" s="67" t="s">
        <v>449</v>
      </c>
      <c r="F118" s="14">
        <v>17.6</v>
      </c>
    </row>
    <row r="119" spans="4:6" ht="12.75">
      <c r="D119" s="67" t="s">
        <v>450</v>
      </c>
      <c r="F119" s="14">
        <v>0.18</v>
      </c>
    </row>
    <row r="120" spans="1:37" ht="12.75">
      <c r="A120" s="3"/>
      <c r="B120" s="10" t="s">
        <v>189</v>
      </c>
      <c r="C120" s="10" t="s">
        <v>92</v>
      </c>
      <c r="D120" s="114" t="s">
        <v>451</v>
      </c>
      <c r="E120" s="115"/>
      <c r="F120" s="115"/>
      <c r="G120" s="115"/>
      <c r="H120" s="30">
        <f>SUM(H121:H130)</f>
        <v>0</v>
      </c>
      <c r="I120" s="30">
        <f>SUM(I121:I130)</f>
        <v>0</v>
      </c>
      <c r="J120" s="30">
        <f>H120+I120</f>
        <v>0</v>
      </c>
      <c r="K120" s="21"/>
      <c r="L120" s="30">
        <f>SUM(L121:L130)</f>
        <v>169.192846</v>
      </c>
      <c r="M120" s="21"/>
      <c r="P120" s="30">
        <f>IF(Q120="PR",J120,SUM(O121:O130))</f>
        <v>0</v>
      </c>
      <c r="Q120" s="21" t="s">
        <v>646</v>
      </c>
      <c r="R120" s="30">
        <f>IF(Q120="HS",H120,0)</f>
        <v>0</v>
      </c>
      <c r="S120" s="30">
        <f>IF(Q120="HS",I120-P120,0)</f>
        <v>0</v>
      </c>
      <c r="T120" s="30">
        <f>IF(Q120="PS",H120,0)</f>
        <v>0</v>
      </c>
      <c r="U120" s="30">
        <f>IF(Q120="PS",I120-P120,0)</f>
        <v>0</v>
      </c>
      <c r="V120" s="30">
        <f>IF(Q120="MP",H120,0)</f>
        <v>0</v>
      </c>
      <c r="W120" s="30">
        <f>IF(Q120="MP",I120-P120,0)</f>
        <v>0</v>
      </c>
      <c r="X120" s="30">
        <f>IF(Q120="OM",H120,0)</f>
        <v>0</v>
      </c>
      <c r="Y120" s="21" t="s">
        <v>189</v>
      </c>
      <c r="AI120" s="30">
        <f>SUM(Z121:Z130)</f>
        <v>0</v>
      </c>
      <c r="AJ120" s="30">
        <f>SUM(AA121:AA130)</f>
        <v>0</v>
      </c>
      <c r="AK120" s="30">
        <f>SUM(AB121:AB130)</f>
        <v>0</v>
      </c>
    </row>
    <row r="121" spans="1:43" ht="12.75">
      <c r="A121" s="4" t="s">
        <v>60</v>
      </c>
      <c r="B121" s="4" t="s">
        <v>189</v>
      </c>
      <c r="C121" s="4" t="s">
        <v>242</v>
      </c>
      <c r="D121" s="66" t="s">
        <v>452</v>
      </c>
      <c r="E121" s="4" t="s">
        <v>617</v>
      </c>
      <c r="F121" s="13">
        <v>97.3</v>
      </c>
      <c r="G121" s="13">
        <v>0</v>
      </c>
      <c r="H121" s="13">
        <f aca="true" t="shared" si="24" ref="H121:H130">ROUND(F121*AE121,2)</f>
        <v>0</v>
      </c>
      <c r="I121" s="13">
        <f aca="true" t="shared" si="25" ref="I121:I130">J121-H121</f>
        <v>0</v>
      </c>
      <c r="J121" s="13">
        <f aca="true" t="shared" si="26" ref="J121:J130">ROUND(F121*G121,2)</f>
        <v>0</v>
      </c>
      <c r="K121" s="13">
        <v>1E-05</v>
      </c>
      <c r="L121" s="13">
        <f aca="true" t="shared" si="27" ref="L121:L130">F121*K121</f>
        <v>0.000973</v>
      </c>
      <c r="M121" s="24" t="s">
        <v>641</v>
      </c>
      <c r="N121" s="24" t="s">
        <v>6</v>
      </c>
      <c r="O121" s="13">
        <f aca="true" t="shared" si="28" ref="O121:O130">IF(N121="5",I121,0)</f>
        <v>0</v>
      </c>
      <c r="Z121" s="13">
        <f aca="true" t="shared" si="29" ref="Z121:Z130">IF(AD121=0,J121,0)</f>
        <v>0</v>
      </c>
      <c r="AA121" s="13">
        <f aca="true" t="shared" si="30" ref="AA121:AA130">IF(AD121=15,J121,0)</f>
        <v>0</v>
      </c>
      <c r="AB121" s="13">
        <f aca="true" t="shared" si="31" ref="AB121:AB130">IF(AD121=21,J121,0)</f>
        <v>0</v>
      </c>
      <c r="AD121" s="28">
        <v>21</v>
      </c>
      <c r="AE121" s="28">
        <f>G121*0.108350668647845</f>
        <v>0</v>
      </c>
      <c r="AF121" s="28">
        <f>G121*(1-0.108350668647845)</f>
        <v>0</v>
      </c>
      <c r="AM121" s="28">
        <f aca="true" t="shared" si="32" ref="AM121:AM130">F121*AE121</f>
        <v>0</v>
      </c>
      <c r="AN121" s="28">
        <f aca="true" t="shared" si="33" ref="AN121:AN130">F121*AF121</f>
        <v>0</v>
      </c>
      <c r="AO121" s="29" t="s">
        <v>660</v>
      </c>
      <c r="AP121" s="29" t="s">
        <v>676</v>
      </c>
      <c r="AQ121" s="21" t="s">
        <v>678</v>
      </c>
    </row>
    <row r="122" spans="1:43" ht="12.75">
      <c r="A122" s="4" t="s">
        <v>61</v>
      </c>
      <c r="B122" s="4" t="s">
        <v>189</v>
      </c>
      <c r="C122" s="4" t="s">
        <v>243</v>
      </c>
      <c r="D122" s="66" t="s">
        <v>453</v>
      </c>
      <c r="E122" s="4" t="s">
        <v>617</v>
      </c>
      <c r="F122" s="13">
        <v>97.3</v>
      </c>
      <c r="G122" s="13">
        <v>0</v>
      </c>
      <c r="H122" s="13">
        <f t="shared" si="24"/>
        <v>0</v>
      </c>
      <c r="I122" s="13">
        <f t="shared" si="25"/>
        <v>0</v>
      </c>
      <c r="J122" s="13">
        <f t="shared" si="26"/>
        <v>0</v>
      </c>
      <c r="K122" s="13">
        <v>2E-05</v>
      </c>
      <c r="L122" s="13">
        <f t="shared" si="27"/>
        <v>0.001946</v>
      </c>
      <c r="M122" s="24" t="s">
        <v>641</v>
      </c>
      <c r="N122" s="24" t="s">
        <v>6</v>
      </c>
      <c r="O122" s="13">
        <f t="shared" si="28"/>
        <v>0</v>
      </c>
      <c r="Z122" s="13">
        <f t="shared" si="29"/>
        <v>0</v>
      </c>
      <c r="AA122" s="13">
        <f t="shared" si="30"/>
        <v>0</v>
      </c>
      <c r="AB122" s="13">
        <f t="shared" si="31"/>
        <v>0</v>
      </c>
      <c r="AD122" s="28">
        <v>21</v>
      </c>
      <c r="AE122" s="28">
        <f>G122*0.0274311926605505</f>
        <v>0</v>
      </c>
      <c r="AF122" s="28">
        <f>G122*(1-0.0274311926605505)</f>
        <v>0</v>
      </c>
      <c r="AM122" s="28">
        <f t="shared" si="32"/>
        <v>0</v>
      </c>
      <c r="AN122" s="28">
        <f t="shared" si="33"/>
        <v>0</v>
      </c>
      <c r="AO122" s="29" t="s">
        <v>660</v>
      </c>
      <c r="AP122" s="29" t="s">
        <v>676</v>
      </c>
      <c r="AQ122" s="21" t="s">
        <v>678</v>
      </c>
    </row>
    <row r="123" spans="1:43" ht="12.75">
      <c r="A123" s="4" t="s">
        <v>62</v>
      </c>
      <c r="B123" s="4" t="s">
        <v>189</v>
      </c>
      <c r="C123" s="4" t="s">
        <v>244</v>
      </c>
      <c r="D123" s="66" t="s">
        <v>454</v>
      </c>
      <c r="E123" s="4" t="s">
        <v>617</v>
      </c>
      <c r="F123" s="13">
        <v>97.3</v>
      </c>
      <c r="G123" s="13">
        <v>0</v>
      </c>
      <c r="H123" s="13">
        <f t="shared" si="24"/>
        <v>0</v>
      </c>
      <c r="I123" s="13">
        <f t="shared" si="25"/>
        <v>0</v>
      </c>
      <c r="J123" s="13">
        <f t="shared" si="26"/>
        <v>0</v>
      </c>
      <c r="K123" s="13">
        <v>0</v>
      </c>
      <c r="L123" s="13">
        <f t="shared" si="27"/>
        <v>0</v>
      </c>
      <c r="M123" s="24" t="s">
        <v>641</v>
      </c>
      <c r="N123" s="24" t="s">
        <v>6</v>
      </c>
      <c r="O123" s="13">
        <f t="shared" si="28"/>
        <v>0</v>
      </c>
      <c r="Z123" s="13">
        <f t="shared" si="29"/>
        <v>0</v>
      </c>
      <c r="AA123" s="13">
        <f t="shared" si="30"/>
        <v>0</v>
      </c>
      <c r="AB123" s="13">
        <f t="shared" si="31"/>
        <v>0</v>
      </c>
      <c r="AD123" s="28">
        <v>21</v>
      </c>
      <c r="AE123" s="28">
        <f>G123*0.075531914893617</f>
        <v>0</v>
      </c>
      <c r="AF123" s="28">
        <f>G123*(1-0.075531914893617)</f>
        <v>0</v>
      </c>
      <c r="AM123" s="28">
        <f t="shared" si="32"/>
        <v>0</v>
      </c>
      <c r="AN123" s="28">
        <f t="shared" si="33"/>
        <v>0</v>
      </c>
      <c r="AO123" s="29" t="s">
        <v>660</v>
      </c>
      <c r="AP123" s="29" t="s">
        <v>676</v>
      </c>
      <c r="AQ123" s="21" t="s">
        <v>678</v>
      </c>
    </row>
    <row r="124" spans="1:43" ht="25.5">
      <c r="A124" s="4" t="s">
        <v>63</v>
      </c>
      <c r="B124" s="4" t="s">
        <v>189</v>
      </c>
      <c r="C124" s="4" t="s">
        <v>245</v>
      </c>
      <c r="D124" s="66" t="s">
        <v>455</v>
      </c>
      <c r="E124" s="4" t="s">
        <v>614</v>
      </c>
      <c r="F124" s="13">
        <v>24</v>
      </c>
      <c r="G124" s="13">
        <v>0</v>
      </c>
      <c r="H124" s="13">
        <f t="shared" si="24"/>
        <v>0</v>
      </c>
      <c r="I124" s="13">
        <f t="shared" si="25"/>
        <v>0</v>
      </c>
      <c r="J124" s="13">
        <f t="shared" si="26"/>
        <v>0</v>
      </c>
      <c r="K124" s="13">
        <v>3.05967</v>
      </c>
      <c r="L124" s="13">
        <f t="shared" si="27"/>
        <v>73.43208</v>
      </c>
      <c r="M124" s="24" t="s">
        <v>641</v>
      </c>
      <c r="N124" s="24" t="s">
        <v>6</v>
      </c>
      <c r="O124" s="13">
        <f t="shared" si="28"/>
        <v>0</v>
      </c>
      <c r="Z124" s="13">
        <f t="shared" si="29"/>
        <v>0</v>
      </c>
      <c r="AA124" s="13">
        <f t="shared" si="30"/>
        <v>0</v>
      </c>
      <c r="AB124" s="13">
        <f t="shared" si="31"/>
        <v>0</v>
      </c>
      <c r="AD124" s="28">
        <v>21</v>
      </c>
      <c r="AE124" s="28">
        <f>G124*0.829332673759742</f>
        <v>0</v>
      </c>
      <c r="AF124" s="28">
        <f>G124*(1-0.829332673759742)</f>
        <v>0</v>
      </c>
      <c r="AM124" s="28">
        <f t="shared" si="32"/>
        <v>0</v>
      </c>
      <c r="AN124" s="28">
        <f t="shared" si="33"/>
        <v>0</v>
      </c>
      <c r="AO124" s="29" t="s">
        <v>660</v>
      </c>
      <c r="AP124" s="29" t="s">
        <v>676</v>
      </c>
      <c r="AQ124" s="21" t="s">
        <v>678</v>
      </c>
    </row>
    <row r="125" spans="1:43" ht="25.5">
      <c r="A125" s="4" t="s">
        <v>64</v>
      </c>
      <c r="B125" s="4" t="s">
        <v>189</v>
      </c>
      <c r="C125" s="4" t="s">
        <v>246</v>
      </c>
      <c r="D125" s="66" t="s">
        <v>456</v>
      </c>
      <c r="E125" s="4" t="s">
        <v>614</v>
      </c>
      <c r="F125" s="13">
        <v>24</v>
      </c>
      <c r="G125" s="13">
        <v>0</v>
      </c>
      <c r="H125" s="13">
        <f t="shared" si="24"/>
        <v>0</v>
      </c>
      <c r="I125" s="13">
        <f t="shared" si="25"/>
        <v>0</v>
      </c>
      <c r="J125" s="13">
        <f t="shared" si="26"/>
        <v>0</v>
      </c>
      <c r="K125" s="13">
        <v>0.01668</v>
      </c>
      <c r="L125" s="13">
        <f t="shared" si="27"/>
        <v>0.40032</v>
      </c>
      <c r="M125" s="24" t="s">
        <v>641</v>
      </c>
      <c r="N125" s="24" t="s">
        <v>6</v>
      </c>
      <c r="O125" s="13">
        <f t="shared" si="28"/>
        <v>0</v>
      </c>
      <c r="Z125" s="13">
        <f t="shared" si="29"/>
        <v>0</v>
      </c>
      <c r="AA125" s="13">
        <f t="shared" si="30"/>
        <v>0</v>
      </c>
      <c r="AB125" s="13">
        <f t="shared" si="31"/>
        <v>0</v>
      </c>
      <c r="AD125" s="28">
        <v>21</v>
      </c>
      <c r="AE125" s="28">
        <f>G125*0.751037735849057</f>
        <v>0</v>
      </c>
      <c r="AF125" s="28">
        <f>G125*(1-0.751037735849057)</f>
        <v>0</v>
      </c>
      <c r="AM125" s="28">
        <f t="shared" si="32"/>
        <v>0</v>
      </c>
      <c r="AN125" s="28">
        <f t="shared" si="33"/>
        <v>0</v>
      </c>
      <c r="AO125" s="29" t="s">
        <v>660</v>
      </c>
      <c r="AP125" s="29" t="s">
        <v>676</v>
      </c>
      <c r="AQ125" s="21" t="s">
        <v>678</v>
      </c>
    </row>
    <row r="126" spans="1:43" ht="12.75">
      <c r="A126" s="4" t="s">
        <v>65</v>
      </c>
      <c r="B126" s="4" t="s">
        <v>189</v>
      </c>
      <c r="C126" s="4" t="s">
        <v>247</v>
      </c>
      <c r="D126" s="66" t="s">
        <v>457</v>
      </c>
      <c r="E126" s="4" t="s">
        <v>614</v>
      </c>
      <c r="F126" s="13">
        <v>24</v>
      </c>
      <c r="G126" s="13">
        <v>0</v>
      </c>
      <c r="H126" s="13">
        <f t="shared" si="24"/>
        <v>0</v>
      </c>
      <c r="I126" s="13">
        <f t="shared" si="25"/>
        <v>0</v>
      </c>
      <c r="J126" s="13">
        <f t="shared" si="26"/>
        <v>0</v>
      </c>
      <c r="K126" s="13">
        <v>0.43382</v>
      </c>
      <c r="L126" s="13">
        <f t="shared" si="27"/>
        <v>10.41168</v>
      </c>
      <c r="M126" s="24" t="s">
        <v>641</v>
      </c>
      <c r="N126" s="24" t="s">
        <v>6</v>
      </c>
      <c r="O126" s="13">
        <f t="shared" si="28"/>
        <v>0</v>
      </c>
      <c r="Z126" s="13">
        <f t="shared" si="29"/>
        <v>0</v>
      </c>
      <c r="AA126" s="13">
        <f t="shared" si="30"/>
        <v>0</v>
      </c>
      <c r="AB126" s="13">
        <f t="shared" si="31"/>
        <v>0</v>
      </c>
      <c r="AD126" s="28">
        <v>21</v>
      </c>
      <c r="AE126" s="28">
        <f>G126*0.455567347240482</f>
        <v>0</v>
      </c>
      <c r="AF126" s="28">
        <f>G126*(1-0.455567347240482)</f>
        <v>0</v>
      </c>
      <c r="AM126" s="28">
        <f t="shared" si="32"/>
        <v>0</v>
      </c>
      <c r="AN126" s="28">
        <f t="shared" si="33"/>
        <v>0</v>
      </c>
      <c r="AO126" s="29" t="s">
        <v>660</v>
      </c>
      <c r="AP126" s="29" t="s">
        <v>676</v>
      </c>
      <c r="AQ126" s="21" t="s">
        <v>678</v>
      </c>
    </row>
    <row r="127" spans="1:43" ht="12.75">
      <c r="A127" s="4" t="s">
        <v>66</v>
      </c>
      <c r="B127" s="4" t="s">
        <v>189</v>
      </c>
      <c r="C127" s="4" t="s">
        <v>248</v>
      </c>
      <c r="D127" s="66" t="s">
        <v>458</v>
      </c>
      <c r="E127" s="4" t="s">
        <v>614</v>
      </c>
      <c r="F127" s="13">
        <v>7</v>
      </c>
      <c r="G127" s="13">
        <v>0</v>
      </c>
      <c r="H127" s="13">
        <f t="shared" si="24"/>
        <v>0</v>
      </c>
      <c r="I127" s="13">
        <f t="shared" si="25"/>
        <v>0</v>
      </c>
      <c r="J127" s="13">
        <f t="shared" si="26"/>
        <v>0</v>
      </c>
      <c r="K127" s="13">
        <v>0.43094</v>
      </c>
      <c r="L127" s="13">
        <f t="shared" si="27"/>
        <v>3.01658</v>
      </c>
      <c r="M127" s="24" t="s">
        <v>641</v>
      </c>
      <c r="N127" s="24" t="s">
        <v>6</v>
      </c>
      <c r="O127" s="13">
        <f t="shared" si="28"/>
        <v>0</v>
      </c>
      <c r="Z127" s="13">
        <f t="shared" si="29"/>
        <v>0</v>
      </c>
      <c r="AA127" s="13">
        <f t="shared" si="30"/>
        <v>0</v>
      </c>
      <c r="AB127" s="13">
        <f t="shared" si="31"/>
        <v>0</v>
      </c>
      <c r="AD127" s="28">
        <v>21</v>
      </c>
      <c r="AE127" s="28">
        <f>G127*0.421717869611565</f>
        <v>0</v>
      </c>
      <c r="AF127" s="28">
        <f>G127*(1-0.421717869611565)</f>
        <v>0</v>
      </c>
      <c r="AM127" s="28">
        <f t="shared" si="32"/>
        <v>0</v>
      </c>
      <c r="AN127" s="28">
        <f t="shared" si="33"/>
        <v>0</v>
      </c>
      <c r="AO127" s="29" t="s">
        <v>660</v>
      </c>
      <c r="AP127" s="29" t="s">
        <v>676</v>
      </c>
      <c r="AQ127" s="21" t="s">
        <v>678</v>
      </c>
    </row>
    <row r="128" spans="1:43" ht="12.75">
      <c r="A128" s="4" t="s">
        <v>67</v>
      </c>
      <c r="B128" s="4" t="s">
        <v>189</v>
      </c>
      <c r="C128" s="4" t="s">
        <v>249</v>
      </c>
      <c r="D128" s="66" t="s">
        <v>459</v>
      </c>
      <c r="E128" s="4" t="s">
        <v>617</v>
      </c>
      <c r="F128" s="13">
        <v>97.3</v>
      </c>
      <c r="G128" s="13">
        <v>0</v>
      </c>
      <c r="H128" s="13">
        <f t="shared" si="24"/>
        <v>0</v>
      </c>
      <c r="I128" s="13">
        <f t="shared" si="25"/>
        <v>0</v>
      </c>
      <c r="J128" s="13">
        <f t="shared" si="26"/>
        <v>0</v>
      </c>
      <c r="K128" s="13">
        <v>0.00031</v>
      </c>
      <c r="L128" s="13">
        <f t="shared" si="27"/>
        <v>0.030163</v>
      </c>
      <c r="M128" s="24" t="s">
        <v>641</v>
      </c>
      <c r="N128" s="24" t="s">
        <v>7</v>
      </c>
      <c r="O128" s="13">
        <f t="shared" si="28"/>
        <v>0</v>
      </c>
      <c r="Z128" s="13">
        <f t="shared" si="29"/>
        <v>0</v>
      </c>
      <c r="AA128" s="13">
        <f t="shared" si="30"/>
        <v>0</v>
      </c>
      <c r="AB128" s="13">
        <f t="shared" si="31"/>
        <v>0</v>
      </c>
      <c r="AD128" s="28">
        <v>21</v>
      </c>
      <c r="AE128" s="28">
        <f>G128*0.451428571428571</f>
        <v>0</v>
      </c>
      <c r="AF128" s="28">
        <f>G128*(1-0.451428571428571)</f>
        <v>0</v>
      </c>
      <c r="AM128" s="28">
        <f t="shared" si="32"/>
        <v>0</v>
      </c>
      <c r="AN128" s="28">
        <f t="shared" si="33"/>
        <v>0</v>
      </c>
      <c r="AO128" s="29" t="s">
        <v>660</v>
      </c>
      <c r="AP128" s="29" t="s">
        <v>676</v>
      </c>
      <c r="AQ128" s="21" t="s">
        <v>678</v>
      </c>
    </row>
    <row r="129" spans="1:43" ht="12.75">
      <c r="A129" s="4" t="s">
        <v>68</v>
      </c>
      <c r="B129" s="4" t="s">
        <v>189</v>
      </c>
      <c r="C129" s="4" t="s">
        <v>250</v>
      </c>
      <c r="D129" s="66" t="s">
        <v>460</v>
      </c>
      <c r="E129" s="4" t="s">
        <v>614</v>
      </c>
      <c r="F129" s="13">
        <v>24</v>
      </c>
      <c r="G129" s="13">
        <v>0</v>
      </c>
      <c r="H129" s="13">
        <f t="shared" si="24"/>
        <v>0</v>
      </c>
      <c r="I129" s="13">
        <f t="shared" si="25"/>
        <v>0</v>
      </c>
      <c r="J129" s="13">
        <f t="shared" si="26"/>
        <v>0</v>
      </c>
      <c r="K129" s="13">
        <v>0.04718</v>
      </c>
      <c r="L129" s="13">
        <f t="shared" si="27"/>
        <v>1.13232</v>
      </c>
      <c r="M129" s="24" t="s">
        <v>641</v>
      </c>
      <c r="N129" s="24" t="s">
        <v>6</v>
      </c>
      <c r="O129" s="13">
        <f t="shared" si="28"/>
        <v>0</v>
      </c>
      <c r="Z129" s="13">
        <f t="shared" si="29"/>
        <v>0</v>
      </c>
      <c r="AA129" s="13">
        <f t="shared" si="30"/>
        <v>0</v>
      </c>
      <c r="AB129" s="13">
        <f t="shared" si="31"/>
        <v>0</v>
      </c>
      <c r="AD129" s="28">
        <v>21</v>
      </c>
      <c r="AE129" s="28">
        <f>G129*0.34903165735568</f>
        <v>0</v>
      </c>
      <c r="AF129" s="28">
        <f>G129*(1-0.34903165735568)</f>
        <v>0</v>
      </c>
      <c r="AM129" s="28">
        <f t="shared" si="32"/>
        <v>0</v>
      </c>
      <c r="AN129" s="28">
        <f t="shared" si="33"/>
        <v>0</v>
      </c>
      <c r="AO129" s="29" t="s">
        <v>660</v>
      </c>
      <c r="AP129" s="29" t="s">
        <v>676</v>
      </c>
      <c r="AQ129" s="21" t="s">
        <v>678</v>
      </c>
    </row>
    <row r="130" spans="1:43" ht="25.5">
      <c r="A130" s="4" t="s">
        <v>69</v>
      </c>
      <c r="B130" s="4" t="s">
        <v>189</v>
      </c>
      <c r="C130" s="4" t="s">
        <v>251</v>
      </c>
      <c r="D130" s="66" t="s">
        <v>461</v>
      </c>
      <c r="E130" s="4" t="s">
        <v>617</v>
      </c>
      <c r="F130" s="13">
        <v>97.3</v>
      </c>
      <c r="G130" s="13">
        <v>0</v>
      </c>
      <c r="H130" s="13">
        <f t="shared" si="24"/>
        <v>0</v>
      </c>
      <c r="I130" s="13">
        <f t="shared" si="25"/>
        <v>0</v>
      </c>
      <c r="J130" s="13">
        <f t="shared" si="26"/>
        <v>0</v>
      </c>
      <c r="K130" s="13">
        <v>0.83008</v>
      </c>
      <c r="L130" s="13">
        <f t="shared" si="27"/>
        <v>80.766784</v>
      </c>
      <c r="M130" s="24" t="s">
        <v>641</v>
      </c>
      <c r="N130" s="24" t="s">
        <v>8</v>
      </c>
      <c r="O130" s="13">
        <f t="shared" si="28"/>
        <v>0</v>
      </c>
      <c r="Z130" s="13">
        <f t="shared" si="29"/>
        <v>0</v>
      </c>
      <c r="AA130" s="13">
        <f t="shared" si="30"/>
        <v>0</v>
      </c>
      <c r="AB130" s="13">
        <f t="shared" si="31"/>
        <v>0</v>
      </c>
      <c r="AD130" s="28">
        <v>21</v>
      </c>
      <c r="AE130" s="28">
        <f>G130*0.346815446864714</f>
        <v>0</v>
      </c>
      <c r="AF130" s="28">
        <f>G130*(1-0.346815446864714)</f>
        <v>0</v>
      </c>
      <c r="AM130" s="28">
        <f t="shared" si="32"/>
        <v>0</v>
      </c>
      <c r="AN130" s="28">
        <f t="shared" si="33"/>
        <v>0</v>
      </c>
      <c r="AO130" s="29" t="s">
        <v>660</v>
      </c>
      <c r="AP130" s="29" t="s">
        <v>676</v>
      </c>
      <c r="AQ130" s="21" t="s">
        <v>678</v>
      </c>
    </row>
    <row r="131" spans="1:37" ht="12.75">
      <c r="A131" s="3"/>
      <c r="B131" s="10" t="s">
        <v>189</v>
      </c>
      <c r="C131" s="10" t="s">
        <v>96</v>
      </c>
      <c r="D131" s="114" t="s">
        <v>462</v>
      </c>
      <c r="E131" s="115"/>
      <c r="F131" s="115"/>
      <c r="G131" s="115"/>
      <c r="H131" s="30">
        <f>SUM(H132:H163)</f>
        <v>0</v>
      </c>
      <c r="I131" s="30">
        <f>SUM(I132:I163)</f>
        <v>0</v>
      </c>
      <c r="J131" s="30">
        <f>H131+I131</f>
        <v>0</v>
      </c>
      <c r="K131" s="21"/>
      <c r="L131" s="30">
        <f>SUM(L132:L163)</f>
        <v>1265.08991</v>
      </c>
      <c r="M131" s="21"/>
      <c r="P131" s="30">
        <f>IF(Q131="PR",J131,SUM(O132:O163))</f>
        <v>0</v>
      </c>
      <c r="Q131" s="21" t="s">
        <v>646</v>
      </c>
      <c r="R131" s="30">
        <f>IF(Q131="HS",H131,0)</f>
        <v>0</v>
      </c>
      <c r="S131" s="30">
        <f>IF(Q131="HS",I131-P131,0)</f>
        <v>0</v>
      </c>
      <c r="T131" s="30">
        <f>IF(Q131="PS",H131,0)</f>
        <v>0</v>
      </c>
      <c r="U131" s="30">
        <f>IF(Q131="PS",I131-P131,0)</f>
        <v>0</v>
      </c>
      <c r="V131" s="30">
        <f>IF(Q131="MP",H131,0)</f>
        <v>0</v>
      </c>
      <c r="W131" s="30">
        <f>IF(Q131="MP",I131-P131,0)</f>
        <v>0</v>
      </c>
      <c r="X131" s="30">
        <f>IF(Q131="OM",H131,0)</f>
        <v>0</v>
      </c>
      <c r="Y131" s="21" t="s">
        <v>189</v>
      </c>
      <c r="AI131" s="30">
        <f>SUM(Z132:Z163)</f>
        <v>0</v>
      </c>
      <c r="AJ131" s="30">
        <f>SUM(AA132:AA163)</f>
        <v>0</v>
      </c>
      <c r="AK131" s="30">
        <f>SUM(AB132:AB163)</f>
        <v>0</v>
      </c>
    </row>
    <row r="132" spans="1:43" ht="12.75">
      <c r="A132" s="4" t="s">
        <v>70</v>
      </c>
      <c r="B132" s="4" t="s">
        <v>189</v>
      </c>
      <c r="C132" s="4" t="s">
        <v>252</v>
      </c>
      <c r="D132" s="66" t="s">
        <v>463</v>
      </c>
      <c r="E132" s="4" t="s">
        <v>614</v>
      </c>
      <c r="F132" s="13">
        <v>15</v>
      </c>
      <c r="G132" s="13">
        <v>0</v>
      </c>
      <c r="H132" s="13">
        <f>ROUND(F132*AE132,2)</f>
        <v>0</v>
      </c>
      <c r="I132" s="13">
        <f>J132-H132</f>
        <v>0</v>
      </c>
      <c r="J132" s="13">
        <f>ROUND(F132*G132,2)</f>
        <v>0</v>
      </c>
      <c r="K132" s="13">
        <v>0.25</v>
      </c>
      <c r="L132" s="13">
        <f>F132*K132</f>
        <v>3.75</v>
      </c>
      <c r="M132" s="24" t="s">
        <v>641</v>
      </c>
      <c r="N132" s="24" t="s">
        <v>6</v>
      </c>
      <c r="O132" s="13">
        <f>IF(N132="5",I132,0)</f>
        <v>0</v>
      </c>
      <c r="Z132" s="13">
        <f>IF(AD132=0,J132,0)</f>
        <v>0</v>
      </c>
      <c r="AA132" s="13">
        <f>IF(AD132=15,J132,0)</f>
        <v>0</v>
      </c>
      <c r="AB132" s="13">
        <f>IF(AD132=21,J132,0)</f>
        <v>0</v>
      </c>
      <c r="AD132" s="28">
        <v>21</v>
      </c>
      <c r="AE132" s="28">
        <f>G132*0.472762364294331</f>
        <v>0</v>
      </c>
      <c r="AF132" s="28">
        <f>G132*(1-0.472762364294331)</f>
        <v>0</v>
      </c>
      <c r="AM132" s="28">
        <f>F132*AE132</f>
        <v>0</v>
      </c>
      <c r="AN132" s="28">
        <f>F132*AF132</f>
        <v>0</v>
      </c>
      <c r="AO132" s="29" t="s">
        <v>661</v>
      </c>
      <c r="AP132" s="29" t="s">
        <v>672</v>
      </c>
      <c r="AQ132" s="21" t="s">
        <v>678</v>
      </c>
    </row>
    <row r="133" spans="1:43" ht="12.75">
      <c r="A133" s="4" t="s">
        <v>71</v>
      </c>
      <c r="B133" s="4" t="s">
        <v>189</v>
      </c>
      <c r="C133" s="4" t="s">
        <v>253</v>
      </c>
      <c r="D133" s="66" t="s">
        <v>464</v>
      </c>
      <c r="E133" s="4" t="s">
        <v>617</v>
      </c>
      <c r="F133" s="13">
        <v>844</v>
      </c>
      <c r="G133" s="13">
        <v>0</v>
      </c>
      <c r="H133" s="13">
        <f>ROUND(F133*AE133,2)</f>
        <v>0</v>
      </c>
      <c r="I133" s="13">
        <f>J133-H133</f>
        <v>0</v>
      </c>
      <c r="J133" s="13">
        <f>ROUND(F133*G133,2)</f>
        <v>0</v>
      </c>
      <c r="K133" s="13">
        <v>0.02922</v>
      </c>
      <c r="L133" s="13">
        <f>F133*K133</f>
        <v>24.66168</v>
      </c>
      <c r="M133" s="24" t="s">
        <v>641</v>
      </c>
      <c r="N133" s="24" t="s">
        <v>6</v>
      </c>
      <c r="O133" s="13">
        <f>IF(N133="5",I133,0)</f>
        <v>0</v>
      </c>
      <c r="Z133" s="13">
        <f>IF(AD133=0,J133,0)</f>
        <v>0</v>
      </c>
      <c r="AA133" s="13">
        <f>IF(AD133=15,J133,0)</f>
        <v>0</v>
      </c>
      <c r="AB133" s="13">
        <f>IF(AD133=21,J133,0)</f>
        <v>0</v>
      </c>
      <c r="AD133" s="28">
        <v>21</v>
      </c>
      <c r="AE133" s="28">
        <f>G133*0.165905096660808</f>
        <v>0</v>
      </c>
      <c r="AF133" s="28">
        <f>G133*(1-0.165905096660808)</f>
        <v>0</v>
      </c>
      <c r="AM133" s="28">
        <f>F133*AE133</f>
        <v>0</v>
      </c>
      <c r="AN133" s="28">
        <f>F133*AF133</f>
        <v>0</v>
      </c>
      <c r="AO133" s="29" t="s">
        <v>661</v>
      </c>
      <c r="AP133" s="29" t="s">
        <v>672</v>
      </c>
      <c r="AQ133" s="21" t="s">
        <v>678</v>
      </c>
    </row>
    <row r="134" spans="4:6" ht="12.75">
      <c r="D134" s="67" t="s">
        <v>465</v>
      </c>
      <c r="F134" s="14">
        <v>297.35</v>
      </c>
    </row>
    <row r="135" spans="4:6" ht="12.75">
      <c r="D135" s="67" t="s">
        <v>466</v>
      </c>
      <c r="F135" s="14">
        <v>215.25</v>
      </c>
    </row>
    <row r="136" spans="4:6" ht="12.75">
      <c r="D136" s="67" t="s">
        <v>467</v>
      </c>
      <c r="F136" s="14">
        <v>151.45</v>
      </c>
    </row>
    <row r="137" spans="4:6" ht="12.75">
      <c r="D137" s="67" t="s">
        <v>468</v>
      </c>
      <c r="F137" s="14">
        <v>179.95</v>
      </c>
    </row>
    <row r="138" spans="1:43" ht="12.75">
      <c r="A138" s="4" t="s">
        <v>72</v>
      </c>
      <c r="B138" s="4" t="s">
        <v>189</v>
      </c>
      <c r="C138" s="4" t="s">
        <v>254</v>
      </c>
      <c r="D138" s="66" t="s">
        <v>469</v>
      </c>
      <c r="E138" s="4" t="s">
        <v>617</v>
      </c>
      <c r="F138" s="13">
        <v>352.5</v>
      </c>
      <c r="G138" s="13">
        <v>0</v>
      </c>
      <c r="H138" s="13">
        <f>ROUND(F138*AE138,2)</f>
        <v>0</v>
      </c>
      <c r="I138" s="13">
        <f>J138-H138</f>
        <v>0</v>
      </c>
      <c r="J138" s="13">
        <f>ROUND(F138*G138,2)</f>
        <v>0</v>
      </c>
      <c r="K138" s="13">
        <v>9E-05</v>
      </c>
      <c r="L138" s="13">
        <f>F138*K138</f>
        <v>0.031725</v>
      </c>
      <c r="M138" s="24" t="s">
        <v>641</v>
      </c>
      <c r="N138" s="24" t="s">
        <v>6</v>
      </c>
      <c r="O138" s="13">
        <f>IF(N138="5",I138,0)</f>
        <v>0</v>
      </c>
      <c r="Z138" s="13">
        <f>IF(AD138=0,J138,0)</f>
        <v>0</v>
      </c>
      <c r="AA138" s="13">
        <f>IF(AD138=15,J138,0)</f>
        <v>0</v>
      </c>
      <c r="AB138" s="13">
        <f>IF(AD138=21,J138,0)</f>
        <v>0</v>
      </c>
      <c r="AD138" s="28">
        <v>21</v>
      </c>
      <c r="AE138" s="28">
        <f>G138*0.665968586387435</f>
        <v>0</v>
      </c>
      <c r="AF138" s="28">
        <f>G138*(1-0.665968586387435)</f>
        <v>0</v>
      </c>
      <c r="AM138" s="28">
        <f>F138*AE138</f>
        <v>0</v>
      </c>
      <c r="AN138" s="28">
        <f>F138*AF138</f>
        <v>0</v>
      </c>
      <c r="AO138" s="29" t="s">
        <v>661</v>
      </c>
      <c r="AP138" s="29" t="s">
        <v>672</v>
      </c>
      <c r="AQ138" s="21" t="s">
        <v>678</v>
      </c>
    </row>
    <row r="139" spans="4:6" ht="12.75">
      <c r="D139" s="67" t="s">
        <v>470</v>
      </c>
      <c r="F139" s="14">
        <v>0</v>
      </c>
    </row>
    <row r="140" spans="4:6" ht="12.75">
      <c r="D140" s="67" t="s">
        <v>471</v>
      </c>
      <c r="F140" s="14">
        <v>0</v>
      </c>
    </row>
    <row r="141" spans="4:6" ht="12.75">
      <c r="D141" s="67" t="s">
        <v>472</v>
      </c>
      <c r="F141" s="14">
        <v>0</v>
      </c>
    </row>
    <row r="142" spans="4:6" ht="12.75">
      <c r="D142" s="67" t="s">
        <v>473</v>
      </c>
      <c r="F142" s="14">
        <v>0</v>
      </c>
    </row>
    <row r="143" spans="4:6" ht="12.75">
      <c r="D143" s="67" t="s">
        <v>474</v>
      </c>
      <c r="F143" s="14">
        <v>352.5</v>
      </c>
    </row>
    <row r="144" spans="1:43" ht="12.75">
      <c r="A144" s="4" t="s">
        <v>73</v>
      </c>
      <c r="B144" s="4" t="s">
        <v>189</v>
      </c>
      <c r="C144" s="4" t="s">
        <v>255</v>
      </c>
      <c r="D144" s="66" t="s">
        <v>475</v>
      </c>
      <c r="E144" s="4" t="s">
        <v>617</v>
      </c>
      <c r="F144" s="13">
        <v>352.5</v>
      </c>
      <c r="G144" s="13">
        <v>0</v>
      </c>
      <c r="H144" s="13">
        <f>ROUND(F144*AE144,2)</f>
        <v>0</v>
      </c>
      <c r="I144" s="13">
        <f>J144-H144</f>
        <v>0</v>
      </c>
      <c r="J144" s="13">
        <f>ROUND(F144*G144,2)</f>
        <v>0</v>
      </c>
      <c r="K144" s="13">
        <v>4E-05</v>
      </c>
      <c r="L144" s="13">
        <f>F144*K144</f>
        <v>0.014100000000000001</v>
      </c>
      <c r="M144" s="24" t="s">
        <v>641</v>
      </c>
      <c r="N144" s="24" t="s">
        <v>6</v>
      </c>
      <c r="O144" s="13">
        <f>IF(N144="5",I144,0)</f>
        <v>0</v>
      </c>
      <c r="Z144" s="13">
        <f>IF(AD144=0,J144,0)</f>
        <v>0</v>
      </c>
      <c r="AA144" s="13">
        <f>IF(AD144=15,J144,0)</f>
        <v>0</v>
      </c>
      <c r="AB144" s="13">
        <f>IF(AD144=21,J144,0)</f>
        <v>0</v>
      </c>
      <c r="AD144" s="28">
        <v>21</v>
      </c>
      <c r="AE144" s="28">
        <f>G144*0.329639889196676</f>
        <v>0</v>
      </c>
      <c r="AF144" s="28">
        <f>G144*(1-0.329639889196676)</f>
        <v>0</v>
      </c>
      <c r="AM144" s="28">
        <f>F144*AE144</f>
        <v>0</v>
      </c>
      <c r="AN144" s="28">
        <f>F144*AF144</f>
        <v>0</v>
      </c>
      <c r="AO144" s="29" t="s">
        <v>661</v>
      </c>
      <c r="AP144" s="29" t="s">
        <v>672</v>
      </c>
      <c r="AQ144" s="21" t="s">
        <v>678</v>
      </c>
    </row>
    <row r="145" spans="4:6" ht="12.75">
      <c r="D145" s="67" t="s">
        <v>476</v>
      </c>
      <c r="F145" s="14">
        <v>352.5</v>
      </c>
    </row>
    <row r="146" spans="1:43" ht="12.75">
      <c r="A146" s="4" t="s">
        <v>74</v>
      </c>
      <c r="B146" s="4" t="s">
        <v>189</v>
      </c>
      <c r="C146" s="4" t="s">
        <v>256</v>
      </c>
      <c r="D146" s="66" t="s">
        <v>477</v>
      </c>
      <c r="E146" s="4" t="s">
        <v>616</v>
      </c>
      <c r="F146" s="13">
        <v>70.5</v>
      </c>
      <c r="G146" s="13">
        <v>0</v>
      </c>
      <c r="H146" s="13">
        <f>ROUND(F146*AE146,2)</f>
        <v>0</v>
      </c>
      <c r="I146" s="13">
        <f>J146-H146</f>
        <v>0</v>
      </c>
      <c r="J146" s="13">
        <f>ROUND(F146*G146,2)</f>
        <v>0</v>
      </c>
      <c r="K146" s="13">
        <v>0.00289</v>
      </c>
      <c r="L146" s="13">
        <f>F146*K146</f>
        <v>0.203745</v>
      </c>
      <c r="M146" s="24" t="s">
        <v>641</v>
      </c>
      <c r="N146" s="24" t="s">
        <v>6</v>
      </c>
      <c r="O146" s="13">
        <f>IF(N146="5",I146,0)</f>
        <v>0</v>
      </c>
      <c r="Z146" s="13">
        <f>IF(AD146=0,J146,0)</f>
        <v>0</v>
      </c>
      <c r="AA146" s="13">
        <f>IF(AD146=15,J146,0)</f>
        <v>0</v>
      </c>
      <c r="AB146" s="13">
        <f>IF(AD146=21,J146,0)</f>
        <v>0</v>
      </c>
      <c r="AD146" s="28">
        <v>21</v>
      </c>
      <c r="AE146" s="28">
        <f>G146*0.90911667668167</f>
        <v>0</v>
      </c>
      <c r="AF146" s="28">
        <f>G146*(1-0.90911667668167)</f>
        <v>0</v>
      </c>
      <c r="AM146" s="28">
        <f>F146*AE146</f>
        <v>0</v>
      </c>
      <c r="AN146" s="28">
        <f>F146*AF146</f>
        <v>0</v>
      </c>
      <c r="AO146" s="29" t="s">
        <v>661</v>
      </c>
      <c r="AP146" s="29" t="s">
        <v>672</v>
      </c>
      <c r="AQ146" s="21" t="s">
        <v>678</v>
      </c>
    </row>
    <row r="147" spans="4:6" ht="12.75">
      <c r="D147" s="67" t="s">
        <v>478</v>
      </c>
      <c r="F147" s="14">
        <v>70.5</v>
      </c>
    </row>
    <row r="148" spans="1:43" ht="12.75">
      <c r="A148" s="4" t="s">
        <v>75</v>
      </c>
      <c r="B148" s="4" t="s">
        <v>189</v>
      </c>
      <c r="C148" s="4" t="s">
        <v>257</v>
      </c>
      <c r="D148" s="66" t="s">
        <v>479</v>
      </c>
      <c r="E148" s="4" t="s">
        <v>617</v>
      </c>
      <c r="F148" s="13">
        <v>352.5</v>
      </c>
      <c r="G148" s="13">
        <v>0</v>
      </c>
      <c r="H148" s="13">
        <f>ROUND(F148*AE148,2)</f>
        <v>0</v>
      </c>
      <c r="I148" s="13">
        <f>J148-H148</f>
        <v>0</v>
      </c>
      <c r="J148" s="13">
        <f>ROUND(F148*G148,2)</f>
        <v>0</v>
      </c>
      <c r="K148" s="13">
        <v>0</v>
      </c>
      <c r="L148" s="13">
        <f>F148*K148</f>
        <v>0</v>
      </c>
      <c r="M148" s="24" t="s">
        <v>641</v>
      </c>
      <c r="N148" s="24" t="s">
        <v>6</v>
      </c>
      <c r="O148" s="13">
        <f>IF(N148="5",I148,0)</f>
        <v>0</v>
      </c>
      <c r="Z148" s="13">
        <f>IF(AD148=0,J148,0)</f>
        <v>0</v>
      </c>
      <c r="AA148" s="13">
        <f>IF(AD148=15,J148,0)</f>
        <v>0</v>
      </c>
      <c r="AB148" s="13">
        <f>IF(AD148=21,J148,0)</f>
        <v>0</v>
      </c>
      <c r="AD148" s="28">
        <v>21</v>
      </c>
      <c r="AE148" s="28">
        <f>G148*0.127027027027027</f>
        <v>0</v>
      </c>
      <c r="AF148" s="28">
        <f>G148*(1-0.127027027027027)</f>
        <v>0</v>
      </c>
      <c r="AM148" s="28">
        <f>F148*AE148</f>
        <v>0</v>
      </c>
      <c r="AN148" s="28">
        <f>F148*AF148</f>
        <v>0</v>
      </c>
      <c r="AO148" s="29" t="s">
        <v>661</v>
      </c>
      <c r="AP148" s="29" t="s">
        <v>672</v>
      </c>
      <c r="AQ148" s="21" t="s">
        <v>678</v>
      </c>
    </row>
    <row r="149" spans="4:6" ht="12.75">
      <c r="D149" s="67" t="s">
        <v>476</v>
      </c>
      <c r="F149" s="14">
        <v>352.5</v>
      </c>
    </row>
    <row r="150" spans="1:43" ht="25.5">
      <c r="A150" s="4" t="s">
        <v>76</v>
      </c>
      <c r="B150" s="4" t="s">
        <v>189</v>
      </c>
      <c r="C150" s="4" t="s">
        <v>258</v>
      </c>
      <c r="D150" s="66" t="s">
        <v>480</v>
      </c>
      <c r="E150" s="4" t="s">
        <v>617</v>
      </c>
      <c r="F150" s="13">
        <v>912</v>
      </c>
      <c r="G150" s="13">
        <v>0</v>
      </c>
      <c r="H150" s="13">
        <f>ROUND(F150*AE150,2)</f>
        <v>0</v>
      </c>
      <c r="I150" s="13">
        <f>J150-H150</f>
        <v>0</v>
      </c>
      <c r="J150" s="13">
        <f>ROUND(F150*G150,2)</f>
        <v>0</v>
      </c>
      <c r="K150" s="13">
        <v>0.20164</v>
      </c>
      <c r="L150" s="13">
        <f>F150*K150</f>
        <v>183.89568</v>
      </c>
      <c r="M150" s="24" t="s">
        <v>641</v>
      </c>
      <c r="N150" s="24" t="s">
        <v>6</v>
      </c>
      <c r="O150" s="13">
        <f>IF(N150="5",I150,0)</f>
        <v>0</v>
      </c>
      <c r="Z150" s="13">
        <f>IF(AD150=0,J150,0)</f>
        <v>0</v>
      </c>
      <c r="AA150" s="13">
        <f>IF(AD150=15,J150,0)</f>
        <v>0</v>
      </c>
      <c r="AB150" s="13">
        <f>IF(AD150=21,J150,0)</f>
        <v>0</v>
      </c>
      <c r="AD150" s="28">
        <v>21</v>
      </c>
      <c r="AE150" s="28">
        <f>G150*0.783654485049834</f>
        <v>0</v>
      </c>
      <c r="AF150" s="28">
        <f>G150*(1-0.783654485049834)</f>
        <v>0</v>
      </c>
      <c r="AM150" s="28">
        <f>F150*AE150</f>
        <v>0</v>
      </c>
      <c r="AN150" s="28">
        <f>F150*AF150</f>
        <v>0</v>
      </c>
      <c r="AO150" s="29" t="s">
        <v>661</v>
      </c>
      <c r="AP150" s="29" t="s">
        <v>672</v>
      </c>
      <c r="AQ150" s="21" t="s">
        <v>678</v>
      </c>
    </row>
    <row r="151" spans="4:6" ht="12.75">
      <c r="D151" s="67" t="s">
        <v>481</v>
      </c>
      <c r="F151" s="14">
        <v>912</v>
      </c>
    </row>
    <row r="152" spans="1:43" ht="25.5">
      <c r="A152" s="4" t="s">
        <v>77</v>
      </c>
      <c r="B152" s="4" t="s">
        <v>189</v>
      </c>
      <c r="C152" s="4" t="s">
        <v>258</v>
      </c>
      <c r="D152" s="66" t="s">
        <v>482</v>
      </c>
      <c r="E152" s="4" t="s">
        <v>617</v>
      </c>
      <c r="F152" s="13">
        <v>1722</v>
      </c>
      <c r="G152" s="13">
        <v>0</v>
      </c>
      <c r="H152" s="13">
        <f>ROUND(F152*AE152,2)</f>
        <v>0</v>
      </c>
      <c r="I152" s="13">
        <f>J152-H152</f>
        <v>0</v>
      </c>
      <c r="J152" s="13">
        <f>ROUND(F152*G152,2)</f>
        <v>0</v>
      </c>
      <c r="K152" s="13">
        <v>0.20164</v>
      </c>
      <c r="L152" s="13">
        <f>F152*K152</f>
        <v>347.22408</v>
      </c>
      <c r="M152" s="24" t="s">
        <v>641</v>
      </c>
      <c r="N152" s="24" t="s">
        <v>6</v>
      </c>
      <c r="O152" s="13">
        <f>IF(N152="5",I152,0)</f>
        <v>0</v>
      </c>
      <c r="Z152" s="13">
        <f>IF(AD152=0,J152,0)</f>
        <v>0</v>
      </c>
      <c r="AA152" s="13">
        <f>IF(AD152=15,J152,0)</f>
        <v>0</v>
      </c>
      <c r="AB152" s="13">
        <f>IF(AD152=21,J152,0)</f>
        <v>0</v>
      </c>
      <c r="AD152" s="28">
        <v>21</v>
      </c>
      <c r="AE152" s="28">
        <f>G152*0.783654485049834</f>
        <v>0</v>
      </c>
      <c r="AF152" s="28">
        <f>G152*(1-0.783654485049834)</f>
        <v>0</v>
      </c>
      <c r="AM152" s="28">
        <f>F152*AE152</f>
        <v>0</v>
      </c>
      <c r="AN152" s="28">
        <f>F152*AF152</f>
        <v>0</v>
      </c>
      <c r="AO152" s="29" t="s">
        <v>661</v>
      </c>
      <c r="AP152" s="29" t="s">
        <v>672</v>
      </c>
      <c r="AQ152" s="21" t="s">
        <v>678</v>
      </c>
    </row>
    <row r="153" spans="4:6" ht="12.75">
      <c r="D153" s="67" t="s">
        <v>483</v>
      </c>
      <c r="F153" s="14">
        <v>1722</v>
      </c>
    </row>
    <row r="154" spans="1:43" ht="12.75">
      <c r="A154" s="4" t="s">
        <v>78</v>
      </c>
      <c r="B154" s="4" t="s">
        <v>189</v>
      </c>
      <c r="C154" s="4" t="s">
        <v>259</v>
      </c>
      <c r="D154" s="66" t="s">
        <v>484</v>
      </c>
      <c r="E154" s="4" t="s">
        <v>613</v>
      </c>
      <c r="F154" s="13">
        <v>260.85</v>
      </c>
      <c r="G154" s="13">
        <v>0</v>
      </c>
      <c r="H154" s="13">
        <f>ROUND(F154*AE154,2)</f>
        <v>0</v>
      </c>
      <c r="I154" s="13">
        <f>J154-H154</f>
        <v>0</v>
      </c>
      <c r="J154" s="13">
        <f>ROUND(F154*G154,2)</f>
        <v>0</v>
      </c>
      <c r="K154" s="13">
        <v>2.525</v>
      </c>
      <c r="L154" s="13">
        <f>F154*K154</f>
        <v>658.64625</v>
      </c>
      <c r="M154" s="24" t="s">
        <v>641</v>
      </c>
      <c r="N154" s="24" t="s">
        <v>6</v>
      </c>
      <c r="O154" s="13">
        <f>IF(N154="5",I154,0)</f>
        <v>0</v>
      </c>
      <c r="Z154" s="13">
        <f>IF(AD154=0,J154,0)</f>
        <v>0</v>
      </c>
      <c r="AA154" s="13">
        <f>IF(AD154=15,J154,0)</f>
        <v>0</v>
      </c>
      <c r="AB154" s="13">
        <f>IF(AD154=21,J154,0)</f>
        <v>0</v>
      </c>
      <c r="AD154" s="28">
        <v>21</v>
      </c>
      <c r="AE154" s="28">
        <f>G154*0.848015779092702</f>
        <v>0</v>
      </c>
      <c r="AF154" s="28">
        <f>G154*(1-0.848015779092702)</f>
        <v>0</v>
      </c>
      <c r="AM154" s="28">
        <f>F154*AE154</f>
        <v>0</v>
      </c>
      <c r="AN154" s="28">
        <f>F154*AF154</f>
        <v>0</v>
      </c>
      <c r="AO154" s="29" t="s">
        <v>661</v>
      </c>
      <c r="AP154" s="29" t="s">
        <v>672</v>
      </c>
      <c r="AQ154" s="21" t="s">
        <v>678</v>
      </c>
    </row>
    <row r="155" spans="4:6" ht="12.75">
      <c r="D155" s="67" t="s">
        <v>485</v>
      </c>
      <c r="F155" s="14">
        <v>260.85</v>
      </c>
    </row>
    <row r="156" spans="1:43" ht="12.75">
      <c r="A156" s="5" t="s">
        <v>79</v>
      </c>
      <c r="B156" s="5" t="s">
        <v>189</v>
      </c>
      <c r="C156" s="5" t="s">
        <v>260</v>
      </c>
      <c r="D156" s="68" t="s">
        <v>486</v>
      </c>
      <c r="E156" s="5" t="s">
        <v>614</v>
      </c>
      <c r="F156" s="15">
        <v>1</v>
      </c>
      <c r="G156" s="15">
        <v>0</v>
      </c>
      <c r="H156" s="15">
        <f aca="true" t="shared" si="34" ref="H156:H163">ROUND(F156*AE156,2)</f>
        <v>0</v>
      </c>
      <c r="I156" s="15">
        <f aca="true" t="shared" si="35" ref="I156:I163">J156-H156</f>
        <v>0</v>
      </c>
      <c r="J156" s="15">
        <f aca="true" t="shared" si="36" ref="J156:J163">ROUND(F156*G156,2)</f>
        <v>0</v>
      </c>
      <c r="K156" s="15">
        <v>0.0051</v>
      </c>
      <c r="L156" s="15">
        <f aca="true" t="shared" si="37" ref="L156:L163">F156*K156</f>
        <v>0.0051</v>
      </c>
      <c r="M156" s="25" t="s">
        <v>641</v>
      </c>
      <c r="N156" s="25" t="s">
        <v>643</v>
      </c>
      <c r="O156" s="15">
        <f aca="true" t="shared" si="38" ref="O156:O163">IF(N156="5",I156,0)</f>
        <v>0</v>
      </c>
      <c r="Z156" s="15">
        <f aca="true" t="shared" si="39" ref="Z156:Z163">IF(AD156=0,J156,0)</f>
        <v>0</v>
      </c>
      <c r="AA156" s="15">
        <f aca="true" t="shared" si="40" ref="AA156:AA163">IF(AD156=15,J156,0)</f>
        <v>0</v>
      </c>
      <c r="AB156" s="15">
        <f aca="true" t="shared" si="41" ref="AB156:AB163">IF(AD156=21,J156,0)</f>
        <v>0</v>
      </c>
      <c r="AD156" s="28">
        <v>21</v>
      </c>
      <c r="AE156" s="28">
        <f aca="true" t="shared" si="42" ref="AE156:AE163">G156*1</f>
        <v>0</v>
      </c>
      <c r="AF156" s="28">
        <f aca="true" t="shared" si="43" ref="AF156:AF163">G156*(1-1)</f>
        <v>0</v>
      </c>
      <c r="AM156" s="28">
        <f aca="true" t="shared" si="44" ref="AM156:AM163">F156*AE156</f>
        <v>0</v>
      </c>
      <c r="AN156" s="28">
        <f aca="true" t="shared" si="45" ref="AN156:AN163">F156*AF156</f>
        <v>0</v>
      </c>
      <c r="AO156" s="29" t="s">
        <v>661</v>
      </c>
      <c r="AP156" s="29" t="s">
        <v>672</v>
      </c>
      <c r="AQ156" s="21" t="s">
        <v>678</v>
      </c>
    </row>
    <row r="157" spans="1:43" ht="12.75">
      <c r="A157" s="5" t="s">
        <v>80</v>
      </c>
      <c r="B157" s="5" t="s">
        <v>189</v>
      </c>
      <c r="C157" s="5" t="s">
        <v>261</v>
      </c>
      <c r="D157" s="68" t="s">
        <v>487</v>
      </c>
      <c r="E157" s="5" t="s">
        <v>614</v>
      </c>
      <c r="F157" s="15">
        <v>10</v>
      </c>
      <c r="G157" s="15">
        <v>0</v>
      </c>
      <c r="H157" s="15">
        <f t="shared" si="34"/>
        <v>0</v>
      </c>
      <c r="I157" s="15">
        <f t="shared" si="35"/>
        <v>0</v>
      </c>
      <c r="J157" s="15">
        <f t="shared" si="36"/>
        <v>0</v>
      </c>
      <c r="K157" s="15">
        <v>0.0051</v>
      </c>
      <c r="L157" s="15">
        <f t="shared" si="37"/>
        <v>0.051000000000000004</v>
      </c>
      <c r="M157" s="25" t="s">
        <v>641</v>
      </c>
      <c r="N157" s="25" t="s">
        <v>643</v>
      </c>
      <c r="O157" s="15">
        <f t="shared" si="38"/>
        <v>0</v>
      </c>
      <c r="Z157" s="15">
        <f t="shared" si="39"/>
        <v>0</v>
      </c>
      <c r="AA157" s="15">
        <f t="shared" si="40"/>
        <v>0</v>
      </c>
      <c r="AB157" s="15">
        <f t="shared" si="41"/>
        <v>0</v>
      </c>
      <c r="AD157" s="28">
        <v>21</v>
      </c>
      <c r="AE157" s="28">
        <f t="shared" si="42"/>
        <v>0</v>
      </c>
      <c r="AF157" s="28">
        <f t="shared" si="43"/>
        <v>0</v>
      </c>
      <c r="AM157" s="28">
        <f t="shared" si="44"/>
        <v>0</v>
      </c>
      <c r="AN157" s="28">
        <f t="shared" si="45"/>
        <v>0</v>
      </c>
      <c r="AO157" s="29" t="s">
        <v>661</v>
      </c>
      <c r="AP157" s="29" t="s">
        <v>672</v>
      </c>
      <c r="AQ157" s="21" t="s">
        <v>678</v>
      </c>
    </row>
    <row r="158" spans="1:43" ht="12.75">
      <c r="A158" s="5" t="s">
        <v>81</v>
      </c>
      <c r="B158" s="5" t="s">
        <v>189</v>
      </c>
      <c r="C158" s="5" t="s">
        <v>262</v>
      </c>
      <c r="D158" s="68" t="s">
        <v>488</v>
      </c>
      <c r="E158" s="5" t="s">
        <v>614</v>
      </c>
      <c r="F158" s="15">
        <v>2</v>
      </c>
      <c r="G158" s="15">
        <v>0</v>
      </c>
      <c r="H158" s="15">
        <f t="shared" si="34"/>
        <v>0</v>
      </c>
      <c r="I158" s="15">
        <f t="shared" si="35"/>
        <v>0</v>
      </c>
      <c r="J158" s="15">
        <f t="shared" si="36"/>
        <v>0</v>
      </c>
      <c r="K158" s="15">
        <v>0.0151</v>
      </c>
      <c r="L158" s="15">
        <f t="shared" si="37"/>
        <v>0.0302</v>
      </c>
      <c r="M158" s="25" t="s">
        <v>641</v>
      </c>
      <c r="N158" s="25" t="s">
        <v>643</v>
      </c>
      <c r="O158" s="15">
        <f t="shared" si="38"/>
        <v>0</v>
      </c>
      <c r="Z158" s="15">
        <f t="shared" si="39"/>
        <v>0</v>
      </c>
      <c r="AA158" s="15">
        <f t="shared" si="40"/>
        <v>0</v>
      </c>
      <c r="AB158" s="15">
        <f t="shared" si="41"/>
        <v>0</v>
      </c>
      <c r="AD158" s="28">
        <v>21</v>
      </c>
      <c r="AE158" s="28">
        <f t="shared" si="42"/>
        <v>0</v>
      </c>
      <c r="AF158" s="28">
        <f t="shared" si="43"/>
        <v>0</v>
      </c>
      <c r="AM158" s="28">
        <f t="shared" si="44"/>
        <v>0</v>
      </c>
      <c r="AN158" s="28">
        <f t="shared" si="45"/>
        <v>0</v>
      </c>
      <c r="AO158" s="29" t="s">
        <v>661</v>
      </c>
      <c r="AP158" s="29" t="s">
        <v>672</v>
      </c>
      <c r="AQ158" s="21" t="s">
        <v>678</v>
      </c>
    </row>
    <row r="159" spans="1:43" ht="12.75">
      <c r="A159" s="5" t="s">
        <v>82</v>
      </c>
      <c r="B159" s="5" t="s">
        <v>189</v>
      </c>
      <c r="C159" s="5" t="s">
        <v>263</v>
      </c>
      <c r="D159" s="68" t="s">
        <v>489</v>
      </c>
      <c r="E159" s="5" t="s">
        <v>614</v>
      </c>
      <c r="F159" s="15">
        <v>15</v>
      </c>
      <c r="G159" s="15">
        <v>0</v>
      </c>
      <c r="H159" s="15">
        <f t="shared" si="34"/>
        <v>0</v>
      </c>
      <c r="I159" s="15">
        <f t="shared" si="35"/>
        <v>0</v>
      </c>
      <c r="J159" s="15">
        <f t="shared" si="36"/>
        <v>0</v>
      </c>
      <c r="K159" s="15">
        <v>0.018</v>
      </c>
      <c r="L159" s="15">
        <f t="shared" si="37"/>
        <v>0.26999999999999996</v>
      </c>
      <c r="M159" s="25" t="s">
        <v>641</v>
      </c>
      <c r="N159" s="25" t="s">
        <v>643</v>
      </c>
      <c r="O159" s="15">
        <f t="shared" si="38"/>
        <v>0</v>
      </c>
      <c r="Z159" s="15">
        <f t="shared" si="39"/>
        <v>0</v>
      </c>
      <c r="AA159" s="15">
        <f t="shared" si="40"/>
        <v>0</v>
      </c>
      <c r="AB159" s="15">
        <f t="shared" si="41"/>
        <v>0</v>
      </c>
      <c r="AD159" s="28">
        <v>21</v>
      </c>
      <c r="AE159" s="28">
        <f t="shared" si="42"/>
        <v>0</v>
      </c>
      <c r="AF159" s="28">
        <f t="shared" si="43"/>
        <v>0</v>
      </c>
      <c r="AM159" s="28">
        <f t="shared" si="44"/>
        <v>0</v>
      </c>
      <c r="AN159" s="28">
        <f t="shared" si="45"/>
        <v>0</v>
      </c>
      <c r="AO159" s="29" t="s">
        <v>661</v>
      </c>
      <c r="AP159" s="29" t="s">
        <v>672</v>
      </c>
      <c r="AQ159" s="21" t="s">
        <v>678</v>
      </c>
    </row>
    <row r="160" spans="1:43" ht="12.75">
      <c r="A160" s="5" t="s">
        <v>83</v>
      </c>
      <c r="B160" s="5" t="s">
        <v>189</v>
      </c>
      <c r="C160" s="5" t="s">
        <v>264</v>
      </c>
      <c r="D160" s="68" t="s">
        <v>490</v>
      </c>
      <c r="E160" s="5" t="s">
        <v>614</v>
      </c>
      <c r="F160" s="15">
        <v>15</v>
      </c>
      <c r="G160" s="15">
        <v>0</v>
      </c>
      <c r="H160" s="15">
        <f t="shared" si="34"/>
        <v>0</v>
      </c>
      <c r="I160" s="15">
        <f t="shared" si="35"/>
        <v>0</v>
      </c>
      <c r="J160" s="15">
        <f t="shared" si="36"/>
        <v>0</v>
      </c>
      <c r="K160" s="15">
        <v>0.018</v>
      </c>
      <c r="L160" s="15">
        <f t="shared" si="37"/>
        <v>0.26999999999999996</v>
      </c>
      <c r="M160" s="25" t="s">
        <v>641</v>
      </c>
      <c r="N160" s="25" t="s">
        <v>643</v>
      </c>
      <c r="O160" s="15">
        <f t="shared" si="38"/>
        <v>0</v>
      </c>
      <c r="Z160" s="15">
        <f t="shared" si="39"/>
        <v>0</v>
      </c>
      <c r="AA160" s="15">
        <f t="shared" si="40"/>
        <v>0</v>
      </c>
      <c r="AB160" s="15">
        <f t="shared" si="41"/>
        <v>0</v>
      </c>
      <c r="AD160" s="28">
        <v>21</v>
      </c>
      <c r="AE160" s="28">
        <f t="shared" si="42"/>
        <v>0</v>
      </c>
      <c r="AF160" s="28">
        <f t="shared" si="43"/>
        <v>0</v>
      </c>
      <c r="AM160" s="28">
        <f t="shared" si="44"/>
        <v>0</v>
      </c>
      <c r="AN160" s="28">
        <f t="shared" si="45"/>
        <v>0</v>
      </c>
      <c r="AO160" s="29" t="s">
        <v>661</v>
      </c>
      <c r="AP160" s="29" t="s">
        <v>672</v>
      </c>
      <c r="AQ160" s="21" t="s">
        <v>678</v>
      </c>
    </row>
    <row r="161" spans="1:43" ht="12.75">
      <c r="A161" s="4" t="s">
        <v>84</v>
      </c>
      <c r="B161" s="4" t="s">
        <v>189</v>
      </c>
      <c r="C161" s="4" t="s">
        <v>260</v>
      </c>
      <c r="D161" s="66" t="s">
        <v>491</v>
      </c>
      <c r="E161" s="4" t="s">
        <v>614</v>
      </c>
      <c r="F161" s="13">
        <v>1</v>
      </c>
      <c r="G161" s="13">
        <v>0</v>
      </c>
      <c r="H161" s="13">
        <f t="shared" si="34"/>
        <v>0</v>
      </c>
      <c r="I161" s="13">
        <f t="shared" si="35"/>
        <v>0</v>
      </c>
      <c r="J161" s="13">
        <f t="shared" si="36"/>
        <v>0</v>
      </c>
      <c r="K161" s="13">
        <v>0</v>
      </c>
      <c r="L161" s="13">
        <f t="shared" si="37"/>
        <v>0</v>
      </c>
      <c r="M161" s="24" t="s">
        <v>641</v>
      </c>
      <c r="N161" s="24" t="s">
        <v>6</v>
      </c>
      <c r="O161" s="13">
        <f t="shared" si="38"/>
        <v>0</v>
      </c>
      <c r="Z161" s="13">
        <f t="shared" si="39"/>
        <v>0</v>
      </c>
      <c r="AA161" s="13">
        <f t="shared" si="40"/>
        <v>0</v>
      </c>
      <c r="AB161" s="13">
        <f t="shared" si="41"/>
        <v>0</v>
      </c>
      <c r="AD161" s="28">
        <v>21</v>
      </c>
      <c r="AE161" s="28">
        <f t="shared" si="42"/>
        <v>0</v>
      </c>
      <c r="AF161" s="28">
        <f t="shared" si="43"/>
        <v>0</v>
      </c>
      <c r="AM161" s="28">
        <f t="shared" si="44"/>
        <v>0</v>
      </c>
      <c r="AN161" s="28">
        <f t="shared" si="45"/>
        <v>0</v>
      </c>
      <c r="AO161" s="29" t="s">
        <v>661</v>
      </c>
      <c r="AP161" s="29" t="s">
        <v>672</v>
      </c>
      <c r="AQ161" s="21" t="s">
        <v>678</v>
      </c>
    </row>
    <row r="162" spans="1:43" ht="12.75">
      <c r="A162" s="4" t="s">
        <v>85</v>
      </c>
      <c r="B162" s="4" t="s">
        <v>189</v>
      </c>
      <c r="C162" s="4" t="s">
        <v>261</v>
      </c>
      <c r="D162" s="66" t="s">
        <v>492</v>
      </c>
      <c r="E162" s="4" t="s">
        <v>614</v>
      </c>
      <c r="F162" s="13">
        <v>1</v>
      </c>
      <c r="G162" s="13">
        <v>0</v>
      </c>
      <c r="H162" s="13">
        <f t="shared" si="34"/>
        <v>0</v>
      </c>
      <c r="I162" s="13">
        <f t="shared" si="35"/>
        <v>0</v>
      </c>
      <c r="J162" s="13">
        <f t="shared" si="36"/>
        <v>0</v>
      </c>
      <c r="K162" s="13">
        <v>0</v>
      </c>
      <c r="L162" s="13">
        <f t="shared" si="37"/>
        <v>0</v>
      </c>
      <c r="M162" s="24" t="s">
        <v>641</v>
      </c>
      <c r="N162" s="24" t="s">
        <v>6</v>
      </c>
      <c r="O162" s="13">
        <f t="shared" si="38"/>
        <v>0</v>
      </c>
      <c r="Z162" s="13">
        <f t="shared" si="39"/>
        <v>0</v>
      </c>
      <c r="AA162" s="13">
        <f t="shared" si="40"/>
        <v>0</v>
      </c>
      <c r="AB162" s="13">
        <f t="shared" si="41"/>
        <v>0</v>
      </c>
      <c r="AD162" s="28">
        <v>21</v>
      </c>
      <c r="AE162" s="28">
        <f t="shared" si="42"/>
        <v>0</v>
      </c>
      <c r="AF162" s="28">
        <f t="shared" si="43"/>
        <v>0</v>
      </c>
      <c r="AM162" s="28">
        <f t="shared" si="44"/>
        <v>0</v>
      </c>
      <c r="AN162" s="28">
        <f t="shared" si="45"/>
        <v>0</v>
      </c>
      <c r="AO162" s="29" t="s">
        <v>661</v>
      </c>
      <c r="AP162" s="29" t="s">
        <v>672</v>
      </c>
      <c r="AQ162" s="21" t="s">
        <v>678</v>
      </c>
    </row>
    <row r="163" spans="1:43" ht="12.75">
      <c r="A163" s="5" t="s">
        <v>86</v>
      </c>
      <c r="B163" s="5" t="s">
        <v>189</v>
      </c>
      <c r="C163" s="5" t="s">
        <v>265</v>
      </c>
      <c r="D163" s="68" t="s">
        <v>493</v>
      </c>
      <c r="E163" s="5" t="s">
        <v>614</v>
      </c>
      <c r="F163" s="15">
        <v>1705.05</v>
      </c>
      <c r="G163" s="15">
        <v>0</v>
      </c>
      <c r="H163" s="15">
        <f t="shared" si="34"/>
        <v>0</v>
      </c>
      <c r="I163" s="15">
        <f t="shared" si="35"/>
        <v>0</v>
      </c>
      <c r="J163" s="15">
        <f t="shared" si="36"/>
        <v>0</v>
      </c>
      <c r="K163" s="15">
        <v>0.027</v>
      </c>
      <c r="L163" s="15">
        <f t="shared" si="37"/>
        <v>46.03635</v>
      </c>
      <c r="M163" s="25" t="s">
        <v>641</v>
      </c>
      <c r="N163" s="25" t="s">
        <v>643</v>
      </c>
      <c r="O163" s="15">
        <f t="shared" si="38"/>
        <v>0</v>
      </c>
      <c r="Z163" s="15">
        <f t="shared" si="39"/>
        <v>0</v>
      </c>
      <c r="AA163" s="15">
        <f t="shared" si="40"/>
        <v>0</v>
      </c>
      <c r="AB163" s="15">
        <f t="shared" si="41"/>
        <v>0</v>
      </c>
      <c r="AD163" s="28">
        <v>21</v>
      </c>
      <c r="AE163" s="28">
        <f t="shared" si="42"/>
        <v>0</v>
      </c>
      <c r="AF163" s="28">
        <f t="shared" si="43"/>
        <v>0</v>
      </c>
      <c r="AM163" s="28">
        <f t="shared" si="44"/>
        <v>0</v>
      </c>
      <c r="AN163" s="28">
        <f t="shared" si="45"/>
        <v>0</v>
      </c>
      <c r="AO163" s="29" t="s">
        <v>661</v>
      </c>
      <c r="AP163" s="29" t="s">
        <v>672</v>
      </c>
      <c r="AQ163" s="21" t="s">
        <v>678</v>
      </c>
    </row>
    <row r="164" spans="4:6" ht="12.75">
      <c r="D164" s="67" t="s">
        <v>494</v>
      </c>
      <c r="F164" s="14">
        <v>1688</v>
      </c>
    </row>
    <row r="165" spans="4:6" ht="12.75">
      <c r="D165" s="67" t="s">
        <v>495</v>
      </c>
      <c r="F165" s="14">
        <v>17.05</v>
      </c>
    </row>
    <row r="166" spans="1:37" ht="12.75">
      <c r="A166" s="3"/>
      <c r="B166" s="10" t="s">
        <v>189</v>
      </c>
      <c r="C166" s="10" t="s">
        <v>101</v>
      </c>
      <c r="D166" s="114" t="s">
        <v>496</v>
      </c>
      <c r="E166" s="115"/>
      <c r="F166" s="115"/>
      <c r="G166" s="115"/>
      <c r="H166" s="30">
        <f>SUM(H167:H195)</f>
        <v>0</v>
      </c>
      <c r="I166" s="30">
        <f>SUM(I167:I195)</f>
        <v>0</v>
      </c>
      <c r="J166" s="30">
        <f>H166+I166</f>
        <v>0</v>
      </c>
      <c r="K166" s="21"/>
      <c r="L166" s="30">
        <f>SUM(L167:L195)</f>
        <v>3570.4478</v>
      </c>
      <c r="M166" s="21"/>
      <c r="P166" s="30">
        <f>IF(Q166="PR",J166,SUM(O167:O195))</f>
        <v>0</v>
      </c>
      <c r="Q166" s="21" t="s">
        <v>646</v>
      </c>
      <c r="R166" s="30">
        <f>IF(Q166="HS",H166,0)</f>
        <v>0</v>
      </c>
      <c r="S166" s="30">
        <f>IF(Q166="HS",I166-P166,0)</f>
        <v>0</v>
      </c>
      <c r="T166" s="30">
        <f>IF(Q166="PS",H166,0)</f>
        <v>0</v>
      </c>
      <c r="U166" s="30">
        <f>IF(Q166="PS",I166-P166,0)</f>
        <v>0</v>
      </c>
      <c r="V166" s="30">
        <f>IF(Q166="MP",H166,0)</f>
        <v>0</v>
      </c>
      <c r="W166" s="30">
        <f>IF(Q166="MP",I166-P166,0)</f>
        <v>0</v>
      </c>
      <c r="X166" s="30">
        <f>IF(Q166="OM",H166,0)</f>
        <v>0</v>
      </c>
      <c r="Y166" s="21" t="s">
        <v>189</v>
      </c>
      <c r="AI166" s="30">
        <f>SUM(Z167:Z195)</f>
        <v>0</v>
      </c>
      <c r="AJ166" s="30">
        <f>SUM(AA167:AA195)</f>
        <v>0</v>
      </c>
      <c r="AK166" s="30">
        <f>SUM(AB167:AB195)</f>
        <v>0</v>
      </c>
    </row>
    <row r="167" spans="1:43" ht="12.75">
      <c r="A167" s="4" t="s">
        <v>87</v>
      </c>
      <c r="B167" s="4" t="s">
        <v>189</v>
      </c>
      <c r="C167" s="4" t="s">
        <v>266</v>
      </c>
      <c r="D167" s="66" t="s">
        <v>497</v>
      </c>
      <c r="E167" s="4" t="s">
        <v>614</v>
      </c>
      <c r="F167" s="13">
        <v>14</v>
      </c>
      <c r="G167" s="13">
        <v>0</v>
      </c>
      <c r="H167" s="13">
        <f>ROUND(F167*AE167,2)</f>
        <v>0</v>
      </c>
      <c r="I167" s="13">
        <f>J167-H167</f>
        <v>0</v>
      </c>
      <c r="J167" s="13">
        <f>ROUND(F167*G167,2)</f>
        <v>0</v>
      </c>
      <c r="K167" s="13">
        <v>0.082</v>
      </c>
      <c r="L167" s="13">
        <f>F167*K167</f>
        <v>1.1480000000000001</v>
      </c>
      <c r="M167" s="24" t="s">
        <v>641</v>
      </c>
      <c r="N167" s="24" t="s">
        <v>6</v>
      </c>
      <c r="O167" s="13">
        <f>IF(N167="5",I167,0)</f>
        <v>0</v>
      </c>
      <c r="Z167" s="13">
        <f>IF(AD167=0,J167,0)</f>
        <v>0</v>
      </c>
      <c r="AA167" s="13">
        <f>IF(AD167=15,J167,0)</f>
        <v>0</v>
      </c>
      <c r="AB167" s="13">
        <f>IF(AD167=21,J167,0)</f>
        <v>0</v>
      </c>
      <c r="AD167" s="28">
        <v>21</v>
      </c>
      <c r="AE167" s="28">
        <f>G167*0</f>
        <v>0</v>
      </c>
      <c r="AF167" s="28">
        <f>G167*(1-0)</f>
        <v>0</v>
      </c>
      <c r="AM167" s="28">
        <f>F167*AE167</f>
        <v>0</v>
      </c>
      <c r="AN167" s="28">
        <f>F167*AF167</f>
        <v>0</v>
      </c>
      <c r="AO167" s="29" t="s">
        <v>662</v>
      </c>
      <c r="AP167" s="29" t="s">
        <v>672</v>
      </c>
      <c r="AQ167" s="21" t="s">
        <v>678</v>
      </c>
    </row>
    <row r="168" spans="1:43" ht="12.75">
      <c r="A168" s="4" t="s">
        <v>88</v>
      </c>
      <c r="B168" s="4" t="s">
        <v>189</v>
      </c>
      <c r="C168" s="4" t="s">
        <v>267</v>
      </c>
      <c r="D168" s="66" t="s">
        <v>498</v>
      </c>
      <c r="E168" s="4" t="s">
        <v>614</v>
      </c>
      <c r="F168" s="13">
        <v>14</v>
      </c>
      <c r="G168" s="13">
        <v>0</v>
      </c>
      <c r="H168" s="13">
        <f>ROUND(F168*AE168,2)</f>
        <v>0</v>
      </c>
      <c r="I168" s="13">
        <f>J168-H168</f>
        <v>0</v>
      </c>
      <c r="J168" s="13">
        <f>ROUND(F168*G168,2)</f>
        <v>0</v>
      </c>
      <c r="K168" s="13">
        <v>0.004</v>
      </c>
      <c r="L168" s="13">
        <f>F168*K168</f>
        <v>0.056</v>
      </c>
      <c r="M168" s="24" t="s">
        <v>641</v>
      </c>
      <c r="N168" s="24" t="s">
        <v>6</v>
      </c>
      <c r="O168" s="13">
        <f>IF(N168="5",I168,0)</f>
        <v>0</v>
      </c>
      <c r="Z168" s="13">
        <f>IF(AD168=0,J168,0)</f>
        <v>0</v>
      </c>
      <c r="AA168" s="13">
        <f>IF(AD168=15,J168,0)</f>
        <v>0</v>
      </c>
      <c r="AB168" s="13">
        <f>IF(AD168=21,J168,0)</f>
        <v>0</v>
      </c>
      <c r="AD168" s="28">
        <v>21</v>
      </c>
      <c r="AE168" s="28">
        <f>G168*0</f>
        <v>0</v>
      </c>
      <c r="AF168" s="28">
        <f>G168*(1-0)</f>
        <v>0</v>
      </c>
      <c r="AM168" s="28">
        <f>F168*AE168</f>
        <v>0</v>
      </c>
      <c r="AN168" s="28">
        <f>F168*AF168</f>
        <v>0</v>
      </c>
      <c r="AO168" s="29" t="s">
        <v>662</v>
      </c>
      <c r="AP168" s="29" t="s">
        <v>672</v>
      </c>
      <c r="AQ168" s="21" t="s">
        <v>678</v>
      </c>
    </row>
    <row r="169" spans="1:43" ht="12.75">
      <c r="A169" s="4" t="s">
        <v>89</v>
      </c>
      <c r="B169" s="4" t="s">
        <v>189</v>
      </c>
      <c r="C169" s="4" t="s">
        <v>268</v>
      </c>
      <c r="D169" s="66" t="s">
        <v>499</v>
      </c>
      <c r="E169" s="4" t="s">
        <v>616</v>
      </c>
      <c r="F169" s="13">
        <v>2075.6</v>
      </c>
      <c r="G169" s="13">
        <v>0</v>
      </c>
      <c r="H169" s="13">
        <f>ROUND(F169*AE169,2)</f>
        <v>0</v>
      </c>
      <c r="I169" s="13">
        <f>J169-H169</f>
        <v>0</v>
      </c>
      <c r="J169" s="13">
        <f>ROUND(F169*G169,2)</f>
        <v>0</v>
      </c>
      <c r="K169" s="13">
        <v>0.138</v>
      </c>
      <c r="L169" s="13">
        <f>F169*K169</f>
        <v>286.4328</v>
      </c>
      <c r="M169" s="24" t="s">
        <v>641</v>
      </c>
      <c r="N169" s="24" t="s">
        <v>6</v>
      </c>
      <c r="O169" s="13">
        <f>IF(N169="5",I169,0)</f>
        <v>0</v>
      </c>
      <c r="Z169" s="13">
        <f>IF(AD169=0,J169,0)</f>
        <v>0</v>
      </c>
      <c r="AA169" s="13">
        <f>IF(AD169=15,J169,0)</f>
        <v>0</v>
      </c>
      <c r="AB169" s="13">
        <f>IF(AD169=21,J169,0)</f>
        <v>0</v>
      </c>
      <c r="AD169" s="28">
        <v>21</v>
      </c>
      <c r="AE169" s="28">
        <f>G169*0</f>
        <v>0</v>
      </c>
      <c r="AF169" s="28">
        <f>G169*(1-0)</f>
        <v>0</v>
      </c>
      <c r="AM169" s="28">
        <f>F169*AE169</f>
        <v>0</v>
      </c>
      <c r="AN169" s="28">
        <f>F169*AF169</f>
        <v>0</v>
      </c>
      <c r="AO169" s="29" t="s">
        <v>662</v>
      </c>
      <c r="AP169" s="29" t="s">
        <v>672</v>
      </c>
      <c r="AQ169" s="21" t="s">
        <v>678</v>
      </c>
    </row>
    <row r="170" spans="4:6" ht="12.75">
      <c r="D170" s="67" t="s">
        <v>500</v>
      </c>
      <c r="F170" s="14">
        <v>2075.6</v>
      </c>
    </row>
    <row r="171" spans="1:43" ht="12.75">
      <c r="A171" s="4" t="s">
        <v>90</v>
      </c>
      <c r="B171" s="4" t="s">
        <v>189</v>
      </c>
      <c r="C171" s="4" t="s">
        <v>269</v>
      </c>
      <c r="D171" s="66" t="s">
        <v>501</v>
      </c>
      <c r="E171" s="4" t="s">
        <v>616</v>
      </c>
      <c r="F171" s="13">
        <v>2075.6</v>
      </c>
      <c r="G171" s="13">
        <v>0</v>
      </c>
      <c r="H171" s="13">
        <f>ROUND(F171*AE171,2)</f>
        <v>0</v>
      </c>
      <c r="I171" s="13">
        <f>J171-H171</f>
        <v>0</v>
      </c>
      <c r="J171" s="13">
        <f>ROUND(F171*G171,2)</f>
        <v>0</v>
      </c>
      <c r="K171" s="13">
        <v>0.24</v>
      </c>
      <c r="L171" s="13">
        <f>F171*K171</f>
        <v>498.14399999999995</v>
      </c>
      <c r="M171" s="24" t="s">
        <v>641</v>
      </c>
      <c r="N171" s="24" t="s">
        <v>6</v>
      </c>
      <c r="O171" s="13">
        <f>IF(N171="5",I171,0)</f>
        <v>0</v>
      </c>
      <c r="Z171" s="13">
        <f>IF(AD171=0,J171,0)</f>
        <v>0</v>
      </c>
      <c r="AA171" s="13">
        <f>IF(AD171=15,J171,0)</f>
        <v>0</v>
      </c>
      <c r="AB171" s="13">
        <f>IF(AD171=21,J171,0)</f>
        <v>0</v>
      </c>
      <c r="AD171" s="28">
        <v>21</v>
      </c>
      <c r="AE171" s="28">
        <f>G171*0</f>
        <v>0</v>
      </c>
      <c r="AF171" s="28">
        <f>G171*(1-0)</f>
        <v>0</v>
      </c>
      <c r="AM171" s="28">
        <f>F171*AE171</f>
        <v>0</v>
      </c>
      <c r="AN171" s="28">
        <f>F171*AF171</f>
        <v>0</v>
      </c>
      <c r="AO171" s="29" t="s">
        <v>662</v>
      </c>
      <c r="AP171" s="29" t="s">
        <v>672</v>
      </c>
      <c r="AQ171" s="21" t="s">
        <v>678</v>
      </c>
    </row>
    <row r="172" spans="4:6" ht="12.75">
      <c r="D172" s="67" t="s">
        <v>500</v>
      </c>
      <c r="F172" s="14">
        <v>2075.6</v>
      </c>
    </row>
    <row r="173" spans="1:43" ht="12.75">
      <c r="A173" s="4" t="s">
        <v>91</v>
      </c>
      <c r="B173" s="4" t="s">
        <v>189</v>
      </c>
      <c r="C173" s="4" t="s">
        <v>269</v>
      </c>
      <c r="D173" s="66" t="s">
        <v>502</v>
      </c>
      <c r="E173" s="4" t="s">
        <v>616</v>
      </c>
      <c r="F173" s="13">
        <v>4052</v>
      </c>
      <c r="G173" s="13">
        <v>0</v>
      </c>
      <c r="H173" s="13">
        <f>ROUND(F173*AE173,2)</f>
        <v>0</v>
      </c>
      <c r="I173" s="13">
        <f>J173-H173</f>
        <v>0</v>
      </c>
      <c r="J173" s="13">
        <f>ROUND(F173*G173,2)</f>
        <v>0</v>
      </c>
      <c r="K173" s="13">
        <v>0.24</v>
      </c>
      <c r="L173" s="13">
        <f>F173*K173</f>
        <v>972.48</v>
      </c>
      <c r="M173" s="24" t="s">
        <v>641</v>
      </c>
      <c r="N173" s="24" t="s">
        <v>6</v>
      </c>
      <c r="O173" s="13">
        <f>IF(N173="5",I173,0)</f>
        <v>0</v>
      </c>
      <c r="Z173" s="13">
        <f>IF(AD173=0,J173,0)</f>
        <v>0</v>
      </c>
      <c r="AA173" s="13">
        <f>IF(AD173=15,J173,0)</f>
        <v>0</v>
      </c>
      <c r="AB173" s="13">
        <f>IF(AD173=21,J173,0)</f>
        <v>0</v>
      </c>
      <c r="AD173" s="28">
        <v>21</v>
      </c>
      <c r="AE173" s="28">
        <f>G173*0</f>
        <v>0</v>
      </c>
      <c r="AF173" s="28">
        <f>G173*(1-0)</f>
        <v>0</v>
      </c>
      <c r="AM173" s="28">
        <f>F173*AE173</f>
        <v>0</v>
      </c>
      <c r="AN173" s="28">
        <f>F173*AF173</f>
        <v>0</v>
      </c>
      <c r="AO173" s="29" t="s">
        <v>662</v>
      </c>
      <c r="AP173" s="29" t="s">
        <v>672</v>
      </c>
      <c r="AQ173" s="21" t="s">
        <v>678</v>
      </c>
    </row>
    <row r="174" spans="1:43" ht="12.75">
      <c r="A174" s="4" t="s">
        <v>92</v>
      </c>
      <c r="B174" s="4" t="s">
        <v>189</v>
      </c>
      <c r="C174" s="4" t="s">
        <v>270</v>
      </c>
      <c r="D174" s="66" t="s">
        <v>503</v>
      </c>
      <c r="E174" s="4" t="s">
        <v>616</v>
      </c>
      <c r="F174" s="13">
        <v>4052</v>
      </c>
      <c r="G174" s="13">
        <v>0</v>
      </c>
      <c r="H174" s="13">
        <f>ROUND(F174*AE174,2)</f>
        <v>0</v>
      </c>
      <c r="I174" s="13">
        <f>J174-H174</f>
        <v>0</v>
      </c>
      <c r="J174" s="13">
        <f>ROUND(F174*G174,2)</f>
        <v>0</v>
      </c>
      <c r="K174" s="13">
        <v>0.181</v>
      </c>
      <c r="L174" s="13">
        <f>F174*K174</f>
        <v>733.4119999999999</v>
      </c>
      <c r="M174" s="24" t="s">
        <v>641</v>
      </c>
      <c r="N174" s="24" t="s">
        <v>6</v>
      </c>
      <c r="O174" s="13">
        <f>IF(N174="5",I174,0)</f>
        <v>0</v>
      </c>
      <c r="Z174" s="13">
        <f>IF(AD174=0,J174,0)</f>
        <v>0</v>
      </c>
      <c r="AA174" s="13">
        <f>IF(AD174=15,J174,0)</f>
        <v>0</v>
      </c>
      <c r="AB174" s="13">
        <f>IF(AD174=21,J174,0)</f>
        <v>0</v>
      </c>
      <c r="AD174" s="28">
        <v>21</v>
      </c>
      <c r="AE174" s="28">
        <f>G174*0</f>
        <v>0</v>
      </c>
      <c r="AF174" s="28">
        <f>G174*(1-0)</f>
        <v>0</v>
      </c>
      <c r="AM174" s="28">
        <f>F174*AE174</f>
        <v>0</v>
      </c>
      <c r="AN174" s="28">
        <f>F174*AF174</f>
        <v>0</v>
      </c>
      <c r="AO174" s="29" t="s">
        <v>662</v>
      </c>
      <c r="AP174" s="29" t="s">
        <v>672</v>
      </c>
      <c r="AQ174" s="21" t="s">
        <v>678</v>
      </c>
    </row>
    <row r="175" spans="1:43" ht="12.75">
      <c r="A175" s="4" t="s">
        <v>93</v>
      </c>
      <c r="B175" s="4" t="s">
        <v>189</v>
      </c>
      <c r="C175" s="4" t="s">
        <v>271</v>
      </c>
      <c r="D175" s="66" t="s">
        <v>504</v>
      </c>
      <c r="E175" s="4" t="s">
        <v>616</v>
      </c>
      <c r="F175" s="13">
        <v>4052</v>
      </c>
      <c r="G175" s="13">
        <v>0</v>
      </c>
      <c r="H175" s="13">
        <f>ROUND(F175*AE175,2)</f>
        <v>0</v>
      </c>
      <c r="I175" s="13">
        <f>J175-H175</f>
        <v>0</v>
      </c>
      <c r="J175" s="13">
        <f>ROUND(F175*G175,2)</f>
        <v>0</v>
      </c>
      <c r="K175" s="13">
        <v>0.128</v>
      </c>
      <c r="L175" s="13">
        <f>F175*K175</f>
        <v>518.6560000000001</v>
      </c>
      <c r="M175" s="24" t="s">
        <v>641</v>
      </c>
      <c r="N175" s="24" t="s">
        <v>6</v>
      </c>
      <c r="O175" s="13">
        <f>IF(N175="5",I175,0)</f>
        <v>0</v>
      </c>
      <c r="Z175" s="13">
        <f>IF(AD175=0,J175,0)</f>
        <v>0</v>
      </c>
      <c r="AA175" s="13">
        <f>IF(AD175=15,J175,0)</f>
        <v>0</v>
      </c>
      <c r="AB175" s="13">
        <f>IF(AD175=21,J175,0)</f>
        <v>0</v>
      </c>
      <c r="AD175" s="28">
        <v>21</v>
      </c>
      <c r="AE175" s="28">
        <f>G175*0</f>
        <v>0</v>
      </c>
      <c r="AF175" s="28">
        <f>G175*(1-0)</f>
        <v>0</v>
      </c>
      <c r="AM175" s="28">
        <f>F175*AE175</f>
        <v>0</v>
      </c>
      <c r="AN175" s="28">
        <f>F175*AF175</f>
        <v>0</v>
      </c>
      <c r="AO175" s="29" t="s">
        <v>662</v>
      </c>
      <c r="AP175" s="29" t="s">
        <v>672</v>
      </c>
      <c r="AQ175" s="21" t="s">
        <v>678</v>
      </c>
    </row>
    <row r="176" spans="1:43" ht="12.75">
      <c r="A176" s="4" t="s">
        <v>94</v>
      </c>
      <c r="B176" s="4" t="s">
        <v>189</v>
      </c>
      <c r="C176" s="4" t="s">
        <v>272</v>
      </c>
      <c r="D176" s="66" t="s">
        <v>505</v>
      </c>
      <c r="E176" s="4" t="s">
        <v>620</v>
      </c>
      <c r="F176" s="13">
        <v>1252.068</v>
      </c>
      <c r="G176" s="13">
        <v>0</v>
      </c>
      <c r="H176" s="13">
        <f>ROUND(F176*AE176,2)</f>
        <v>0</v>
      </c>
      <c r="I176" s="13">
        <f>J176-H176</f>
        <v>0</v>
      </c>
      <c r="J176" s="13">
        <f>ROUND(F176*G176,2)</f>
        <v>0</v>
      </c>
      <c r="K176" s="13">
        <v>0</v>
      </c>
      <c r="L176" s="13">
        <f>F176*K176</f>
        <v>0</v>
      </c>
      <c r="M176" s="24" t="s">
        <v>641</v>
      </c>
      <c r="N176" s="24" t="s">
        <v>10</v>
      </c>
      <c r="O176" s="13">
        <f>IF(N176="5",I176,0)</f>
        <v>0</v>
      </c>
      <c r="Z176" s="13">
        <f>IF(AD176=0,J176,0)</f>
        <v>0</v>
      </c>
      <c r="AA176" s="13">
        <f>IF(AD176=15,J176,0)</f>
        <v>0</v>
      </c>
      <c r="AB176" s="13">
        <f>IF(AD176=21,J176,0)</f>
        <v>0</v>
      </c>
      <c r="AD176" s="28">
        <v>21</v>
      </c>
      <c r="AE176" s="28">
        <f>G176*0</f>
        <v>0</v>
      </c>
      <c r="AF176" s="28">
        <f>G176*(1-0)</f>
        <v>0</v>
      </c>
      <c r="AM176" s="28">
        <f>F176*AE176</f>
        <v>0</v>
      </c>
      <c r="AN176" s="28">
        <f>F176*AF176</f>
        <v>0</v>
      </c>
      <c r="AO176" s="29" t="s">
        <v>662</v>
      </c>
      <c r="AP176" s="29" t="s">
        <v>672</v>
      </c>
      <c r="AQ176" s="21" t="s">
        <v>678</v>
      </c>
    </row>
    <row r="177" spans="1:43" ht="12.75">
      <c r="A177" s="4" t="s">
        <v>95</v>
      </c>
      <c r="B177" s="4" t="s">
        <v>189</v>
      </c>
      <c r="C177" s="4" t="s">
        <v>273</v>
      </c>
      <c r="D177" s="66" t="s">
        <v>506</v>
      </c>
      <c r="E177" s="4" t="s">
        <v>617</v>
      </c>
      <c r="F177" s="13">
        <v>1829.2</v>
      </c>
      <c r="G177" s="13">
        <v>0</v>
      </c>
      <c r="H177" s="13">
        <f>ROUND(F177*AE177,2)</f>
        <v>0</v>
      </c>
      <c r="I177" s="13">
        <f>J177-H177</f>
        <v>0</v>
      </c>
      <c r="J177" s="13">
        <f>ROUND(F177*G177,2)</f>
        <v>0</v>
      </c>
      <c r="K177" s="13">
        <v>0.23</v>
      </c>
      <c r="L177" s="13">
        <f>F177*K177</f>
        <v>420.716</v>
      </c>
      <c r="M177" s="24" t="s">
        <v>641</v>
      </c>
      <c r="N177" s="24" t="s">
        <v>6</v>
      </c>
      <c r="O177" s="13">
        <f>IF(N177="5",I177,0)</f>
        <v>0</v>
      </c>
      <c r="Z177" s="13">
        <f>IF(AD177=0,J177,0)</f>
        <v>0</v>
      </c>
      <c r="AA177" s="13">
        <f>IF(AD177=15,J177,0)</f>
        <v>0</v>
      </c>
      <c r="AB177" s="13">
        <f>IF(AD177=21,J177,0)</f>
        <v>0</v>
      </c>
      <c r="AD177" s="28">
        <v>21</v>
      </c>
      <c r="AE177" s="28">
        <f>G177*0</f>
        <v>0</v>
      </c>
      <c r="AF177" s="28">
        <f>G177*(1-0)</f>
        <v>0</v>
      </c>
      <c r="AM177" s="28">
        <f>F177*AE177</f>
        <v>0</v>
      </c>
      <c r="AN177" s="28">
        <f>F177*AF177</f>
        <v>0</v>
      </c>
      <c r="AO177" s="29" t="s">
        <v>662</v>
      </c>
      <c r="AP177" s="29" t="s">
        <v>672</v>
      </c>
      <c r="AQ177" s="21" t="s">
        <v>678</v>
      </c>
    </row>
    <row r="178" spans="4:6" ht="12.75">
      <c r="D178" s="67" t="s">
        <v>507</v>
      </c>
      <c r="F178" s="14">
        <v>1829.2</v>
      </c>
    </row>
    <row r="179" spans="1:43" ht="12.75">
      <c r="A179" s="4" t="s">
        <v>96</v>
      </c>
      <c r="B179" s="4" t="s">
        <v>189</v>
      </c>
      <c r="C179" s="4" t="s">
        <v>274</v>
      </c>
      <c r="D179" s="66" t="s">
        <v>508</v>
      </c>
      <c r="E179" s="4" t="s">
        <v>617</v>
      </c>
      <c r="F179" s="13">
        <v>906.5</v>
      </c>
      <c r="G179" s="13">
        <v>0</v>
      </c>
      <c r="H179" s="13">
        <f>ROUND(F179*AE179,2)</f>
        <v>0</v>
      </c>
      <c r="I179" s="13">
        <f>J179-H179</f>
        <v>0</v>
      </c>
      <c r="J179" s="13">
        <f>ROUND(F179*G179,2)</f>
        <v>0</v>
      </c>
      <c r="K179" s="13">
        <v>0.145</v>
      </c>
      <c r="L179" s="13">
        <f>F179*K179</f>
        <v>131.4425</v>
      </c>
      <c r="M179" s="24" t="s">
        <v>641</v>
      </c>
      <c r="N179" s="24" t="s">
        <v>6</v>
      </c>
      <c r="O179" s="13">
        <f>IF(N179="5",I179,0)</f>
        <v>0</v>
      </c>
      <c r="Z179" s="13">
        <f>IF(AD179=0,J179,0)</f>
        <v>0</v>
      </c>
      <c r="AA179" s="13">
        <f>IF(AD179=15,J179,0)</f>
        <v>0</v>
      </c>
      <c r="AB179" s="13">
        <f>IF(AD179=21,J179,0)</f>
        <v>0</v>
      </c>
      <c r="AD179" s="28">
        <v>21</v>
      </c>
      <c r="AE179" s="28">
        <f>G179*0</f>
        <v>0</v>
      </c>
      <c r="AF179" s="28">
        <f>G179*(1-0)</f>
        <v>0</v>
      </c>
      <c r="AM179" s="28">
        <f>F179*AE179</f>
        <v>0</v>
      </c>
      <c r="AN179" s="28">
        <f>F179*AF179</f>
        <v>0</v>
      </c>
      <c r="AO179" s="29" t="s">
        <v>662</v>
      </c>
      <c r="AP179" s="29" t="s">
        <v>672</v>
      </c>
      <c r="AQ179" s="21" t="s">
        <v>678</v>
      </c>
    </row>
    <row r="180" spans="4:6" ht="12.75">
      <c r="D180" s="67" t="s">
        <v>465</v>
      </c>
      <c r="F180" s="14">
        <v>297.35</v>
      </c>
    </row>
    <row r="181" spans="4:6" ht="12.75">
      <c r="D181" s="67" t="s">
        <v>509</v>
      </c>
      <c r="F181" s="14">
        <v>204.8</v>
      </c>
    </row>
    <row r="182" spans="4:6" ht="12.75">
      <c r="D182" s="67" t="s">
        <v>510</v>
      </c>
      <c r="F182" s="14">
        <v>192.45</v>
      </c>
    </row>
    <row r="183" spans="4:6" ht="12.75">
      <c r="D183" s="67" t="s">
        <v>511</v>
      </c>
      <c r="F183" s="14">
        <v>211.9</v>
      </c>
    </row>
    <row r="184" spans="1:43" ht="25.5">
      <c r="A184" s="4" t="s">
        <v>97</v>
      </c>
      <c r="B184" s="4" t="s">
        <v>189</v>
      </c>
      <c r="C184" s="4" t="s">
        <v>274</v>
      </c>
      <c r="D184" s="66" t="s">
        <v>512</v>
      </c>
      <c r="E184" s="4" t="s">
        <v>616</v>
      </c>
      <c r="F184" s="13">
        <v>54.9</v>
      </c>
      <c r="G184" s="13">
        <v>0</v>
      </c>
      <c r="H184" s="13">
        <f>ROUND(F184*AE184,2)</f>
        <v>0</v>
      </c>
      <c r="I184" s="13">
        <f>J184-H184</f>
        <v>0</v>
      </c>
      <c r="J184" s="13">
        <f>ROUND(F184*G184,2)</f>
        <v>0</v>
      </c>
      <c r="K184" s="13">
        <v>0.145</v>
      </c>
      <c r="L184" s="13">
        <f>F184*K184</f>
        <v>7.9605</v>
      </c>
      <c r="M184" s="24" t="s">
        <v>641</v>
      </c>
      <c r="N184" s="24" t="s">
        <v>6</v>
      </c>
      <c r="O184" s="13">
        <f>IF(N184="5",I184,0)</f>
        <v>0</v>
      </c>
      <c r="Z184" s="13">
        <f>IF(AD184=0,J184,0)</f>
        <v>0</v>
      </c>
      <c r="AA184" s="13">
        <f>IF(AD184=15,J184,0)</f>
        <v>0</v>
      </c>
      <c r="AB184" s="13">
        <f>IF(AD184=21,J184,0)</f>
        <v>0</v>
      </c>
      <c r="AD184" s="28">
        <v>21</v>
      </c>
      <c r="AE184" s="28">
        <f>G184*0</f>
        <v>0</v>
      </c>
      <c r="AF184" s="28">
        <f>G184*(1-0)</f>
        <v>0</v>
      </c>
      <c r="AM184" s="28">
        <f>F184*AE184</f>
        <v>0</v>
      </c>
      <c r="AN184" s="28">
        <f>F184*AF184</f>
        <v>0</v>
      </c>
      <c r="AO184" s="29" t="s">
        <v>662</v>
      </c>
      <c r="AP184" s="29" t="s">
        <v>672</v>
      </c>
      <c r="AQ184" s="21" t="s">
        <v>678</v>
      </c>
    </row>
    <row r="185" spans="4:6" ht="12.75">
      <c r="D185" s="67" t="s">
        <v>513</v>
      </c>
      <c r="F185" s="14">
        <v>54.9</v>
      </c>
    </row>
    <row r="186" spans="1:43" ht="12.75">
      <c r="A186" s="4" t="s">
        <v>98</v>
      </c>
      <c r="B186" s="4" t="s">
        <v>189</v>
      </c>
      <c r="C186" s="4" t="s">
        <v>275</v>
      </c>
      <c r="D186" s="66" t="s">
        <v>514</v>
      </c>
      <c r="E186" s="4" t="s">
        <v>613</v>
      </c>
      <c r="F186" s="13">
        <v>106.68</v>
      </c>
      <c r="G186" s="13">
        <v>0</v>
      </c>
      <c r="H186" s="13">
        <f>ROUND(F186*AE186,2)</f>
        <v>0</v>
      </c>
      <c r="I186" s="13">
        <f>J186-H186</f>
        <v>0</v>
      </c>
      <c r="J186" s="13">
        <f>ROUND(F186*G186,2)</f>
        <v>0</v>
      </c>
      <c r="K186" s="13">
        <v>0</v>
      </c>
      <c r="L186" s="13">
        <f>F186*K186</f>
        <v>0</v>
      </c>
      <c r="M186" s="24" t="s">
        <v>641</v>
      </c>
      <c r="N186" s="24" t="s">
        <v>6</v>
      </c>
      <c r="O186" s="13">
        <f>IF(N186="5",I186,0)</f>
        <v>0</v>
      </c>
      <c r="Z186" s="13">
        <f>IF(AD186=0,J186,0)</f>
        <v>0</v>
      </c>
      <c r="AA186" s="13">
        <f>IF(AD186=15,J186,0)</f>
        <v>0</v>
      </c>
      <c r="AB186" s="13">
        <f>IF(AD186=21,J186,0)</f>
        <v>0</v>
      </c>
      <c r="AD186" s="28">
        <v>21</v>
      </c>
      <c r="AE186" s="28">
        <f>G186*0</f>
        <v>0</v>
      </c>
      <c r="AF186" s="28">
        <f>G186*(1-0)</f>
        <v>0</v>
      </c>
      <c r="AM186" s="28">
        <f>F186*AE186</f>
        <v>0</v>
      </c>
      <c r="AN186" s="28">
        <f>F186*AF186</f>
        <v>0</v>
      </c>
      <c r="AO186" s="29" t="s">
        <v>662</v>
      </c>
      <c r="AP186" s="29" t="s">
        <v>672</v>
      </c>
      <c r="AQ186" s="21" t="s">
        <v>678</v>
      </c>
    </row>
    <row r="187" spans="4:6" ht="12.75">
      <c r="D187" s="67" t="s">
        <v>515</v>
      </c>
      <c r="F187" s="14">
        <v>106.68</v>
      </c>
    </row>
    <row r="188" spans="1:43" ht="12.75">
      <c r="A188" s="4" t="s">
        <v>99</v>
      </c>
      <c r="B188" s="4" t="s">
        <v>189</v>
      </c>
      <c r="C188" s="4" t="s">
        <v>276</v>
      </c>
      <c r="D188" s="66" t="s">
        <v>516</v>
      </c>
      <c r="E188" s="4" t="s">
        <v>620</v>
      </c>
      <c r="F188" s="13">
        <v>3570.4478</v>
      </c>
      <c r="G188" s="13">
        <v>0</v>
      </c>
      <c r="H188" s="13">
        <f>ROUND(F188*AE188,2)</f>
        <v>0</v>
      </c>
      <c r="I188" s="13">
        <f>J188-H188</f>
        <v>0</v>
      </c>
      <c r="J188" s="13">
        <f>ROUND(F188*G188,2)</f>
        <v>0</v>
      </c>
      <c r="K188" s="13">
        <v>0</v>
      </c>
      <c r="L188" s="13">
        <f>F188*K188</f>
        <v>0</v>
      </c>
      <c r="M188" s="24" t="s">
        <v>641</v>
      </c>
      <c r="N188" s="24" t="s">
        <v>10</v>
      </c>
      <c r="O188" s="13">
        <f>IF(N188="5",I188,0)</f>
        <v>0</v>
      </c>
      <c r="Z188" s="13">
        <f>IF(AD188=0,J188,0)</f>
        <v>0</v>
      </c>
      <c r="AA188" s="13">
        <f>IF(AD188=15,J188,0)</f>
        <v>0</v>
      </c>
      <c r="AB188" s="13">
        <f>IF(AD188=21,J188,0)</f>
        <v>0</v>
      </c>
      <c r="AD188" s="28">
        <v>21</v>
      </c>
      <c r="AE188" s="28">
        <f>G188*0</f>
        <v>0</v>
      </c>
      <c r="AF188" s="28">
        <f>G188*(1-0)</f>
        <v>0</v>
      </c>
      <c r="AM188" s="28">
        <f>F188*AE188</f>
        <v>0</v>
      </c>
      <c r="AN188" s="28">
        <f>F188*AF188</f>
        <v>0</v>
      </c>
      <c r="AO188" s="29" t="s">
        <v>662</v>
      </c>
      <c r="AP188" s="29" t="s">
        <v>672</v>
      </c>
      <c r="AQ188" s="21" t="s">
        <v>678</v>
      </c>
    </row>
    <row r="189" spans="1:43" ht="12.75">
      <c r="A189" s="4" t="s">
        <v>100</v>
      </c>
      <c r="B189" s="4" t="s">
        <v>189</v>
      </c>
      <c r="C189" s="4" t="s">
        <v>277</v>
      </c>
      <c r="D189" s="66" t="s">
        <v>517</v>
      </c>
      <c r="E189" s="4" t="s">
        <v>620</v>
      </c>
      <c r="F189" s="13">
        <v>24993.13</v>
      </c>
      <c r="G189" s="13">
        <v>0</v>
      </c>
      <c r="H189" s="13">
        <f>ROUND(F189*AE189,2)</f>
        <v>0</v>
      </c>
      <c r="I189" s="13">
        <f>J189-H189</f>
        <v>0</v>
      </c>
      <c r="J189" s="13">
        <f>ROUND(F189*G189,2)</f>
        <v>0</v>
      </c>
      <c r="K189" s="13">
        <v>0</v>
      </c>
      <c r="L189" s="13">
        <f>F189*K189</f>
        <v>0</v>
      </c>
      <c r="M189" s="24" t="s">
        <v>641</v>
      </c>
      <c r="N189" s="24" t="s">
        <v>10</v>
      </c>
      <c r="O189" s="13">
        <f>IF(N189="5",I189,0)</f>
        <v>0</v>
      </c>
      <c r="Z189" s="13">
        <f>IF(AD189=0,J189,0)</f>
        <v>0</v>
      </c>
      <c r="AA189" s="13">
        <f>IF(AD189=15,J189,0)</f>
        <v>0</v>
      </c>
      <c r="AB189" s="13">
        <f>IF(AD189=21,J189,0)</f>
        <v>0</v>
      </c>
      <c r="AD189" s="28">
        <v>21</v>
      </c>
      <c r="AE189" s="28">
        <f>G189*0</f>
        <v>0</v>
      </c>
      <c r="AF189" s="28">
        <f>G189*(1-0)</f>
        <v>0</v>
      </c>
      <c r="AM189" s="28">
        <f>F189*AE189</f>
        <v>0</v>
      </c>
      <c r="AN189" s="28">
        <f>F189*AF189</f>
        <v>0</v>
      </c>
      <c r="AO189" s="29" t="s">
        <v>662</v>
      </c>
      <c r="AP189" s="29" t="s">
        <v>672</v>
      </c>
      <c r="AQ189" s="21" t="s">
        <v>678</v>
      </c>
    </row>
    <row r="190" spans="4:6" ht="12.75">
      <c r="D190" s="67" t="s">
        <v>518</v>
      </c>
      <c r="F190" s="14">
        <v>24993.13</v>
      </c>
    </row>
    <row r="191" spans="1:43" ht="12.75">
      <c r="A191" s="4" t="s">
        <v>101</v>
      </c>
      <c r="B191" s="4" t="s">
        <v>189</v>
      </c>
      <c r="C191" s="4" t="s">
        <v>278</v>
      </c>
      <c r="D191" s="66" t="s">
        <v>519</v>
      </c>
      <c r="E191" s="4" t="s">
        <v>620</v>
      </c>
      <c r="F191" s="13">
        <v>3570.45</v>
      </c>
      <c r="G191" s="13">
        <v>0</v>
      </c>
      <c r="H191" s="13">
        <f>ROUND(F191*AE191,2)</f>
        <v>0</v>
      </c>
      <c r="I191" s="13">
        <f>J191-H191</f>
        <v>0</v>
      </c>
      <c r="J191" s="13">
        <f>ROUND(F191*G191,2)</f>
        <v>0</v>
      </c>
      <c r="K191" s="13">
        <v>0</v>
      </c>
      <c r="L191" s="13">
        <f>F191*K191</f>
        <v>0</v>
      </c>
      <c r="M191" s="24" t="s">
        <v>641</v>
      </c>
      <c r="N191" s="24" t="s">
        <v>10</v>
      </c>
      <c r="O191" s="13">
        <f>IF(N191="5",I191,0)</f>
        <v>0</v>
      </c>
      <c r="Z191" s="13">
        <f>IF(AD191=0,J191,0)</f>
        <v>0</v>
      </c>
      <c r="AA191" s="13">
        <f>IF(AD191=15,J191,0)</f>
        <v>0</v>
      </c>
      <c r="AB191" s="13">
        <f>IF(AD191=21,J191,0)</f>
        <v>0</v>
      </c>
      <c r="AD191" s="28">
        <v>21</v>
      </c>
      <c r="AE191" s="28">
        <f>G191*0</f>
        <v>0</v>
      </c>
      <c r="AF191" s="28">
        <f>G191*(1-0)</f>
        <v>0</v>
      </c>
      <c r="AM191" s="28">
        <f>F191*AE191</f>
        <v>0</v>
      </c>
      <c r="AN191" s="28">
        <f>F191*AF191</f>
        <v>0</v>
      </c>
      <c r="AO191" s="29" t="s">
        <v>662</v>
      </c>
      <c r="AP191" s="29" t="s">
        <v>672</v>
      </c>
      <c r="AQ191" s="21" t="s">
        <v>678</v>
      </c>
    </row>
    <row r="192" spans="4:6" ht="12.75">
      <c r="D192" s="67" t="s">
        <v>520</v>
      </c>
      <c r="F192" s="14">
        <v>3570.45</v>
      </c>
    </row>
    <row r="193" spans="1:43" ht="12.75">
      <c r="A193" s="4" t="s">
        <v>102</v>
      </c>
      <c r="B193" s="4" t="s">
        <v>189</v>
      </c>
      <c r="C193" s="4" t="s">
        <v>279</v>
      </c>
      <c r="D193" s="66" t="s">
        <v>521</v>
      </c>
      <c r="E193" s="4" t="s">
        <v>620</v>
      </c>
      <c r="F193" s="13">
        <v>2318.38</v>
      </c>
      <c r="G193" s="13">
        <v>0</v>
      </c>
      <c r="H193" s="13">
        <f>ROUND(F193*AE193,2)</f>
        <v>0</v>
      </c>
      <c r="I193" s="13">
        <f>J193-H193</f>
        <v>0</v>
      </c>
      <c r="J193" s="13">
        <f>ROUND(F193*G193,2)</f>
        <v>0</v>
      </c>
      <c r="K193" s="13">
        <v>0</v>
      </c>
      <c r="L193" s="13">
        <f>F193*K193</f>
        <v>0</v>
      </c>
      <c r="M193" s="24" t="s">
        <v>641</v>
      </c>
      <c r="N193" s="24" t="s">
        <v>10</v>
      </c>
      <c r="O193" s="13">
        <f>IF(N193="5",I193,0)</f>
        <v>0</v>
      </c>
      <c r="Z193" s="13">
        <f>IF(AD193=0,J193,0)</f>
        <v>0</v>
      </c>
      <c r="AA193" s="13">
        <f>IF(AD193=15,J193,0)</f>
        <v>0</v>
      </c>
      <c r="AB193" s="13">
        <f>IF(AD193=21,J193,0)</f>
        <v>0</v>
      </c>
      <c r="AD193" s="28">
        <v>21</v>
      </c>
      <c r="AE193" s="28">
        <f>G193*0</f>
        <v>0</v>
      </c>
      <c r="AF193" s="28">
        <f>G193*(1-0)</f>
        <v>0</v>
      </c>
      <c r="AM193" s="28">
        <f>F193*AE193</f>
        <v>0</v>
      </c>
      <c r="AN193" s="28">
        <f>F193*AF193</f>
        <v>0</v>
      </c>
      <c r="AO193" s="29" t="s">
        <v>662</v>
      </c>
      <c r="AP193" s="29" t="s">
        <v>672</v>
      </c>
      <c r="AQ193" s="21" t="s">
        <v>678</v>
      </c>
    </row>
    <row r="194" spans="4:6" ht="12.75">
      <c r="D194" s="67" t="s">
        <v>522</v>
      </c>
      <c r="F194" s="14">
        <v>2318.38</v>
      </c>
    </row>
    <row r="195" spans="1:43" ht="12.75">
      <c r="A195" s="4" t="s">
        <v>103</v>
      </c>
      <c r="B195" s="4" t="s">
        <v>189</v>
      </c>
      <c r="C195" s="4" t="s">
        <v>280</v>
      </c>
      <c r="D195" s="66" t="s">
        <v>523</v>
      </c>
      <c r="E195" s="4" t="s">
        <v>620</v>
      </c>
      <c r="F195" s="13">
        <v>1252.07</v>
      </c>
      <c r="G195" s="13">
        <v>0</v>
      </c>
      <c r="H195" s="13">
        <f>ROUND(F195*AE195,2)</f>
        <v>0</v>
      </c>
      <c r="I195" s="13">
        <f>J195-H195</f>
        <v>0</v>
      </c>
      <c r="J195" s="13">
        <f>ROUND(F195*G195,2)</f>
        <v>0</v>
      </c>
      <c r="K195" s="13">
        <v>0</v>
      </c>
      <c r="L195" s="13">
        <f>F195*K195</f>
        <v>0</v>
      </c>
      <c r="M195" s="24" t="s">
        <v>641</v>
      </c>
      <c r="N195" s="24" t="s">
        <v>10</v>
      </c>
      <c r="O195" s="13">
        <f>IF(N195="5",I195,0)</f>
        <v>0</v>
      </c>
      <c r="Z195" s="13">
        <f>IF(AD195=0,J195,0)</f>
        <v>0</v>
      </c>
      <c r="AA195" s="13">
        <f>IF(AD195=15,J195,0)</f>
        <v>0</v>
      </c>
      <c r="AB195" s="13">
        <f>IF(AD195=21,J195,0)</f>
        <v>0</v>
      </c>
      <c r="AD195" s="28">
        <v>21</v>
      </c>
      <c r="AE195" s="28">
        <f>G195*0</f>
        <v>0</v>
      </c>
      <c r="AF195" s="28">
        <f>G195*(1-0)</f>
        <v>0</v>
      </c>
      <c r="AM195" s="28">
        <f>F195*AE195</f>
        <v>0</v>
      </c>
      <c r="AN195" s="28">
        <f>F195*AF195</f>
        <v>0</v>
      </c>
      <c r="AO195" s="29" t="s">
        <v>662</v>
      </c>
      <c r="AP195" s="29" t="s">
        <v>672</v>
      </c>
      <c r="AQ195" s="21" t="s">
        <v>678</v>
      </c>
    </row>
    <row r="196" spans="4:6" ht="12.75">
      <c r="D196" s="67" t="s">
        <v>524</v>
      </c>
      <c r="F196" s="14">
        <v>1252.07</v>
      </c>
    </row>
    <row r="197" spans="1:37" ht="12.75">
      <c r="A197" s="3"/>
      <c r="B197" s="10" t="s">
        <v>189</v>
      </c>
      <c r="C197" s="10" t="s">
        <v>104</v>
      </c>
      <c r="D197" s="114" t="s">
        <v>525</v>
      </c>
      <c r="E197" s="115"/>
      <c r="F197" s="115"/>
      <c r="G197" s="115"/>
      <c r="H197" s="30">
        <f>SUM(H198:H198)</f>
        <v>0</v>
      </c>
      <c r="I197" s="30">
        <f>SUM(I198:I198)</f>
        <v>0</v>
      </c>
      <c r="J197" s="30">
        <f>H197+I197</f>
        <v>0</v>
      </c>
      <c r="K197" s="21"/>
      <c r="L197" s="30">
        <f>SUM(L198:L198)</f>
        <v>0</v>
      </c>
      <c r="M197" s="21"/>
      <c r="P197" s="30">
        <f>IF(Q197="PR",J197,SUM(O198:O198))</f>
        <v>0</v>
      </c>
      <c r="Q197" s="21" t="s">
        <v>646</v>
      </c>
      <c r="R197" s="30">
        <f>IF(Q197="HS",H197,0)</f>
        <v>0</v>
      </c>
      <c r="S197" s="30">
        <f>IF(Q197="HS",I197-P197,0)</f>
        <v>0</v>
      </c>
      <c r="T197" s="30">
        <f>IF(Q197="PS",H197,0)</f>
        <v>0</v>
      </c>
      <c r="U197" s="30">
        <f>IF(Q197="PS",I197-P197,0)</f>
        <v>0</v>
      </c>
      <c r="V197" s="30">
        <f>IF(Q197="MP",H197,0)</f>
        <v>0</v>
      </c>
      <c r="W197" s="30">
        <f>IF(Q197="MP",I197-P197,0)</f>
        <v>0</v>
      </c>
      <c r="X197" s="30">
        <f>IF(Q197="OM",H197,0)</f>
        <v>0</v>
      </c>
      <c r="Y197" s="21" t="s">
        <v>189</v>
      </c>
      <c r="AI197" s="30">
        <f>SUM(Z198:Z198)</f>
        <v>0</v>
      </c>
      <c r="AJ197" s="30">
        <f>SUM(AA198:AA198)</f>
        <v>0</v>
      </c>
      <c r="AK197" s="30">
        <f>SUM(AB198:AB198)</f>
        <v>0</v>
      </c>
    </row>
    <row r="198" spans="1:43" ht="12.75">
      <c r="A198" s="4" t="s">
        <v>104</v>
      </c>
      <c r="B198" s="4" t="s">
        <v>189</v>
      </c>
      <c r="C198" s="4" t="s">
        <v>281</v>
      </c>
      <c r="D198" s="66" t="s">
        <v>525</v>
      </c>
      <c r="E198" s="4" t="s">
        <v>620</v>
      </c>
      <c r="F198" s="13">
        <v>7327.54</v>
      </c>
      <c r="G198" s="13">
        <v>0</v>
      </c>
      <c r="H198" s="13">
        <f>ROUND(F198*AE198,2)</f>
        <v>0</v>
      </c>
      <c r="I198" s="13">
        <f>J198-H198</f>
        <v>0</v>
      </c>
      <c r="J198" s="13">
        <f>ROUND(F198*G198,2)</f>
        <v>0</v>
      </c>
      <c r="K198" s="13">
        <v>0</v>
      </c>
      <c r="L198" s="13">
        <f>F198*K198</f>
        <v>0</v>
      </c>
      <c r="M198" s="24" t="s">
        <v>641</v>
      </c>
      <c r="N198" s="24" t="s">
        <v>10</v>
      </c>
      <c r="O198" s="13">
        <f>IF(N198="5",I198,0)</f>
        <v>0</v>
      </c>
      <c r="Z198" s="13">
        <f>IF(AD198=0,J198,0)</f>
        <v>0</v>
      </c>
      <c r="AA198" s="13">
        <f>IF(AD198=15,J198,0)</f>
        <v>0</v>
      </c>
      <c r="AB198" s="13">
        <f>IF(AD198=21,J198,0)</f>
        <v>0</v>
      </c>
      <c r="AD198" s="28">
        <v>21</v>
      </c>
      <c r="AE198" s="28">
        <f>G198*0</f>
        <v>0</v>
      </c>
      <c r="AF198" s="28">
        <f>G198*(1-0)</f>
        <v>0</v>
      </c>
      <c r="AM198" s="28">
        <f>F198*AE198</f>
        <v>0</v>
      </c>
      <c r="AN198" s="28">
        <f>F198*AF198</f>
        <v>0</v>
      </c>
      <c r="AO198" s="29" t="s">
        <v>663</v>
      </c>
      <c r="AP198" s="29" t="s">
        <v>672</v>
      </c>
      <c r="AQ198" s="21" t="s">
        <v>678</v>
      </c>
    </row>
    <row r="199" spans="1:37" ht="12.75">
      <c r="A199" s="3"/>
      <c r="B199" s="10" t="s">
        <v>189</v>
      </c>
      <c r="C199" s="10" t="s">
        <v>282</v>
      </c>
      <c r="D199" s="114" t="s">
        <v>526</v>
      </c>
      <c r="E199" s="115"/>
      <c r="F199" s="115"/>
      <c r="G199" s="115"/>
      <c r="H199" s="30">
        <f>SUM(H200:H233)</f>
        <v>0</v>
      </c>
      <c r="I199" s="30">
        <f>SUM(I200:I233)</f>
        <v>0</v>
      </c>
      <c r="J199" s="30">
        <f>H199+I199</f>
        <v>0</v>
      </c>
      <c r="K199" s="21"/>
      <c r="L199" s="30">
        <f>SUM(L200:L233)</f>
        <v>0</v>
      </c>
      <c r="M199" s="21"/>
      <c r="P199" s="30">
        <f>IF(Q199="PR",J199,SUM(O200:O233))</f>
        <v>0</v>
      </c>
      <c r="Q199" s="21" t="s">
        <v>646</v>
      </c>
      <c r="R199" s="30">
        <f>IF(Q199="HS",H199,0)</f>
        <v>0</v>
      </c>
      <c r="S199" s="30">
        <f>IF(Q199="HS",I199-P199,0)</f>
        <v>0</v>
      </c>
      <c r="T199" s="30">
        <f>IF(Q199="PS",H199,0)</f>
        <v>0</v>
      </c>
      <c r="U199" s="30">
        <f>IF(Q199="PS",I199-P199,0)</f>
        <v>0</v>
      </c>
      <c r="V199" s="30">
        <f>IF(Q199="MP",H199,0)</f>
        <v>0</v>
      </c>
      <c r="W199" s="30">
        <f>IF(Q199="MP",I199-P199,0)</f>
        <v>0</v>
      </c>
      <c r="X199" s="30">
        <f>IF(Q199="OM",H199,0)</f>
        <v>0</v>
      </c>
      <c r="Y199" s="21" t="s">
        <v>189</v>
      </c>
      <c r="AI199" s="30">
        <f>SUM(Z200:Z233)</f>
        <v>0</v>
      </c>
      <c r="AJ199" s="30">
        <f>SUM(AA200:AA233)</f>
        <v>0</v>
      </c>
      <c r="AK199" s="30">
        <f>SUM(AB200:AB233)</f>
        <v>0</v>
      </c>
    </row>
    <row r="200" spans="1:43" ht="12.75">
      <c r="A200" s="4" t="s">
        <v>105</v>
      </c>
      <c r="B200" s="4" t="s">
        <v>189</v>
      </c>
      <c r="C200" s="4" t="s">
        <v>283</v>
      </c>
      <c r="D200" s="66" t="s">
        <v>527</v>
      </c>
      <c r="E200" s="4" t="s">
        <v>614</v>
      </c>
      <c r="F200" s="13">
        <v>12</v>
      </c>
      <c r="G200" s="13">
        <v>0</v>
      </c>
      <c r="H200" s="13">
        <f>ROUND(F200*AE200,2)</f>
        <v>0</v>
      </c>
      <c r="I200" s="13">
        <f>J200-H200</f>
        <v>0</v>
      </c>
      <c r="J200" s="13">
        <f>ROUND(F200*G200,2)</f>
        <v>0</v>
      </c>
      <c r="K200" s="13">
        <v>0</v>
      </c>
      <c r="L200" s="13">
        <f>F200*K200</f>
        <v>0</v>
      </c>
      <c r="M200" s="24" t="s">
        <v>642</v>
      </c>
      <c r="N200" s="24" t="s">
        <v>6</v>
      </c>
      <c r="O200" s="13">
        <f>IF(N200="5",I200,0)</f>
        <v>0</v>
      </c>
      <c r="Z200" s="13">
        <f>IF(AD200=0,J200,0)</f>
        <v>0</v>
      </c>
      <c r="AA200" s="13">
        <f>IF(AD200=15,J200,0)</f>
        <v>0</v>
      </c>
      <c r="AB200" s="13">
        <f>IF(AD200=21,J200,0)</f>
        <v>0</v>
      </c>
      <c r="AD200" s="28">
        <v>21</v>
      </c>
      <c r="AE200" s="28">
        <f>G200*0</f>
        <v>0</v>
      </c>
      <c r="AF200" s="28">
        <f>G200*(1-0)</f>
        <v>0</v>
      </c>
      <c r="AM200" s="28">
        <f>F200*AE200</f>
        <v>0</v>
      </c>
      <c r="AN200" s="28">
        <f>F200*AF200</f>
        <v>0</v>
      </c>
      <c r="AO200" s="29" t="s">
        <v>664</v>
      </c>
      <c r="AP200" s="29" t="s">
        <v>672</v>
      </c>
      <c r="AQ200" s="21" t="s">
        <v>678</v>
      </c>
    </row>
    <row r="201" spans="4:6" ht="12.75">
      <c r="D201" s="67" t="s">
        <v>17</v>
      </c>
      <c r="F201" s="14">
        <v>12</v>
      </c>
    </row>
    <row r="202" spans="1:43" ht="12.75">
      <c r="A202" s="4" t="s">
        <v>106</v>
      </c>
      <c r="B202" s="4" t="s">
        <v>189</v>
      </c>
      <c r="C202" s="4" t="s">
        <v>284</v>
      </c>
      <c r="D202" s="66" t="s">
        <v>528</v>
      </c>
      <c r="E202" s="4" t="s">
        <v>614</v>
      </c>
      <c r="F202" s="13">
        <v>12</v>
      </c>
      <c r="G202" s="13">
        <v>0</v>
      </c>
      <c r="H202" s="13">
        <f>ROUND(F202*AE202,2)</f>
        <v>0</v>
      </c>
      <c r="I202" s="13">
        <f>J202-H202</f>
        <v>0</v>
      </c>
      <c r="J202" s="13">
        <f>ROUND(F202*G202,2)</f>
        <v>0</v>
      </c>
      <c r="K202" s="13">
        <v>0</v>
      </c>
      <c r="L202" s="13">
        <f>F202*K202</f>
        <v>0</v>
      </c>
      <c r="M202" s="24" t="s">
        <v>642</v>
      </c>
      <c r="N202" s="24" t="s">
        <v>6</v>
      </c>
      <c r="O202" s="13">
        <f>IF(N202="5",I202,0)</f>
        <v>0</v>
      </c>
      <c r="Z202" s="13">
        <f>IF(AD202=0,J202,0)</f>
        <v>0</v>
      </c>
      <c r="AA202" s="13">
        <f>IF(AD202=15,J202,0)</f>
        <v>0</v>
      </c>
      <c r="AB202" s="13">
        <f>IF(AD202=21,J202,0)</f>
        <v>0</v>
      </c>
      <c r="AD202" s="28">
        <v>21</v>
      </c>
      <c r="AE202" s="28">
        <f>G202*0</f>
        <v>0</v>
      </c>
      <c r="AF202" s="28">
        <f>G202*(1-0)</f>
        <v>0</v>
      </c>
      <c r="AM202" s="28">
        <f>F202*AE202</f>
        <v>0</v>
      </c>
      <c r="AN202" s="28">
        <f>F202*AF202</f>
        <v>0</v>
      </c>
      <c r="AO202" s="29" t="s">
        <v>664</v>
      </c>
      <c r="AP202" s="29" t="s">
        <v>672</v>
      </c>
      <c r="AQ202" s="21" t="s">
        <v>678</v>
      </c>
    </row>
    <row r="203" spans="4:6" ht="12.75">
      <c r="D203" s="67" t="s">
        <v>17</v>
      </c>
      <c r="F203" s="14">
        <v>12</v>
      </c>
    </row>
    <row r="204" spans="1:43" ht="25.5">
      <c r="A204" s="5" t="s">
        <v>107</v>
      </c>
      <c r="B204" s="5" t="s">
        <v>189</v>
      </c>
      <c r="C204" s="5" t="s">
        <v>285</v>
      </c>
      <c r="D204" s="93" t="s">
        <v>777</v>
      </c>
      <c r="E204" s="5" t="s">
        <v>614</v>
      </c>
      <c r="F204" s="15">
        <v>12</v>
      </c>
      <c r="G204" s="15">
        <v>0</v>
      </c>
      <c r="H204" s="15">
        <f>ROUND(F204*AE204,2)</f>
        <v>0</v>
      </c>
      <c r="I204" s="15">
        <f>J204-H204</f>
        <v>0</v>
      </c>
      <c r="J204" s="15">
        <f>ROUND(F204*G204,2)</f>
        <v>0</v>
      </c>
      <c r="K204" s="15">
        <v>0</v>
      </c>
      <c r="L204" s="15">
        <f>F204*K204</f>
        <v>0</v>
      </c>
      <c r="M204" s="25" t="s">
        <v>642</v>
      </c>
      <c r="N204" s="25" t="s">
        <v>643</v>
      </c>
      <c r="O204" s="15">
        <f>IF(N204="5",I204,0)</f>
        <v>0</v>
      </c>
      <c r="Z204" s="15">
        <f>IF(AD204=0,J204,0)</f>
        <v>0</v>
      </c>
      <c r="AA204" s="15">
        <f>IF(AD204=15,J204,0)</f>
        <v>0</v>
      </c>
      <c r="AB204" s="15">
        <f>IF(AD204=21,J204,0)</f>
        <v>0</v>
      </c>
      <c r="AD204" s="28">
        <v>21</v>
      </c>
      <c r="AE204" s="28">
        <f>G204*1</f>
        <v>0</v>
      </c>
      <c r="AF204" s="28">
        <f>G204*(1-1)</f>
        <v>0</v>
      </c>
      <c r="AM204" s="28">
        <f>F204*AE204</f>
        <v>0</v>
      </c>
      <c r="AN204" s="28">
        <f>F204*AF204</f>
        <v>0</v>
      </c>
      <c r="AO204" s="29" t="s">
        <v>664</v>
      </c>
      <c r="AP204" s="29" t="s">
        <v>672</v>
      </c>
      <c r="AQ204" s="21" t="s">
        <v>678</v>
      </c>
    </row>
    <row r="205" spans="4:6" ht="12.75">
      <c r="D205" s="67" t="s">
        <v>17</v>
      </c>
      <c r="F205" s="14">
        <v>12</v>
      </c>
    </row>
    <row r="206" spans="1:43" ht="12.75">
      <c r="A206" s="4" t="s">
        <v>108</v>
      </c>
      <c r="B206" s="4" t="s">
        <v>189</v>
      </c>
      <c r="C206" s="4" t="s">
        <v>286</v>
      </c>
      <c r="D206" s="66" t="s">
        <v>529</v>
      </c>
      <c r="E206" s="4" t="s">
        <v>614</v>
      </c>
      <c r="F206" s="13">
        <v>35</v>
      </c>
      <c r="G206" s="13">
        <v>0</v>
      </c>
      <c r="H206" s="13">
        <f>ROUND(F206*AE206,2)</f>
        <v>0</v>
      </c>
      <c r="I206" s="13">
        <f>J206-H206</f>
        <v>0</v>
      </c>
      <c r="J206" s="13">
        <f>ROUND(F206*G206,2)</f>
        <v>0</v>
      </c>
      <c r="K206" s="13">
        <v>0</v>
      </c>
      <c r="L206" s="13">
        <f>F206*K206</f>
        <v>0</v>
      </c>
      <c r="M206" s="24" t="s">
        <v>642</v>
      </c>
      <c r="N206" s="24" t="s">
        <v>6</v>
      </c>
      <c r="O206" s="13">
        <f>IF(N206="5",I206,0)</f>
        <v>0</v>
      </c>
      <c r="Z206" s="13">
        <f>IF(AD206=0,J206,0)</f>
        <v>0</v>
      </c>
      <c r="AA206" s="13">
        <f>IF(AD206=15,J206,0)</f>
        <v>0</v>
      </c>
      <c r="AB206" s="13">
        <f>IF(AD206=21,J206,0)</f>
        <v>0</v>
      </c>
      <c r="AD206" s="28">
        <v>21</v>
      </c>
      <c r="AE206" s="28">
        <f>G206*0</f>
        <v>0</v>
      </c>
      <c r="AF206" s="28">
        <f>G206*(1-0)</f>
        <v>0</v>
      </c>
      <c r="AM206" s="28">
        <f>F206*AE206</f>
        <v>0</v>
      </c>
      <c r="AN206" s="28">
        <f>F206*AF206</f>
        <v>0</v>
      </c>
      <c r="AO206" s="29" t="s">
        <v>664</v>
      </c>
      <c r="AP206" s="29" t="s">
        <v>672</v>
      </c>
      <c r="AQ206" s="21" t="s">
        <v>678</v>
      </c>
    </row>
    <row r="207" spans="4:6" ht="12.75">
      <c r="D207" s="67" t="s">
        <v>40</v>
      </c>
      <c r="F207" s="14">
        <v>35</v>
      </c>
    </row>
    <row r="208" spans="1:43" ht="12.75">
      <c r="A208" s="4" t="s">
        <v>109</v>
      </c>
      <c r="B208" s="4" t="s">
        <v>189</v>
      </c>
      <c r="C208" s="4" t="s">
        <v>287</v>
      </c>
      <c r="D208" s="66" t="s">
        <v>530</v>
      </c>
      <c r="E208" s="4" t="s">
        <v>614</v>
      </c>
      <c r="F208" s="13">
        <v>35</v>
      </c>
      <c r="G208" s="13">
        <v>0</v>
      </c>
      <c r="H208" s="13">
        <f>ROUND(F208*AE208,2)</f>
        <v>0</v>
      </c>
      <c r="I208" s="13">
        <f>J208-H208</f>
        <v>0</v>
      </c>
      <c r="J208" s="13">
        <f>ROUND(F208*G208,2)</f>
        <v>0</v>
      </c>
      <c r="K208" s="13">
        <v>0</v>
      </c>
      <c r="L208" s="13">
        <f>F208*K208</f>
        <v>0</v>
      </c>
      <c r="M208" s="24" t="s">
        <v>642</v>
      </c>
      <c r="N208" s="24" t="s">
        <v>6</v>
      </c>
      <c r="O208" s="13">
        <f>IF(N208="5",I208,0)</f>
        <v>0</v>
      </c>
      <c r="Z208" s="13">
        <f>IF(AD208=0,J208,0)</f>
        <v>0</v>
      </c>
      <c r="AA208" s="13">
        <f>IF(AD208=15,J208,0)</f>
        <v>0</v>
      </c>
      <c r="AB208" s="13">
        <f>IF(AD208=21,J208,0)</f>
        <v>0</v>
      </c>
      <c r="AD208" s="28">
        <v>21</v>
      </c>
      <c r="AE208" s="28">
        <f>G208*0</f>
        <v>0</v>
      </c>
      <c r="AF208" s="28">
        <f>G208*(1-0)</f>
        <v>0</v>
      </c>
      <c r="AM208" s="28">
        <f>F208*AE208</f>
        <v>0</v>
      </c>
      <c r="AN208" s="28">
        <f>F208*AF208</f>
        <v>0</v>
      </c>
      <c r="AO208" s="29" t="s">
        <v>664</v>
      </c>
      <c r="AP208" s="29" t="s">
        <v>672</v>
      </c>
      <c r="AQ208" s="21" t="s">
        <v>678</v>
      </c>
    </row>
    <row r="209" spans="4:6" ht="12.75">
      <c r="D209" s="67" t="s">
        <v>40</v>
      </c>
      <c r="F209" s="14">
        <v>35</v>
      </c>
    </row>
    <row r="210" spans="1:43" ht="12.75">
      <c r="A210" s="5" t="s">
        <v>110</v>
      </c>
      <c r="B210" s="5" t="s">
        <v>189</v>
      </c>
      <c r="C210" s="5" t="s">
        <v>288</v>
      </c>
      <c r="D210" s="93" t="s">
        <v>778</v>
      </c>
      <c r="E210" s="5" t="s">
        <v>614</v>
      </c>
      <c r="F210" s="15">
        <v>35</v>
      </c>
      <c r="G210" s="15">
        <v>0</v>
      </c>
      <c r="H210" s="15">
        <f>ROUND(F210*AE210,2)</f>
        <v>0</v>
      </c>
      <c r="I210" s="15">
        <f>J210-H210</f>
        <v>0</v>
      </c>
      <c r="J210" s="15">
        <f>ROUND(F210*G210,2)</f>
        <v>0</v>
      </c>
      <c r="K210" s="15">
        <v>0</v>
      </c>
      <c r="L210" s="15">
        <f>F210*K210</f>
        <v>0</v>
      </c>
      <c r="M210" s="25" t="s">
        <v>642</v>
      </c>
      <c r="N210" s="25" t="s">
        <v>643</v>
      </c>
      <c r="O210" s="15">
        <f>IF(N210="5",I210,0)</f>
        <v>0</v>
      </c>
      <c r="Z210" s="15">
        <f>IF(AD210=0,J210,0)</f>
        <v>0</v>
      </c>
      <c r="AA210" s="15">
        <f>IF(AD210=15,J210,0)</f>
        <v>0</v>
      </c>
      <c r="AB210" s="15">
        <f>IF(AD210=21,J210,0)</f>
        <v>0</v>
      </c>
      <c r="AD210" s="28">
        <v>21</v>
      </c>
      <c r="AE210" s="28">
        <f>G210*1</f>
        <v>0</v>
      </c>
      <c r="AF210" s="28">
        <f>G210*(1-1)</f>
        <v>0</v>
      </c>
      <c r="AM210" s="28">
        <f>F210*AE210</f>
        <v>0</v>
      </c>
      <c r="AN210" s="28">
        <f>F210*AF210</f>
        <v>0</v>
      </c>
      <c r="AO210" s="29" t="s">
        <v>664</v>
      </c>
      <c r="AP210" s="29" t="s">
        <v>672</v>
      </c>
      <c r="AQ210" s="21" t="s">
        <v>678</v>
      </c>
    </row>
    <row r="211" spans="4:6" ht="12.75">
      <c r="D211" s="67" t="s">
        <v>40</v>
      </c>
      <c r="F211" s="14">
        <v>35</v>
      </c>
    </row>
    <row r="212" spans="1:43" ht="12.75">
      <c r="A212" s="4" t="s">
        <v>111</v>
      </c>
      <c r="B212" s="4" t="s">
        <v>189</v>
      </c>
      <c r="C212" s="4" t="s">
        <v>289</v>
      </c>
      <c r="D212" s="66" t="s">
        <v>531</v>
      </c>
      <c r="E212" s="4" t="s">
        <v>614</v>
      </c>
      <c r="F212" s="13">
        <v>5</v>
      </c>
      <c r="G212" s="13">
        <v>0</v>
      </c>
      <c r="H212" s="13">
        <f>ROUND(F212*AE212,2)</f>
        <v>0</v>
      </c>
      <c r="I212" s="13">
        <f>J212-H212</f>
        <v>0</v>
      </c>
      <c r="J212" s="13">
        <f>ROUND(F212*G212,2)</f>
        <v>0</v>
      </c>
      <c r="K212" s="13">
        <v>0</v>
      </c>
      <c r="L212" s="13">
        <f>F212*K212</f>
        <v>0</v>
      </c>
      <c r="M212" s="24" t="s">
        <v>642</v>
      </c>
      <c r="N212" s="24" t="s">
        <v>6</v>
      </c>
      <c r="O212" s="13">
        <f>IF(N212="5",I212,0)</f>
        <v>0</v>
      </c>
      <c r="Z212" s="13">
        <f>IF(AD212=0,J212,0)</f>
        <v>0</v>
      </c>
      <c r="AA212" s="13">
        <f>IF(AD212=15,J212,0)</f>
        <v>0</v>
      </c>
      <c r="AB212" s="13">
        <f>IF(AD212=21,J212,0)</f>
        <v>0</v>
      </c>
      <c r="AD212" s="28">
        <v>21</v>
      </c>
      <c r="AE212" s="28">
        <f>G212*0</f>
        <v>0</v>
      </c>
      <c r="AF212" s="28">
        <f>G212*(1-0)</f>
        <v>0</v>
      </c>
      <c r="AM212" s="28">
        <f>F212*AE212</f>
        <v>0</v>
      </c>
      <c r="AN212" s="28">
        <f>F212*AF212</f>
        <v>0</v>
      </c>
      <c r="AO212" s="29" t="s">
        <v>664</v>
      </c>
      <c r="AP212" s="29" t="s">
        <v>672</v>
      </c>
      <c r="AQ212" s="21" t="s">
        <v>678</v>
      </c>
    </row>
    <row r="213" spans="4:6" ht="12.75">
      <c r="D213" s="67" t="s">
        <v>10</v>
      </c>
      <c r="F213" s="14">
        <v>5</v>
      </c>
    </row>
    <row r="214" spans="1:43" ht="12.75">
      <c r="A214" s="4" t="s">
        <v>112</v>
      </c>
      <c r="B214" s="4" t="s">
        <v>189</v>
      </c>
      <c r="C214" s="4" t="s">
        <v>290</v>
      </c>
      <c r="D214" s="66" t="s">
        <v>532</v>
      </c>
      <c r="E214" s="4" t="s">
        <v>614</v>
      </c>
      <c r="F214" s="13">
        <v>5</v>
      </c>
      <c r="G214" s="13">
        <v>0</v>
      </c>
      <c r="H214" s="13">
        <f>ROUND(F214*AE214,2)</f>
        <v>0</v>
      </c>
      <c r="I214" s="13">
        <f>J214-H214</f>
        <v>0</v>
      </c>
      <c r="J214" s="13">
        <f>ROUND(F214*G214,2)</f>
        <v>0</v>
      </c>
      <c r="K214" s="13">
        <v>0</v>
      </c>
      <c r="L214" s="13">
        <f>F214*K214</f>
        <v>0</v>
      </c>
      <c r="M214" s="24" t="s">
        <v>642</v>
      </c>
      <c r="N214" s="24" t="s">
        <v>6</v>
      </c>
      <c r="O214" s="13">
        <f>IF(N214="5",I214,0)</f>
        <v>0</v>
      </c>
      <c r="Z214" s="13">
        <f>IF(AD214=0,J214,0)</f>
        <v>0</v>
      </c>
      <c r="AA214" s="13">
        <f>IF(AD214=15,J214,0)</f>
        <v>0</v>
      </c>
      <c r="AB214" s="13">
        <f>IF(AD214=21,J214,0)</f>
        <v>0</v>
      </c>
      <c r="AD214" s="28">
        <v>21</v>
      </c>
      <c r="AE214" s="28">
        <f>G214*0</f>
        <v>0</v>
      </c>
      <c r="AF214" s="28">
        <f>G214*(1-0)</f>
        <v>0</v>
      </c>
      <c r="AM214" s="28">
        <f>F214*AE214</f>
        <v>0</v>
      </c>
      <c r="AN214" s="28">
        <f>F214*AF214</f>
        <v>0</v>
      </c>
      <c r="AO214" s="29" t="s">
        <v>664</v>
      </c>
      <c r="AP214" s="29" t="s">
        <v>672</v>
      </c>
      <c r="AQ214" s="21" t="s">
        <v>678</v>
      </c>
    </row>
    <row r="215" spans="4:6" ht="12.75">
      <c r="D215" s="67" t="s">
        <v>10</v>
      </c>
      <c r="F215" s="14">
        <v>5</v>
      </c>
    </row>
    <row r="216" spans="1:43" ht="25.5">
      <c r="A216" s="5" t="s">
        <v>113</v>
      </c>
      <c r="B216" s="5" t="s">
        <v>189</v>
      </c>
      <c r="C216" s="5" t="s">
        <v>291</v>
      </c>
      <c r="D216" s="93" t="s">
        <v>779</v>
      </c>
      <c r="E216" s="5" t="s">
        <v>614</v>
      </c>
      <c r="F216" s="15">
        <v>5</v>
      </c>
      <c r="G216" s="15">
        <v>0</v>
      </c>
      <c r="H216" s="15">
        <f>ROUND(F216*AE216,2)</f>
        <v>0</v>
      </c>
      <c r="I216" s="15">
        <f>J216-H216</f>
        <v>0</v>
      </c>
      <c r="J216" s="15">
        <f>ROUND(F216*G216,2)</f>
        <v>0</v>
      </c>
      <c r="K216" s="15">
        <v>0</v>
      </c>
      <c r="L216" s="15">
        <f>F216*K216</f>
        <v>0</v>
      </c>
      <c r="M216" s="25" t="s">
        <v>642</v>
      </c>
      <c r="N216" s="25" t="s">
        <v>643</v>
      </c>
      <c r="O216" s="15">
        <f>IF(N216="5",I216,0)</f>
        <v>0</v>
      </c>
      <c r="Z216" s="15">
        <f>IF(AD216=0,J216,0)</f>
        <v>0</v>
      </c>
      <c r="AA216" s="15">
        <f>IF(AD216=15,J216,0)</f>
        <v>0</v>
      </c>
      <c r="AB216" s="15">
        <f>IF(AD216=21,J216,0)</f>
        <v>0</v>
      </c>
      <c r="AD216" s="28">
        <v>21</v>
      </c>
      <c r="AE216" s="28">
        <f>G216*1</f>
        <v>0</v>
      </c>
      <c r="AF216" s="28">
        <f>G216*(1-1)</f>
        <v>0</v>
      </c>
      <c r="AM216" s="28">
        <f>F216*AE216</f>
        <v>0</v>
      </c>
      <c r="AN216" s="28">
        <f>F216*AF216</f>
        <v>0</v>
      </c>
      <c r="AO216" s="29" t="s">
        <v>664</v>
      </c>
      <c r="AP216" s="29" t="s">
        <v>672</v>
      </c>
      <c r="AQ216" s="21" t="s">
        <v>678</v>
      </c>
    </row>
    <row r="217" spans="4:6" ht="12.75">
      <c r="D217" s="67" t="s">
        <v>10</v>
      </c>
      <c r="F217" s="14">
        <v>5</v>
      </c>
    </row>
    <row r="218" spans="1:43" ht="12.75">
      <c r="A218" s="4" t="s">
        <v>114</v>
      </c>
      <c r="B218" s="4" t="s">
        <v>189</v>
      </c>
      <c r="C218" s="4" t="s">
        <v>292</v>
      </c>
      <c r="D218" s="66" t="s">
        <v>533</v>
      </c>
      <c r="E218" s="4" t="s">
        <v>614</v>
      </c>
      <c r="F218" s="13">
        <v>1</v>
      </c>
      <c r="G218" s="13">
        <v>0</v>
      </c>
      <c r="H218" s="13">
        <f>ROUND(F218*AE218,2)</f>
        <v>0</v>
      </c>
      <c r="I218" s="13">
        <f>J218-H218</f>
        <v>0</v>
      </c>
      <c r="J218" s="13">
        <f>ROUND(F218*G218,2)</f>
        <v>0</v>
      </c>
      <c r="K218" s="13">
        <v>0</v>
      </c>
      <c r="L218" s="13">
        <f>F218*K218</f>
        <v>0</v>
      </c>
      <c r="M218" s="24" t="s">
        <v>642</v>
      </c>
      <c r="N218" s="24" t="s">
        <v>6</v>
      </c>
      <c r="O218" s="13">
        <f>IF(N218="5",I218,0)</f>
        <v>0</v>
      </c>
      <c r="Z218" s="13">
        <f>IF(AD218=0,J218,0)</f>
        <v>0</v>
      </c>
      <c r="AA218" s="13">
        <f>IF(AD218=15,J218,0)</f>
        <v>0</v>
      </c>
      <c r="AB218" s="13">
        <f>IF(AD218=21,J218,0)</f>
        <v>0</v>
      </c>
      <c r="AD218" s="28">
        <v>21</v>
      </c>
      <c r="AE218" s="28">
        <f>G218*0</f>
        <v>0</v>
      </c>
      <c r="AF218" s="28">
        <f>G218*(1-0)</f>
        <v>0</v>
      </c>
      <c r="AM218" s="28">
        <f>F218*AE218</f>
        <v>0</v>
      </c>
      <c r="AN218" s="28">
        <f>F218*AF218</f>
        <v>0</v>
      </c>
      <c r="AO218" s="29" t="s">
        <v>664</v>
      </c>
      <c r="AP218" s="29" t="s">
        <v>672</v>
      </c>
      <c r="AQ218" s="21" t="s">
        <v>678</v>
      </c>
    </row>
    <row r="219" spans="1:43" ht="12.75">
      <c r="A219" s="5" t="s">
        <v>115</v>
      </c>
      <c r="B219" s="5" t="s">
        <v>189</v>
      </c>
      <c r="C219" s="5" t="s">
        <v>293</v>
      </c>
      <c r="D219" s="68" t="s">
        <v>534</v>
      </c>
      <c r="E219" s="5" t="s">
        <v>614</v>
      </c>
      <c r="F219" s="15">
        <v>1</v>
      </c>
      <c r="G219" s="15">
        <v>0</v>
      </c>
      <c r="H219" s="15">
        <f>ROUND(F219*AE219,2)</f>
        <v>0</v>
      </c>
      <c r="I219" s="15">
        <f>J219-H219</f>
        <v>0</v>
      </c>
      <c r="J219" s="15">
        <f>ROUND(F219*G219,2)</f>
        <v>0</v>
      </c>
      <c r="K219" s="15">
        <v>0</v>
      </c>
      <c r="L219" s="15">
        <f>F219*K219</f>
        <v>0</v>
      </c>
      <c r="M219" s="25" t="s">
        <v>642</v>
      </c>
      <c r="N219" s="25" t="s">
        <v>643</v>
      </c>
      <c r="O219" s="15">
        <f>IF(N219="5",I219,0)</f>
        <v>0</v>
      </c>
      <c r="Z219" s="15">
        <f>IF(AD219=0,J219,0)</f>
        <v>0</v>
      </c>
      <c r="AA219" s="15">
        <f>IF(AD219=15,J219,0)</f>
        <v>0</v>
      </c>
      <c r="AB219" s="15">
        <f>IF(AD219=21,J219,0)</f>
        <v>0</v>
      </c>
      <c r="AD219" s="28">
        <v>21</v>
      </c>
      <c r="AE219" s="28">
        <f>G219*1</f>
        <v>0</v>
      </c>
      <c r="AF219" s="28">
        <f>G219*(1-1)</f>
        <v>0</v>
      </c>
      <c r="AM219" s="28">
        <f>F219*AE219</f>
        <v>0</v>
      </c>
      <c r="AN219" s="28">
        <f>F219*AF219</f>
        <v>0</v>
      </c>
      <c r="AO219" s="29" t="s">
        <v>664</v>
      </c>
      <c r="AP219" s="29" t="s">
        <v>672</v>
      </c>
      <c r="AQ219" s="21" t="s">
        <v>678</v>
      </c>
    </row>
    <row r="220" spans="1:43" ht="12.75">
      <c r="A220" s="4" t="s">
        <v>116</v>
      </c>
      <c r="B220" s="4" t="s">
        <v>189</v>
      </c>
      <c r="C220" s="4" t="s">
        <v>294</v>
      </c>
      <c r="D220" s="66" t="s">
        <v>535</v>
      </c>
      <c r="E220" s="4" t="s">
        <v>614</v>
      </c>
      <c r="F220" s="13">
        <v>1</v>
      </c>
      <c r="G220" s="13">
        <v>0</v>
      </c>
      <c r="H220" s="13">
        <f>ROUND(F220*AE220,2)</f>
        <v>0</v>
      </c>
      <c r="I220" s="13">
        <f>J220-H220</f>
        <v>0</v>
      </c>
      <c r="J220" s="13">
        <f>ROUND(F220*G220,2)</f>
        <v>0</v>
      </c>
      <c r="K220" s="13">
        <v>0</v>
      </c>
      <c r="L220" s="13">
        <f>F220*K220</f>
        <v>0</v>
      </c>
      <c r="M220" s="24" t="s">
        <v>642</v>
      </c>
      <c r="N220" s="24" t="s">
        <v>6</v>
      </c>
      <c r="O220" s="13">
        <f>IF(N220="5",I220,0)</f>
        <v>0</v>
      </c>
      <c r="Z220" s="13">
        <f>IF(AD220=0,J220,0)</f>
        <v>0</v>
      </c>
      <c r="AA220" s="13">
        <f>IF(AD220=15,J220,0)</f>
        <v>0</v>
      </c>
      <c r="AB220" s="13">
        <f>IF(AD220=21,J220,0)</f>
        <v>0</v>
      </c>
      <c r="AD220" s="28">
        <v>21</v>
      </c>
      <c r="AE220" s="28">
        <f>G220*0</f>
        <v>0</v>
      </c>
      <c r="AF220" s="28">
        <f>G220*(1-0)</f>
        <v>0</v>
      </c>
      <c r="AM220" s="28">
        <f>F220*AE220</f>
        <v>0</v>
      </c>
      <c r="AN220" s="28">
        <f>F220*AF220</f>
        <v>0</v>
      </c>
      <c r="AO220" s="29" t="s">
        <v>664</v>
      </c>
      <c r="AP220" s="29" t="s">
        <v>672</v>
      </c>
      <c r="AQ220" s="21" t="s">
        <v>678</v>
      </c>
    </row>
    <row r="221" spans="4:6" ht="12.75">
      <c r="D221" s="67" t="s">
        <v>6</v>
      </c>
      <c r="F221" s="14">
        <v>1</v>
      </c>
    </row>
    <row r="222" spans="1:43" ht="12.75">
      <c r="A222" s="4" t="s">
        <v>117</v>
      </c>
      <c r="B222" s="4" t="s">
        <v>189</v>
      </c>
      <c r="C222" s="4" t="s">
        <v>295</v>
      </c>
      <c r="D222" s="66" t="s">
        <v>536</v>
      </c>
      <c r="E222" s="4" t="s">
        <v>614</v>
      </c>
      <c r="F222" s="13">
        <v>1</v>
      </c>
      <c r="G222" s="13">
        <v>0</v>
      </c>
      <c r="H222" s="13">
        <f>ROUND(F222*AE222,2)</f>
        <v>0</v>
      </c>
      <c r="I222" s="13">
        <f>J222-H222</f>
        <v>0</v>
      </c>
      <c r="J222" s="13">
        <f>ROUND(F222*G222,2)</f>
        <v>0</v>
      </c>
      <c r="K222" s="13">
        <v>0</v>
      </c>
      <c r="L222" s="13">
        <f>F222*K222</f>
        <v>0</v>
      </c>
      <c r="M222" s="24" t="s">
        <v>642</v>
      </c>
      <c r="N222" s="24" t="s">
        <v>6</v>
      </c>
      <c r="O222" s="13">
        <f>IF(N222="5",I222,0)</f>
        <v>0</v>
      </c>
      <c r="Z222" s="13">
        <f>IF(AD222=0,J222,0)</f>
        <v>0</v>
      </c>
      <c r="AA222" s="13">
        <f>IF(AD222=15,J222,0)</f>
        <v>0</v>
      </c>
      <c r="AB222" s="13">
        <f>IF(AD222=21,J222,0)</f>
        <v>0</v>
      </c>
      <c r="AD222" s="28">
        <v>21</v>
      </c>
      <c r="AE222" s="28">
        <f>G222*0</f>
        <v>0</v>
      </c>
      <c r="AF222" s="28">
        <f>G222*(1-0)</f>
        <v>0</v>
      </c>
      <c r="AM222" s="28">
        <f>F222*AE222</f>
        <v>0</v>
      </c>
      <c r="AN222" s="28">
        <f>F222*AF222</f>
        <v>0</v>
      </c>
      <c r="AO222" s="29" t="s">
        <v>664</v>
      </c>
      <c r="AP222" s="29" t="s">
        <v>672</v>
      </c>
      <c r="AQ222" s="21" t="s">
        <v>678</v>
      </c>
    </row>
    <row r="223" spans="4:6" ht="12.75">
      <c r="D223" s="67" t="s">
        <v>6</v>
      </c>
      <c r="F223" s="14">
        <v>1</v>
      </c>
    </row>
    <row r="224" spans="1:43" ht="12.75">
      <c r="A224" s="5" t="s">
        <v>118</v>
      </c>
      <c r="B224" s="5" t="s">
        <v>189</v>
      </c>
      <c r="C224" s="5" t="s">
        <v>296</v>
      </c>
      <c r="D224" s="68" t="s">
        <v>537</v>
      </c>
      <c r="E224" s="5" t="s">
        <v>614</v>
      </c>
      <c r="F224" s="15">
        <v>1</v>
      </c>
      <c r="G224" s="15">
        <v>0</v>
      </c>
      <c r="H224" s="15">
        <f>ROUND(F224*AE224,2)</f>
        <v>0</v>
      </c>
      <c r="I224" s="15">
        <f>J224-H224</f>
        <v>0</v>
      </c>
      <c r="J224" s="15">
        <f>ROUND(F224*G224,2)</f>
        <v>0</v>
      </c>
      <c r="K224" s="15">
        <v>0</v>
      </c>
      <c r="L224" s="15">
        <f>F224*K224</f>
        <v>0</v>
      </c>
      <c r="M224" s="25" t="s">
        <v>642</v>
      </c>
      <c r="N224" s="25" t="s">
        <v>643</v>
      </c>
      <c r="O224" s="15">
        <f>IF(N224="5",I224,0)</f>
        <v>0</v>
      </c>
      <c r="Z224" s="15">
        <f>IF(AD224=0,J224,0)</f>
        <v>0</v>
      </c>
      <c r="AA224" s="15">
        <f>IF(AD224=15,J224,0)</f>
        <v>0</v>
      </c>
      <c r="AB224" s="15">
        <f>IF(AD224=21,J224,0)</f>
        <v>0</v>
      </c>
      <c r="AD224" s="28">
        <v>21</v>
      </c>
      <c r="AE224" s="28">
        <f>G224*1</f>
        <v>0</v>
      </c>
      <c r="AF224" s="28">
        <f>G224*(1-1)</f>
        <v>0</v>
      </c>
      <c r="AM224" s="28">
        <f>F224*AE224</f>
        <v>0</v>
      </c>
      <c r="AN224" s="28">
        <f>F224*AF224</f>
        <v>0</v>
      </c>
      <c r="AO224" s="29" t="s">
        <v>664</v>
      </c>
      <c r="AP224" s="29" t="s">
        <v>672</v>
      </c>
      <c r="AQ224" s="21" t="s">
        <v>678</v>
      </c>
    </row>
    <row r="225" spans="4:6" ht="12.75">
      <c r="D225" s="67" t="s">
        <v>6</v>
      </c>
      <c r="F225" s="14">
        <v>1</v>
      </c>
    </row>
    <row r="226" spans="1:43" ht="12.75">
      <c r="A226" s="5" t="s">
        <v>744</v>
      </c>
      <c r="B226" s="5" t="s">
        <v>189</v>
      </c>
      <c r="C226" s="5" t="s">
        <v>745</v>
      </c>
      <c r="D226" s="68" t="s">
        <v>746</v>
      </c>
      <c r="E226" s="5" t="s">
        <v>614</v>
      </c>
      <c r="F226" s="15">
        <v>1</v>
      </c>
      <c r="G226" s="15">
        <v>0</v>
      </c>
      <c r="H226" s="15">
        <f>ROUND(F226*AE226,2)</f>
        <v>0</v>
      </c>
      <c r="I226" s="15">
        <f>J226-H226</f>
        <v>0</v>
      </c>
      <c r="J226" s="15">
        <f>ROUND(F226*G226,2)</f>
        <v>0</v>
      </c>
      <c r="K226" s="15">
        <v>0</v>
      </c>
      <c r="L226" s="15">
        <f>F226*K226</f>
        <v>0</v>
      </c>
      <c r="M226" s="25" t="s">
        <v>642</v>
      </c>
      <c r="N226" s="25" t="s">
        <v>643</v>
      </c>
      <c r="O226" s="15">
        <f>IF(N226="5",I226,0)</f>
        <v>0</v>
      </c>
      <c r="Z226" s="15">
        <f>IF(AD226=0,J226,0)</f>
        <v>0</v>
      </c>
      <c r="AA226" s="15">
        <f>IF(AD226=15,J226,0)</f>
        <v>0</v>
      </c>
      <c r="AB226" s="15">
        <f>IF(AD226=21,J226,0)</f>
        <v>0</v>
      </c>
      <c r="AD226" s="28">
        <v>21</v>
      </c>
      <c r="AE226" s="28">
        <f>G226*1</f>
        <v>0</v>
      </c>
      <c r="AF226" s="28">
        <f>G226*(1-1)</f>
        <v>0</v>
      </c>
      <c r="AM226" s="28">
        <f>F226*AE226</f>
        <v>0</v>
      </c>
      <c r="AN226" s="28">
        <f>F226*AF226</f>
        <v>0</v>
      </c>
      <c r="AO226" s="29" t="s">
        <v>664</v>
      </c>
      <c r="AP226" s="29" t="s">
        <v>672</v>
      </c>
      <c r="AQ226" s="21" t="s">
        <v>678</v>
      </c>
    </row>
    <row r="227" spans="1:43" ht="12.75">
      <c r="A227" s="4" t="s">
        <v>747</v>
      </c>
      <c r="B227" s="4" t="s">
        <v>189</v>
      </c>
      <c r="C227" s="4" t="s">
        <v>748</v>
      </c>
      <c r="D227" s="66" t="s">
        <v>749</v>
      </c>
      <c r="E227" s="4" t="s">
        <v>614</v>
      </c>
      <c r="F227" s="13">
        <v>1</v>
      </c>
      <c r="G227" s="13">
        <v>0</v>
      </c>
      <c r="H227" s="13">
        <f>ROUND(F227*AE227,2)</f>
        <v>0</v>
      </c>
      <c r="I227" s="13">
        <f>J227-H227</f>
        <v>0</v>
      </c>
      <c r="J227" s="13">
        <f>ROUND(F227*G227,2)</f>
        <v>0</v>
      </c>
      <c r="K227" s="13">
        <v>0</v>
      </c>
      <c r="L227" s="13">
        <f>F227*K227</f>
        <v>0</v>
      </c>
      <c r="M227" s="24" t="s">
        <v>642</v>
      </c>
      <c r="N227" s="24" t="s">
        <v>6</v>
      </c>
      <c r="O227" s="13">
        <f>IF(N227="5",I227,0)</f>
        <v>0</v>
      </c>
      <c r="Z227" s="13">
        <f>IF(AD227=0,J227,0)</f>
        <v>0</v>
      </c>
      <c r="AA227" s="13">
        <f>IF(AD227=15,J227,0)</f>
        <v>0</v>
      </c>
      <c r="AB227" s="13">
        <f>IF(AD227=21,J227,0)</f>
        <v>0</v>
      </c>
      <c r="AD227" s="28">
        <v>21</v>
      </c>
      <c r="AE227" s="28">
        <f>G227*0</f>
        <v>0</v>
      </c>
      <c r="AF227" s="28">
        <f>G227*(1-0)</f>
        <v>0</v>
      </c>
      <c r="AM227" s="28">
        <f>F227*AE227</f>
        <v>0</v>
      </c>
      <c r="AN227" s="28">
        <f>F227*AF227</f>
        <v>0</v>
      </c>
      <c r="AO227" s="29" t="s">
        <v>664</v>
      </c>
      <c r="AP227" s="29" t="s">
        <v>672</v>
      </c>
      <c r="AQ227" s="21" t="s">
        <v>678</v>
      </c>
    </row>
    <row r="228" spans="1:43" ht="12.75">
      <c r="A228" s="4" t="s">
        <v>750</v>
      </c>
      <c r="B228" s="4" t="s">
        <v>189</v>
      </c>
      <c r="C228" s="4" t="s">
        <v>751</v>
      </c>
      <c r="D228" s="66" t="s">
        <v>752</v>
      </c>
      <c r="E228" s="4" t="s">
        <v>614</v>
      </c>
      <c r="F228" s="13">
        <v>1</v>
      </c>
      <c r="G228" s="13">
        <v>0</v>
      </c>
      <c r="H228" s="13">
        <f>ROUND(F228*AE228,2)</f>
        <v>0</v>
      </c>
      <c r="I228" s="13">
        <f>J228-H228</f>
        <v>0</v>
      </c>
      <c r="J228" s="13">
        <f>ROUND(F228*G228,2)</f>
        <v>0</v>
      </c>
      <c r="K228" s="13">
        <v>0</v>
      </c>
      <c r="L228" s="13">
        <f>F228*K228</f>
        <v>0</v>
      </c>
      <c r="M228" s="24" t="s">
        <v>642</v>
      </c>
      <c r="N228" s="24" t="s">
        <v>6</v>
      </c>
      <c r="O228" s="13">
        <f>IF(N228="5",I228,0)</f>
        <v>0</v>
      </c>
      <c r="Z228" s="13">
        <f>IF(AD228=0,J228,0)</f>
        <v>0</v>
      </c>
      <c r="AA228" s="13">
        <f>IF(AD228=15,J228,0)</f>
        <v>0</v>
      </c>
      <c r="AB228" s="13">
        <f>IF(AD228=21,J228,0)</f>
        <v>0</v>
      </c>
      <c r="AD228" s="28">
        <v>21</v>
      </c>
      <c r="AE228" s="28">
        <f>G228*0</f>
        <v>0</v>
      </c>
      <c r="AF228" s="28">
        <f>G228*(1-0)</f>
        <v>0</v>
      </c>
      <c r="AM228" s="28">
        <f>F228*AE228</f>
        <v>0</v>
      </c>
      <c r="AN228" s="28">
        <f>F228*AF228</f>
        <v>0</v>
      </c>
      <c r="AO228" s="29" t="s">
        <v>664</v>
      </c>
      <c r="AP228" s="29" t="s">
        <v>672</v>
      </c>
      <c r="AQ228" s="21" t="s">
        <v>678</v>
      </c>
    </row>
    <row r="229" spans="1:43" ht="12.75">
      <c r="A229" s="4" t="s">
        <v>119</v>
      </c>
      <c r="B229" s="4" t="s">
        <v>189</v>
      </c>
      <c r="C229" s="4" t="s">
        <v>297</v>
      </c>
      <c r="D229" s="66" t="s">
        <v>538</v>
      </c>
      <c r="E229" s="4" t="s">
        <v>614</v>
      </c>
      <c r="F229" s="13">
        <v>1</v>
      </c>
      <c r="G229" s="13">
        <v>0</v>
      </c>
      <c r="H229" s="13">
        <f>ROUND(F229*AE229,2)</f>
        <v>0</v>
      </c>
      <c r="I229" s="13">
        <f>J229-H229</f>
        <v>0</v>
      </c>
      <c r="J229" s="13">
        <f>ROUND(F229*G229,2)</f>
        <v>0</v>
      </c>
      <c r="K229" s="13">
        <v>0</v>
      </c>
      <c r="L229" s="13">
        <f>F229*K229</f>
        <v>0</v>
      </c>
      <c r="M229" s="24" t="s">
        <v>642</v>
      </c>
      <c r="N229" s="24" t="s">
        <v>6</v>
      </c>
      <c r="O229" s="13">
        <f>IF(N229="5",I229,0)</f>
        <v>0</v>
      </c>
      <c r="Z229" s="13">
        <f>IF(AD229=0,J229,0)</f>
        <v>0</v>
      </c>
      <c r="AA229" s="13">
        <f>IF(AD229=15,J229,0)</f>
        <v>0</v>
      </c>
      <c r="AB229" s="13">
        <f>IF(AD229=21,J229,0)</f>
        <v>0</v>
      </c>
      <c r="AD229" s="28">
        <v>21</v>
      </c>
      <c r="AE229" s="28">
        <f>G229*0</f>
        <v>0</v>
      </c>
      <c r="AF229" s="28">
        <f>G229*(1-0)</f>
        <v>0</v>
      </c>
      <c r="AM229" s="28">
        <f>F229*AE229</f>
        <v>0</v>
      </c>
      <c r="AN229" s="28">
        <f>F229*AF229</f>
        <v>0</v>
      </c>
      <c r="AO229" s="29" t="s">
        <v>664</v>
      </c>
      <c r="AP229" s="29" t="s">
        <v>672</v>
      </c>
      <c r="AQ229" s="21" t="s">
        <v>678</v>
      </c>
    </row>
    <row r="230" spans="4:6" ht="12.75">
      <c r="D230" s="67" t="s">
        <v>6</v>
      </c>
      <c r="F230" s="14">
        <v>1</v>
      </c>
    </row>
    <row r="231" spans="1:43" ht="12.75">
      <c r="A231" s="4" t="s">
        <v>120</v>
      </c>
      <c r="B231" s="4" t="s">
        <v>189</v>
      </c>
      <c r="C231" s="4" t="s">
        <v>298</v>
      </c>
      <c r="D231" s="66" t="s">
        <v>539</v>
      </c>
      <c r="E231" s="4" t="s">
        <v>614</v>
      </c>
      <c r="F231" s="13">
        <v>1</v>
      </c>
      <c r="G231" s="13">
        <v>0</v>
      </c>
      <c r="H231" s="13">
        <f>ROUND(F231*AE231,2)</f>
        <v>0</v>
      </c>
      <c r="I231" s="13">
        <f>J231-H231</f>
        <v>0</v>
      </c>
      <c r="J231" s="13">
        <f>ROUND(F231*G231,2)</f>
        <v>0</v>
      </c>
      <c r="K231" s="13">
        <v>0</v>
      </c>
      <c r="L231" s="13">
        <f>F231*K231</f>
        <v>0</v>
      </c>
      <c r="M231" s="24" t="s">
        <v>642</v>
      </c>
      <c r="N231" s="24" t="s">
        <v>6</v>
      </c>
      <c r="O231" s="13">
        <f>IF(N231="5",I231,0)</f>
        <v>0</v>
      </c>
      <c r="Z231" s="13">
        <f>IF(AD231=0,J231,0)</f>
        <v>0</v>
      </c>
      <c r="AA231" s="13">
        <f>IF(AD231=15,J231,0)</f>
        <v>0</v>
      </c>
      <c r="AB231" s="13">
        <f>IF(AD231=21,J231,0)</f>
        <v>0</v>
      </c>
      <c r="AD231" s="28">
        <v>21</v>
      </c>
      <c r="AE231" s="28">
        <f>G231*0</f>
        <v>0</v>
      </c>
      <c r="AF231" s="28">
        <f>G231*(1-0)</f>
        <v>0</v>
      </c>
      <c r="AM231" s="28">
        <f>F231*AE231</f>
        <v>0</v>
      </c>
      <c r="AN231" s="28">
        <f>F231*AF231</f>
        <v>0</v>
      </c>
      <c r="AO231" s="29" t="s">
        <v>664</v>
      </c>
      <c r="AP231" s="29" t="s">
        <v>672</v>
      </c>
      <c r="AQ231" s="21" t="s">
        <v>678</v>
      </c>
    </row>
    <row r="232" spans="4:6" ht="12.75">
      <c r="D232" s="67" t="s">
        <v>6</v>
      </c>
      <c r="F232" s="14">
        <v>1</v>
      </c>
    </row>
    <row r="233" spans="1:43" ht="12.75">
      <c r="A233" s="5" t="s">
        <v>121</v>
      </c>
      <c r="B233" s="5" t="s">
        <v>189</v>
      </c>
      <c r="C233" s="5" t="s">
        <v>299</v>
      </c>
      <c r="D233" s="68" t="s">
        <v>540</v>
      </c>
      <c r="E233" s="5" t="s">
        <v>614</v>
      </c>
      <c r="F233" s="15">
        <v>1</v>
      </c>
      <c r="G233" s="15">
        <v>0</v>
      </c>
      <c r="H233" s="15">
        <f>ROUND(F233*AE233,2)</f>
        <v>0</v>
      </c>
      <c r="I233" s="15">
        <f>J233-H233</f>
        <v>0</v>
      </c>
      <c r="J233" s="15">
        <f>ROUND(F233*G233,2)</f>
        <v>0</v>
      </c>
      <c r="K233" s="15">
        <v>0</v>
      </c>
      <c r="L233" s="15">
        <f>F233*K233</f>
        <v>0</v>
      </c>
      <c r="M233" s="25" t="s">
        <v>642</v>
      </c>
      <c r="N233" s="25" t="s">
        <v>643</v>
      </c>
      <c r="O233" s="15">
        <f>IF(N233="5",I233,0)</f>
        <v>0</v>
      </c>
      <c r="Z233" s="15">
        <f>IF(AD233=0,J233,0)</f>
        <v>0</v>
      </c>
      <c r="AA233" s="15">
        <f>IF(AD233=15,J233,0)</f>
        <v>0</v>
      </c>
      <c r="AB233" s="15">
        <f>IF(AD233=21,J233,0)</f>
        <v>0</v>
      </c>
      <c r="AD233" s="28">
        <v>21</v>
      </c>
      <c r="AE233" s="28">
        <f>G233*1</f>
        <v>0</v>
      </c>
      <c r="AF233" s="28">
        <f>G233*(1-1)</f>
        <v>0</v>
      </c>
      <c r="AM233" s="28">
        <f>F233*AE233</f>
        <v>0</v>
      </c>
      <c r="AN233" s="28">
        <f>F233*AF233</f>
        <v>0</v>
      </c>
      <c r="AO233" s="29" t="s">
        <v>664</v>
      </c>
      <c r="AP233" s="29" t="s">
        <v>672</v>
      </c>
      <c r="AQ233" s="21" t="s">
        <v>678</v>
      </c>
    </row>
    <row r="234" spans="4:6" ht="12.75">
      <c r="D234" s="67" t="s">
        <v>6</v>
      </c>
      <c r="F234" s="14">
        <v>1</v>
      </c>
    </row>
    <row r="235" spans="1:13" s="75" customFormat="1" ht="12.75">
      <c r="A235" s="76"/>
      <c r="B235" s="77" t="s">
        <v>190</v>
      </c>
      <c r="C235" s="77"/>
      <c r="D235" s="92" t="s">
        <v>541</v>
      </c>
      <c r="E235" s="90"/>
      <c r="F235" s="90"/>
      <c r="G235" s="90"/>
      <c r="H235" s="78">
        <f>H236+H238+H246+H268</f>
        <v>0</v>
      </c>
      <c r="I235" s="78">
        <f>I236+I238+I246+I268</f>
        <v>0</v>
      </c>
      <c r="J235" s="78">
        <f>H235+I235</f>
        <v>0</v>
      </c>
      <c r="K235" s="79"/>
      <c r="L235" s="78">
        <f>L236+L238+L246+L268</f>
        <v>113.35166</v>
      </c>
      <c r="M235" s="79"/>
    </row>
    <row r="236" spans="1:37" ht="12.75">
      <c r="A236" s="3"/>
      <c r="B236" s="10" t="s">
        <v>190</v>
      </c>
      <c r="C236" s="10" t="s">
        <v>300</v>
      </c>
      <c r="D236" s="114" t="s">
        <v>542</v>
      </c>
      <c r="E236" s="115"/>
      <c r="F236" s="115"/>
      <c r="G236" s="115"/>
      <c r="H236" s="30">
        <f>SUM(H237:H237)</f>
        <v>0</v>
      </c>
      <c r="I236" s="30">
        <f>SUM(I237:I237)</f>
        <v>0</v>
      </c>
      <c r="J236" s="30">
        <f>H236+I236</f>
        <v>0</v>
      </c>
      <c r="K236" s="21"/>
      <c r="L236" s="30">
        <f>SUM(L237:L237)</f>
        <v>90.46912</v>
      </c>
      <c r="M236" s="21"/>
      <c r="P236" s="30">
        <f>IF(Q236="PR",J236,SUM(O237:O237))</f>
        <v>0</v>
      </c>
      <c r="Q236" s="21" t="s">
        <v>647</v>
      </c>
      <c r="R236" s="30">
        <f>IF(Q236="HS",H236,0)</f>
        <v>0</v>
      </c>
      <c r="S236" s="30">
        <f>IF(Q236="HS",I236-P236,0)</f>
        <v>0</v>
      </c>
      <c r="T236" s="30">
        <f>IF(Q236="PS",H236,0)</f>
        <v>0</v>
      </c>
      <c r="U236" s="30">
        <f>IF(Q236="PS",I236-P236,0)</f>
        <v>0</v>
      </c>
      <c r="V236" s="30">
        <f>IF(Q236="MP",H236,0)</f>
        <v>0</v>
      </c>
      <c r="W236" s="30">
        <f>IF(Q236="MP",I236-P236,0)</f>
        <v>0</v>
      </c>
      <c r="X236" s="30">
        <f>IF(Q236="OM",H236,0)</f>
        <v>0</v>
      </c>
      <c r="Y236" s="21" t="s">
        <v>190</v>
      </c>
      <c r="AI236" s="30">
        <f>SUM(Z237:Z237)</f>
        <v>0</v>
      </c>
      <c r="AJ236" s="30">
        <f>SUM(AA237:AA237)</f>
        <v>0</v>
      </c>
      <c r="AK236" s="30">
        <f>SUM(AB237:AB237)</f>
        <v>0</v>
      </c>
    </row>
    <row r="237" spans="1:43" ht="12.75">
      <c r="A237" s="4" t="s">
        <v>122</v>
      </c>
      <c r="B237" s="4" t="s">
        <v>190</v>
      </c>
      <c r="C237" s="4" t="s">
        <v>301</v>
      </c>
      <c r="D237" s="66" t="s">
        <v>543</v>
      </c>
      <c r="E237" s="4" t="s">
        <v>617</v>
      </c>
      <c r="F237" s="13">
        <v>184</v>
      </c>
      <c r="G237" s="13">
        <v>0</v>
      </c>
      <c r="H237" s="13">
        <f>ROUND(F237*AE237,2)</f>
        <v>0</v>
      </c>
      <c r="I237" s="13">
        <f>J237-H237</f>
        <v>0</v>
      </c>
      <c r="J237" s="13">
        <f>ROUND(F237*G237,2)</f>
        <v>0</v>
      </c>
      <c r="K237" s="13">
        <v>0.49168</v>
      </c>
      <c r="L237" s="13">
        <f>F237*K237</f>
        <v>90.46912</v>
      </c>
      <c r="M237" s="24" t="s">
        <v>641</v>
      </c>
      <c r="N237" s="24" t="s">
        <v>8</v>
      </c>
      <c r="O237" s="13">
        <f>IF(N237="5",I237,0)</f>
        <v>0</v>
      </c>
      <c r="Z237" s="13">
        <f>IF(AD237=0,J237,0)</f>
        <v>0</v>
      </c>
      <c r="AA237" s="13">
        <f>IF(AD237=15,J237,0)</f>
        <v>0</v>
      </c>
      <c r="AB237" s="13">
        <f>IF(AD237=21,J237,0)</f>
        <v>0</v>
      </c>
      <c r="AD237" s="28">
        <v>21</v>
      </c>
      <c r="AE237" s="28">
        <f>G237*0.706095014011526</f>
        <v>0</v>
      </c>
      <c r="AF237" s="28">
        <f>G237*(1-0.706095014011526)</f>
        <v>0</v>
      </c>
      <c r="AM237" s="28">
        <f>F237*AE237</f>
        <v>0</v>
      </c>
      <c r="AN237" s="28">
        <f>F237*AF237</f>
        <v>0</v>
      </c>
      <c r="AO237" s="29" t="s">
        <v>665</v>
      </c>
      <c r="AP237" s="29" t="s">
        <v>672</v>
      </c>
      <c r="AQ237" s="21" t="s">
        <v>679</v>
      </c>
    </row>
    <row r="238" spans="1:37" ht="12.75">
      <c r="A238" s="3"/>
      <c r="B238" s="10" t="s">
        <v>190</v>
      </c>
      <c r="C238" s="10" t="s">
        <v>302</v>
      </c>
      <c r="D238" s="114" t="s">
        <v>544</v>
      </c>
      <c r="E238" s="115"/>
      <c r="F238" s="115"/>
      <c r="G238" s="115"/>
      <c r="H238" s="30">
        <f>SUM(H239:H245)</f>
        <v>0</v>
      </c>
      <c r="I238" s="30">
        <f>SUM(I239:I245)</f>
        <v>0</v>
      </c>
      <c r="J238" s="30">
        <f>H238+I238</f>
        <v>0</v>
      </c>
      <c r="K238" s="21"/>
      <c r="L238" s="30">
        <f>SUM(L239:L245)</f>
        <v>13.94084</v>
      </c>
      <c r="M238" s="21"/>
      <c r="P238" s="30">
        <f>IF(Q238="PR",J238,SUM(O239:O245))</f>
        <v>0</v>
      </c>
      <c r="Q238" s="21" t="s">
        <v>646</v>
      </c>
      <c r="R238" s="30">
        <f>IF(Q238="HS",H238,0)</f>
        <v>0</v>
      </c>
      <c r="S238" s="30">
        <f>IF(Q238="HS",I238-P238,0)</f>
        <v>0</v>
      </c>
      <c r="T238" s="30">
        <f>IF(Q238="PS",H238,0)</f>
        <v>0</v>
      </c>
      <c r="U238" s="30">
        <f>IF(Q238="PS",I238-P238,0)</f>
        <v>0</v>
      </c>
      <c r="V238" s="30">
        <f>IF(Q238="MP",H238,0)</f>
        <v>0</v>
      </c>
      <c r="W238" s="30">
        <f>IF(Q238="MP",I238-P238,0)</f>
        <v>0</v>
      </c>
      <c r="X238" s="30">
        <f>IF(Q238="OM",H238,0)</f>
        <v>0</v>
      </c>
      <c r="Y238" s="21" t="s">
        <v>190</v>
      </c>
      <c r="AI238" s="30">
        <f>SUM(Z239:Z245)</f>
        <v>0</v>
      </c>
      <c r="AJ238" s="30">
        <f>SUM(AA239:AA245)</f>
        <v>0</v>
      </c>
      <c r="AK238" s="30">
        <f>SUM(AB239:AB245)</f>
        <v>0</v>
      </c>
    </row>
    <row r="239" spans="1:43" ht="25.5">
      <c r="A239" s="4" t="s">
        <v>123</v>
      </c>
      <c r="B239" s="4" t="s">
        <v>190</v>
      </c>
      <c r="C239" s="4" t="s">
        <v>303</v>
      </c>
      <c r="D239" s="66" t="s">
        <v>545</v>
      </c>
      <c r="E239" s="4" t="s">
        <v>614</v>
      </c>
      <c r="F239" s="13">
        <v>32</v>
      </c>
      <c r="G239" s="13">
        <v>0</v>
      </c>
      <c r="H239" s="13">
        <f aca="true" t="shared" si="46" ref="H239:H245">ROUND(F239*AE239,2)</f>
        <v>0</v>
      </c>
      <c r="I239" s="13">
        <f aca="true" t="shared" si="47" ref="I239:I245">J239-H239</f>
        <v>0</v>
      </c>
      <c r="J239" s="13">
        <f aca="true" t="shared" si="48" ref="J239:J245">ROUND(F239*G239,2)</f>
        <v>0</v>
      </c>
      <c r="K239" s="13">
        <v>0.00037</v>
      </c>
      <c r="L239" s="13">
        <f aca="true" t="shared" si="49" ref="L239:L245">F239*K239</f>
        <v>0.01184</v>
      </c>
      <c r="M239" s="24" t="s">
        <v>641</v>
      </c>
      <c r="N239" s="24" t="s">
        <v>7</v>
      </c>
      <c r="O239" s="13">
        <f aca="true" t="shared" si="50" ref="O239:O245">IF(N239="5",I239,0)</f>
        <v>0</v>
      </c>
      <c r="Z239" s="13">
        <f aca="true" t="shared" si="51" ref="Z239:Z245">IF(AD239=0,J239,0)</f>
        <v>0</v>
      </c>
      <c r="AA239" s="13">
        <f aca="true" t="shared" si="52" ref="AA239:AA245">IF(AD239=15,J239,0)</f>
        <v>0</v>
      </c>
      <c r="AB239" s="13">
        <f aca="true" t="shared" si="53" ref="AB239:AB245">IF(AD239=21,J239,0)</f>
        <v>0</v>
      </c>
      <c r="AD239" s="28">
        <v>21</v>
      </c>
      <c r="AE239" s="28">
        <f aca="true" t="shared" si="54" ref="AE239:AE245">G239*0</f>
        <v>0</v>
      </c>
      <c r="AF239" s="28">
        <f aca="true" t="shared" si="55" ref="AF239:AF245">G239*(1-0)</f>
        <v>0</v>
      </c>
      <c r="AM239" s="28">
        <f aca="true" t="shared" si="56" ref="AM239:AM245">F239*AE239</f>
        <v>0</v>
      </c>
      <c r="AN239" s="28">
        <f aca="true" t="shared" si="57" ref="AN239:AN245">F239*AF239</f>
        <v>0</v>
      </c>
      <c r="AO239" s="29" t="s">
        <v>666</v>
      </c>
      <c r="AP239" s="29" t="s">
        <v>672</v>
      </c>
      <c r="AQ239" s="21" t="s">
        <v>679</v>
      </c>
    </row>
    <row r="240" spans="1:43" ht="12.75">
      <c r="A240" s="4" t="s">
        <v>124</v>
      </c>
      <c r="B240" s="4" t="s">
        <v>190</v>
      </c>
      <c r="C240" s="4" t="s">
        <v>304</v>
      </c>
      <c r="D240" s="66" t="s">
        <v>546</v>
      </c>
      <c r="E240" s="4" t="s">
        <v>613</v>
      </c>
      <c r="F240" s="13">
        <v>32</v>
      </c>
      <c r="G240" s="13">
        <v>0</v>
      </c>
      <c r="H240" s="13">
        <f t="shared" si="46"/>
        <v>0</v>
      </c>
      <c r="I240" s="13">
        <f t="shared" si="47"/>
        <v>0</v>
      </c>
      <c r="J240" s="13">
        <f t="shared" si="48"/>
        <v>0</v>
      </c>
      <c r="K240" s="13">
        <v>0.432</v>
      </c>
      <c r="L240" s="13">
        <f t="shared" si="49"/>
        <v>13.824</v>
      </c>
      <c r="M240" s="24" t="s">
        <v>641</v>
      </c>
      <c r="N240" s="24" t="s">
        <v>6</v>
      </c>
      <c r="O240" s="13">
        <f t="shared" si="50"/>
        <v>0</v>
      </c>
      <c r="Z240" s="13">
        <f t="shared" si="51"/>
        <v>0</v>
      </c>
      <c r="AA240" s="13">
        <f t="shared" si="52"/>
        <v>0</v>
      </c>
      <c r="AB240" s="13">
        <f t="shared" si="53"/>
        <v>0</v>
      </c>
      <c r="AD240" s="28">
        <v>21</v>
      </c>
      <c r="AE240" s="28">
        <f t="shared" si="54"/>
        <v>0</v>
      </c>
      <c r="AF240" s="28">
        <f t="shared" si="55"/>
        <v>0</v>
      </c>
      <c r="AM240" s="28">
        <f t="shared" si="56"/>
        <v>0</v>
      </c>
      <c r="AN240" s="28">
        <f t="shared" si="57"/>
        <v>0</v>
      </c>
      <c r="AO240" s="29" t="s">
        <v>666</v>
      </c>
      <c r="AP240" s="29" t="s">
        <v>672</v>
      </c>
      <c r="AQ240" s="21" t="s">
        <v>679</v>
      </c>
    </row>
    <row r="241" spans="1:43" ht="25.5">
      <c r="A241" s="4" t="s">
        <v>125</v>
      </c>
      <c r="B241" s="4" t="s">
        <v>190</v>
      </c>
      <c r="C241" s="4" t="s">
        <v>305</v>
      </c>
      <c r="D241" s="66" t="s">
        <v>547</v>
      </c>
      <c r="E241" s="4" t="s">
        <v>616</v>
      </c>
      <c r="F241" s="13">
        <v>15</v>
      </c>
      <c r="G241" s="13">
        <v>0</v>
      </c>
      <c r="H241" s="13">
        <f t="shared" si="46"/>
        <v>0</v>
      </c>
      <c r="I241" s="13">
        <f t="shared" si="47"/>
        <v>0</v>
      </c>
      <c r="J241" s="13">
        <f t="shared" si="48"/>
        <v>0</v>
      </c>
      <c r="K241" s="13">
        <v>0.007</v>
      </c>
      <c r="L241" s="13">
        <f t="shared" si="49"/>
        <v>0.105</v>
      </c>
      <c r="M241" s="24" t="s">
        <v>641</v>
      </c>
      <c r="N241" s="24" t="s">
        <v>6</v>
      </c>
      <c r="O241" s="13">
        <f t="shared" si="50"/>
        <v>0</v>
      </c>
      <c r="Z241" s="13">
        <f t="shared" si="51"/>
        <v>0</v>
      </c>
      <c r="AA241" s="13">
        <f t="shared" si="52"/>
        <v>0</v>
      </c>
      <c r="AB241" s="13">
        <f t="shared" si="53"/>
        <v>0</v>
      </c>
      <c r="AD241" s="28">
        <v>21</v>
      </c>
      <c r="AE241" s="28">
        <f t="shared" si="54"/>
        <v>0</v>
      </c>
      <c r="AF241" s="28">
        <f t="shared" si="55"/>
        <v>0</v>
      </c>
      <c r="AM241" s="28">
        <f t="shared" si="56"/>
        <v>0</v>
      </c>
      <c r="AN241" s="28">
        <f t="shared" si="57"/>
        <v>0</v>
      </c>
      <c r="AO241" s="29" t="s">
        <v>666</v>
      </c>
      <c r="AP241" s="29" t="s">
        <v>672</v>
      </c>
      <c r="AQ241" s="21" t="s">
        <v>679</v>
      </c>
    </row>
    <row r="242" spans="1:43" ht="12.75">
      <c r="A242" s="4" t="s">
        <v>126</v>
      </c>
      <c r="B242" s="4" t="s">
        <v>190</v>
      </c>
      <c r="C242" s="4" t="s">
        <v>276</v>
      </c>
      <c r="D242" s="66" t="s">
        <v>516</v>
      </c>
      <c r="E242" s="4" t="s">
        <v>620</v>
      </c>
      <c r="F242" s="13">
        <v>64.8</v>
      </c>
      <c r="G242" s="13">
        <v>0</v>
      </c>
      <c r="H242" s="13">
        <f t="shared" si="46"/>
        <v>0</v>
      </c>
      <c r="I242" s="13">
        <f t="shared" si="47"/>
        <v>0</v>
      </c>
      <c r="J242" s="13">
        <f t="shared" si="48"/>
        <v>0</v>
      </c>
      <c r="K242" s="13">
        <v>0</v>
      </c>
      <c r="L242" s="13">
        <f t="shared" si="49"/>
        <v>0</v>
      </c>
      <c r="M242" s="24" t="s">
        <v>641</v>
      </c>
      <c r="N242" s="24" t="s">
        <v>10</v>
      </c>
      <c r="O242" s="13">
        <f t="shared" si="50"/>
        <v>0</v>
      </c>
      <c r="Z242" s="13">
        <f t="shared" si="51"/>
        <v>0</v>
      </c>
      <c r="AA242" s="13">
        <f t="shared" si="52"/>
        <v>0</v>
      </c>
      <c r="AB242" s="13">
        <f t="shared" si="53"/>
        <v>0</v>
      </c>
      <c r="AD242" s="28">
        <v>21</v>
      </c>
      <c r="AE242" s="28">
        <f t="shared" si="54"/>
        <v>0</v>
      </c>
      <c r="AF242" s="28">
        <f t="shared" si="55"/>
        <v>0</v>
      </c>
      <c r="AM242" s="28">
        <f t="shared" si="56"/>
        <v>0</v>
      </c>
      <c r="AN242" s="28">
        <f t="shared" si="57"/>
        <v>0</v>
      </c>
      <c r="AO242" s="29" t="s">
        <v>666</v>
      </c>
      <c r="AP242" s="29" t="s">
        <v>672</v>
      </c>
      <c r="AQ242" s="21" t="s">
        <v>679</v>
      </c>
    </row>
    <row r="243" spans="1:43" ht="12.75">
      <c r="A243" s="4" t="s">
        <v>127</v>
      </c>
      <c r="B243" s="4" t="s">
        <v>190</v>
      </c>
      <c r="C243" s="4" t="s">
        <v>277</v>
      </c>
      <c r="D243" s="66" t="s">
        <v>517</v>
      </c>
      <c r="E243" s="4" t="s">
        <v>620</v>
      </c>
      <c r="F243" s="13">
        <v>64.8</v>
      </c>
      <c r="G243" s="13">
        <v>0</v>
      </c>
      <c r="H243" s="13">
        <f t="shared" si="46"/>
        <v>0</v>
      </c>
      <c r="I243" s="13">
        <f t="shared" si="47"/>
        <v>0</v>
      </c>
      <c r="J243" s="13">
        <f t="shared" si="48"/>
        <v>0</v>
      </c>
      <c r="K243" s="13">
        <v>0</v>
      </c>
      <c r="L243" s="13">
        <f t="shared" si="49"/>
        <v>0</v>
      </c>
      <c r="M243" s="24" t="s">
        <v>641</v>
      </c>
      <c r="N243" s="24" t="s">
        <v>10</v>
      </c>
      <c r="O243" s="13">
        <f t="shared" si="50"/>
        <v>0</v>
      </c>
      <c r="Z243" s="13">
        <f t="shared" si="51"/>
        <v>0</v>
      </c>
      <c r="AA243" s="13">
        <f t="shared" si="52"/>
        <v>0</v>
      </c>
      <c r="AB243" s="13">
        <f t="shared" si="53"/>
        <v>0</v>
      </c>
      <c r="AD243" s="28">
        <v>21</v>
      </c>
      <c r="AE243" s="28">
        <f t="shared" si="54"/>
        <v>0</v>
      </c>
      <c r="AF243" s="28">
        <f t="shared" si="55"/>
        <v>0</v>
      </c>
      <c r="AM243" s="28">
        <f t="shared" si="56"/>
        <v>0</v>
      </c>
      <c r="AN243" s="28">
        <f t="shared" si="57"/>
        <v>0</v>
      </c>
      <c r="AO243" s="29" t="s">
        <v>666</v>
      </c>
      <c r="AP243" s="29" t="s">
        <v>672</v>
      </c>
      <c r="AQ243" s="21" t="s">
        <v>679</v>
      </c>
    </row>
    <row r="244" spans="1:43" ht="12.75">
      <c r="A244" s="4" t="s">
        <v>128</v>
      </c>
      <c r="B244" s="4" t="s">
        <v>190</v>
      </c>
      <c r="C244" s="4" t="s">
        <v>278</v>
      </c>
      <c r="D244" s="66" t="s">
        <v>519</v>
      </c>
      <c r="E244" s="4" t="s">
        <v>620</v>
      </c>
      <c r="F244" s="13">
        <v>64.8</v>
      </c>
      <c r="G244" s="13">
        <v>0</v>
      </c>
      <c r="H244" s="13">
        <f t="shared" si="46"/>
        <v>0</v>
      </c>
      <c r="I244" s="13">
        <f t="shared" si="47"/>
        <v>0</v>
      </c>
      <c r="J244" s="13">
        <f t="shared" si="48"/>
        <v>0</v>
      </c>
      <c r="K244" s="13">
        <v>0</v>
      </c>
      <c r="L244" s="13">
        <f t="shared" si="49"/>
        <v>0</v>
      </c>
      <c r="M244" s="24" t="s">
        <v>641</v>
      </c>
      <c r="N244" s="24" t="s">
        <v>10</v>
      </c>
      <c r="O244" s="13">
        <f t="shared" si="50"/>
        <v>0</v>
      </c>
      <c r="Z244" s="13">
        <f t="shared" si="51"/>
        <v>0</v>
      </c>
      <c r="AA244" s="13">
        <f t="shared" si="52"/>
        <v>0</v>
      </c>
      <c r="AB244" s="13">
        <f t="shared" si="53"/>
        <v>0</v>
      </c>
      <c r="AD244" s="28">
        <v>21</v>
      </c>
      <c r="AE244" s="28">
        <f t="shared" si="54"/>
        <v>0</v>
      </c>
      <c r="AF244" s="28">
        <f t="shared" si="55"/>
        <v>0</v>
      </c>
      <c r="AM244" s="28">
        <f t="shared" si="56"/>
        <v>0</v>
      </c>
      <c r="AN244" s="28">
        <f t="shared" si="57"/>
        <v>0</v>
      </c>
      <c r="AO244" s="29" t="s">
        <v>666</v>
      </c>
      <c r="AP244" s="29" t="s">
        <v>672</v>
      </c>
      <c r="AQ244" s="21" t="s">
        <v>679</v>
      </c>
    </row>
    <row r="245" spans="1:43" ht="12.75">
      <c r="A245" s="4" t="s">
        <v>129</v>
      </c>
      <c r="B245" s="4" t="s">
        <v>190</v>
      </c>
      <c r="C245" s="4" t="s">
        <v>279</v>
      </c>
      <c r="D245" s="66" t="s">
        <v>521</v>
      </c>
      <c r="E245" s="4" t="s">
        <v>620</v>
      </c>
      <c r="F245" s="13">
        <v>64.8</v>
      </c>
      <c r="G245" s="13">
        <v>0</v>
      </c>
      <c r="H245" s="13">
        <f t="shared" si="46"/>
        <v>0</v>
      </c>
      <c r="I245" s="13">
        <f t="shared" si="47"/>
        <v>0</v>
      </c>
      <c r="J245" s="13">
        <f t="shared" si="48"/>
        <v>0</v>
      </c>
      <c r="K245" s="13">
        <v>0</v>
      </c>
      <c r="L245" s="13">
        <f t="shared" si="49"/>
        <v>0</v>
      </c>
      <c r="M245" s="24" t="s">
        <v>641</v>
      </c>
      <c r="N245" s="24" t="s">
        <v>10</v>
      </c>
      <c r="O245" s="13">
        <f t="shared" si="50"/>
        <v>0</v>
      </c>
      <c r="Z245" s="13">
        <f t="shared" si="51"/>
        <v>0</v>
      </c>
      <c r="AA245" s="13">
        <f t="shared" si="52"/>
        <v>0</v>
      </c>
      <c r="AB245" s="13">
        <f t="shared" si="53"/>
        <v>0</v>
      </c>
      <c r="AD245" s="28">
        <v>21</v>
      </c>
      <c r="AE245" s="28">
        <f t="shared" si="54"/>
        <v>0</v>
      </c>
      <c r="AF245" s="28">
        <f t="shared" si="55"/>
        <v>0</v>
      </c>
      <c r="AM245" s="28">
        <f t="shared" si="56"/>
        <v>0</v>
      </c>
      <c r="AN245" s="28">
        <f t="shared" si="57"/>
        <v>0</v>
      </c>
      <c r="AO245" s="29" t="s">
        <v>666</v>
      </c>
      <c r="AP245" s="29" t="s">
        <v>672</v>
      </c>
      <c r="AQ245" s="21" t="s">
        <v>679</v>
      </c>
    </row>
    <row r="246" spans="1:37" ht="12.75">
      <c r="A246" s="3"/>
      <c r="B246" s="10" t="s">
        <v>190</v>
      </c>
      <c r="C246" s="10" t="s">
        <v>306</v>
      </c>
      <c r="D246" s="114" t="s">
        <v>548</v>
      </c>
      <c r="E246" s="115"/>
      <c r="F246" s="115"/>
      <c r="G246" s="115"/>
      <c r="H246" s="30">
        <f>SUM(H247:H267)</f>
        <v>0</v>
      </c>
      <c r="I246" s="30">
        <f>SUM(I247:I267)</f>
        <v>0</v>
      </c>
      <c r="J246" s="30">
        <f>H246+I246</f>
        <v>0</v>
      </c>
      <c r="K246" s="21"/>
      <c r="L246" s="30">
        <f>SUM(L247:L267)</f>
        <v>0.10510000000000004</v>
      </c>
      <c r="M246" s="21"/>
      <c r="P246" s="30">
        <f>IF(Q246="PR",J246,SUM(O247:O267))</f>
        <v>0</v>
      </c>
      <c r="Q246" s="21" t="s">
        <v>646</v>
      </c>
      <c r="R246" s="30">
        <f>IF(Q246="HS",H246,0)</f>
        <v>0</v>
      </c>
      <c r="S246" s="30">
        <f>IF(Q246="HS",I246-P246,0)</f>
        <v>0</v>
      </c>
      <c r="T246" s="30">
        <f>IF(Q246="PS",H246,0)</f>
        <v>0</v>
      </c>
      <c r="U246" s="30">
        <f>IF(Q246="PS",I246-P246,0)</f>
        <v>0</v>
      </c>
      <c r="V246" s="30">
        <f>IF(Q246="MP",H246,0)</f>
        <v>0</v>
      </c>
      <c r="W246" s="30">
        <f>IF(Q246="MP",I246-P246,0)</f>
        <v>0</v>
      </c>
      <c r="X246" s="30">
        <f>IF(Q246="OM",H246,0)</f>
        <v>0</v>
      </c>
      <c r="Y246" s="21" t="s">
        <v>190</v>
      </c>
      <c r="AI246" s="30">
        <f>SUM(Z247:Z267)</f>
        <v>0</v>
      </c>
      <c r="AJ246" s="30">
        <f>SUM(AA247:AA267)</f>
        <v>0</v>
      </c>
      <c r="AK246" s="30">
        <f>SUM(AB247:AB267)</f>
        <v>0</v>
      </c>
    </row>
    <row r="247" spans="1:43" ht="25.5">
      <c r="A247" s="4" t="s">
        <v>130</v>
      </c>
      <c r="B247" s="4" t="s">
        <v>190</v>
      </c>
      <c r="C247" s="4" t="s">
        <v>307</v>
      </c>
      <c r="D247" s="66" t="s">
        <v>549</v>
      </c>
      <c r="E247" s="4" t="s">
        <v>614</v>
      </c>
      <c r="F247" s="13">
        <v>32</v>
      </c>
      <c r="G247" s="13">
        <v>0</v>
      </c>
      <c r="H247" s="13">
        <f aca="true" t="shared" si="58" ref="H247:H267">ROUND(F247*AE247,2)</f>
        <v>0</v>
      </c>
      <c r="I247" s="13">
        <f aca="true" t="shared" si="59" ref="I247:I267">J247-H247</f>
        <v>0</v>
      </c>
      <c r="J247" s="13">
        <f aca="true" t="shared" si="60" ref="J247:J267">ROUND(F247*G247,2)</f>
        <v>0</v>
      </c>
      <c r="K247" s="13">
        <v>2E-05</v>
      </c>
      <c r="L247" s="13">
        <f aca="true" t="shared" si="61" ref="L247:L267">F247*K247</f>
        <v>0.00064</v>
      </c>
      <c r="M247" s="24" t="s">
        <v>641</v>
      </c>
      <c r="N247" s="24" t="s">
        <v>6</v>
      </c>
      <c r="O247" s="13">
        <f aca="true" t="shared" si="62" ref="O247:O267">IF(N247="5",I247,0)</f>
        <v>0</v>
      </c>
      <c r="Z247" s="13">
        <f aca="true" t="shared" si="63" ref="Z247:Z267">IF(AD247=0,J247,0)</f>
        <v>0</v>
      </c>
      <c r="AA247" s="13">
        <f aca="true" t="shared" si="64" ref="AA247:AA267">IF(AD247=15,J247,0)</f>
        <v>0</v>
      </c>
      <c r="AB247" s="13">
        <f aca="true" t="shared" si="65" ref="AB247:AB267">IF(AD247=21,J247,0)</f>
        <v>0</v>
      </c>
      <c r="AD247" s="28">
        <v>21</v>
      </c>
      <c r="AE247" s="28">
        <f aca="true" t="shared" si="66" ref="AE247:AE267">G247*0</f>
        <v>0</v>
      </c>
      <c r="AF247" s="28">
        <f aca="true" t="shared" si="67" ref="AF247:AF267">G247*(1-0)</f>
        <v>0</v>
      </c>
      <c r="AM247" s="28">
        <f aca="true" t="shared" si="68" ref="AM247:AM267">F247*AE247</f>
        <v>0</v>
      </c>
      <c r="AN247" s="28">
        <f aca="true" t="shared" si="69" ref="AN247:AN267">F247*AF247</f>
        <v>0</v>
      </c>
      <c r="AO247" s="29" t="s">
        <v>667</v>
      </c>
      <c r="AP247" s="29" t="s">
        <v>672</v>
      </c>
      <c r="AQ247" s="21" t="s">
        <v>679</v>
      </c>
    </row>
    <row r="248" spans="1:43" ht="12.75">
      <c r="A248" s="4" t="s">
        <v>131</v>
      </c>
      <c r="B248" s="4" t="s">
        <v>190</v>
      </c>
      <c r="C248" s="4" t="s">
        <v>308</v>
      </c>
      <c r="D248" s="66" t="s">
        <v>550</v>
      </c>
      <c r="E248" s="4" t="s">
        <v>614</v>
      </c>
      <c r="F248" s="13">
        <v>32</v>
      </c>
      <c r="G248" s="13">
        <v>0</v>
      </c>
      <c r="H248" s="13">
        <f t="shared" si="58"/>
        <v>0</v>
      </c>
      <c r="I248" s="13">
        <f t="shared" si="59"/>
        <v>0</v>
      </c>
      <c r="J248" s="13">
        <f t="shared" si="60"/>
        <v>0</v>
      </c>
      <c r="K248" s="13">
        <v>2E-05</v>
      </c>
      <c r="L248" s="13">
        <f t="shared" si="61"/>
        <v>0.00064</v>
      </c>
      <c r="M248" s="24" t="s">
        <v>641</v>
      </c>
      <c r="N248" s="24" t="s">
        <v>6</v>
      </c>
      <c r="O248" s="13">
        <f t="shared" si="62"/>
        <v>0</v>
      </c>
      <c r="Z248" s="13">
        <f t="shared" si="63"/>
        <v>0</v>
      </c>
      <c r="AA248" s="13">
        <f t="shared" si="64"/>
        <v>0</v>
      </c>
      <c r="AB248" s="13">
        <f t="shared" si="65"/>
        <v>0</v>
      </c>
      <c r="AD248" s="28">
        <v>21</v>
      </c>
      <c r="AE248" s="28">
        <f t="shared" si="66"/>
        <v>0</v>
      </c>
      <c r="AF248" s="28">
        <f t="shared" si="67"/>
        <v>0</v>
      </c>
      <c r="AM248" s="28">
        <f t="shared" si="68"/>
        <v>0</v>
      </c>
      <c r="AN248" s="28">
        <f t="shared" si="69"/>
        <v>0</v>
      </c>
      <c r="AO248" s="29" t="s">
        <v>667</v>
      </c>
      <c r="AP248" s="29" t="s">
        <v>672</v>
      </c>
      <c r="AQ248" s="21" t="s">
        <v>679</v>
      </c>
    </row>
    <row r="249" spans="1:43" ht="12.75">
      <c r="A249" s="4" t="s">
        <v>132</v>
      </c>
      <c r="B249" s="4" t="s">
        <v>190</v>
      </c>
      <c r="C249" s="4" t="s">
        <v>309</v>
      </c>
      <c r="D249" s="66" t="s">
        <v>551</v>
      </c>
      <c r="E249" s="4" t="s">
        <v>614</v>
      </c>
      <c r="F249" s="13">
        <v>64</v>
      </c>
      <c r="G249" s="13">
        <v>0</v>
      </c>
      <c r="H249" s="13">
        <f t="shared" si="58"/>
        <v>0</v>
      </c>
      <c r="I249" s="13">
        <f t="shared" si="59"/>
        <v>0</v>
      </c>
      <c r="J249" s="13">
        <f t="shared" si="60"/>
        <v>0</v>
      </c>
      <c r="K249" s="13">
        <v>2E-05</v>
      </c>
      <c r="L249" s="13">
        <f t="shared" si="61"/>
        <v>0.00128</v>
      </c>
      <c r="M249" s="24" t="s">
        <v>641</v>
      </c>
      <c r="N249" s="24" t="s">
        <v>6</v>
      </c>
      <c r="O249" s="13">
        <f t="shared" si="62"/>
        <v>0</v>
      </c>
      <c r="Z249" s="13">
        <f t="shared" si="63"/>
        <v>0</v>
      </c>
      <c r="AA249" s="13">
        <f t="shared" si="64"/>
        <v>0</v>
      </c>
      <c r="AB249" s="13">
        <f t="shared" si="65"/>
        <v>0</v>
      </c>
      <c r="AD249" s="28">
        <v>21</v>
      </c>
      <c r="AE249" s="28">
        <f t="shared" si="66"/>
        <v>0</v>
      </c>
      <c r="AF249" s="28">
        <f t="shared" si="67"/>
        <v>0</v>
      </c>
      <c r="AM249" s="28">
        <f t="shared" si="68"/>
        <v>0</v>
      </c>
      <c r="AN249" s="28">
        <f t="shared" si="69"/>
        <v>0</v>
      </c>
      <c r="AO249" s="29" t="s">
        <v>667</v>
      </c>
      <c r="AP249" s="29" t="s">
        <v>672</v>
      </c>
      <c r="AQ249" s="21" t="s">
        <v>679</v>
      </c>
    </row>
    <row r="250" spans="1:43" ht="12.75">
      <c r="A250" s="4" t="s">
        <v>133</v>
      </c>
      <c r="B250" s="4" t="s">
        <v>190</v>
      </c>
      <c r="C250" s="4" t="s">
        <v>310</v>
      </c>
      <c r="D250" s="66" t="s">
        <v>552</v>
      </c>
      <c r="E250" s="4" t="s">
        <v>614</v>
      </c>
      <c r="F250" s="13">
        <v>64</v>
      </c>
      <c r="G250" s="13">
        <v>0</v>
      </c>
      <c r="H250" s="13">
        <f t="shared" si="58"/>
        <v>0</v>
      </c>
      <c r="I250" s="13">
        <f t="shared" si="59"/>
        <v>0</v>
      </c>
      <c r="J250" s="13">
        <f t="shared" si="60"/>
        <v>0</v>
      </c>
      <c r="K250" s="13">
        <v>2E-05</v>
      </c>
      <c r="L250" s="13">
        <f t="shared" si="61"/>
        <v>0.00128</v>
      </c>
      <c r="M250" s="24" t="s">
        <v>641</v>
      </c>
      <c r="N250" s="24" t="s">
        <v>6</v>
      </c>
      <c r="O250" s="13">
        <f t="shared" si="62"/>
        <v>0</v>
      </c>
      <c r="Z250" s="13">
        <f t="shared" si="63"/>
        <v>0</v>
      </c>
      <c r="AA250" s="13">
        <f t="shared" si="64"/>
        <v>0</v>
      </c>
      <c r="AB250" s="13">
        <f t="shared" si="65"/>
        <v>0</v>
      </c>
      <c r="AD250" s="28">
        <v>21</v>
      </c>
      <c r="AE250" s="28">
        <f t="shared" si="66"/>
        <v>0</v>
      </c>
      <c r="AF250" s="28">
        <f t="shared" si="67"/>
        <v>0</v>
      </c>
      <c r="AM250" s="28">
        <f t="shared" si="68"/>
        <v>0</v>
      </c>
      <c r="AN250" s="28">
        <f t="shared" si="69"/>
        <v>0</v>
      </c>
      <c r="AO250" s="29" t="s">
        <v>667</v>
      </c>
      <c r="AP250" s="29" t="s">
        <v>672</v>
      </c>
      <c r="AQ250" s="21" t="s">
        <v>679</v>
      </c>
    </row>
    <row r="251" spans="1:43" ht="12.75">
      <c r="A251" s="4" t="s">
        <v>134</v>
      </c>
      <c r="B251" s="4" t="s">
        <v>190</v>
      </c>
      <c r="C251" s="4" t="s">
        <v>311</v>
      </c>
      <c r="D251" s="66" t="s">
        <v>553</v>
      </c>
      <c r="E251" s="4" t="s">
        <v>614</v>
      </c>
      <c r="F251" s="13">
        <v>64</v>
      </c>
      <c r="G251" s="13">
        <v>0</v>
      </c>
      <c r="H251" s="13">
        <f t="shared" si="58"/>
        <v>0</v>
      </c>
      <c r="I251" s="13">
        <f t="shared" si="59"/>
        <v>0</v>
      </c>
      <c r="J251" s="13">
        <f t="shared" si="60"/>
        <v>0</v>
      </c>
      <c r="K251" s="13">
        <v>2E-05</v>
      </c>
      <c r="L251" s="13">
        <f t="shared" si="61"/>
        <v>0.00128</v>
      </c>
      <c r="M251" s="24" t="s">
        <v>641</v>
      </c>
      <c r="N251" s="24" t="s">
        <v>6</v>
      </c>
      <c r="O251" s="13">
        <f t="shared" si="62"/>
        <v>0</v>
      </c>
      <c r="Z251" s="13">
        <f t="shared" si="63"/>
        <v>0</v>
      </c>
      <c r="AA251" s="13">
        <f t="shared" si="64"/>
        <v>0</v>
      </c>
      <c r="AB251" s="13">
        <f t="shared" si="65"/>
        <v>0</v>
      </c>
      <c r="AD251" s="28">
        <v>21</v>
      </c>
      <c r="AE251" s="28">
        <f t="shared" si="66"/>
        <v>0</v>
      </c>
      <c r="AF251" s="28">
        <f t="shared" si="67"/>
        <v>0</v>
      </c>
      <c r="AM251" s="28">
        <f t="shared" si="68"/>
        <v>0</v>
      </c>
      <c r="AN251" s="28">
        <f t="shared" si="69"/>
        <v>0</v>
      </c>
      <c r="AO251" s="29" t="s">
        <v>667</v>
      </c>
      <c r="AP251" s="29" t="s">
        <v>672</v>
      </c>
      <c r="AQ251" s="21" t="s">
        <v>679</v>
      </c>
    </row>
    <row r="252" spans="1:43" ht="12.75">
      <c r="A252" s="4" t="s">
        <v>135</v>
      </c>
      <c r="B252" s="4" t="s">
        <v>190</v>
      </c>
      <c r="C252" s="4" t="s">
        <v>312</v>
      </c>
      <c r="D252" s="66" t="s">
        <v>554</v>
      </c>
      <c r="E252" s="4" t="s">
        <v>614</v>
      </c>
      <c r="F252" s="13">
        <v>64</v>
      </c>
      <c r="G252" s="13">
        <v>0</v>
      </c>
      <c r="H252" s="13">
        <f t="shared" si="58"/>
        <v>0</v>
      </c>
      <c r="I252" s="13">
        <f t="shared" si="59"/>
        <v>0</v>
      </c>
      <c r="J252" s="13">
        <f t="shared" si="60"/>
        <v>0</v>
      </c>
      <c r="K252" s="13">
        <v>2E-05</v>
      </c>
      <c r="L252" s="13">
        <f t="shared" si="61"/>
        <v>0.00128</v>
      </c>
      <c r="M252" s="24" t="s">
        <v>641</v>
      </c>
      <c r="N252" s="24" t="s">
        <v>6</v>
      </c>
      <c r="O252" s="13">
        <f t="shared" si="62"/>
        <v>0</v>
      </c>
      <c r="Z252" s="13">
        <f t="shared" si="63"/>
        <v>0</v>
      </c>
      <c r="AA252" s="13">
        <f t="shared" si="64"/>
        <v>0</v>
      </c>
      <c r="AB252" s="13">
        <f t="shared" si="65"/>
        <v>0</v>
      </c>
      <c r="AD252" s="28">
        <v>21</v>
      </c>
      <c r="AE252" s="28">
        <f t="shared" si="66"/>
        <v>0</v>
      </c>
      <c r="AF252" s="28">
        <f t="shared" si="67"/>
        <v>0</v>
      </c>
      <c r="AM252" s="28">
        <f t="shared" si="68"/>
        <v>0</v>
      </c>
      <c r="AN252" s="28">
        <f t="shared" si="69"/>
        <v>0</v>
      </c>
      <c r="AO252" s="29" t="s">
        <v>667</v>
      </c>
      <c r="AP252" s="29" t="s">
        <v>672</v>
      </c>
      <c r="AQ252" s="21" t="s">
        <v>679</v>
      </c>
    </row>
    <row r="253" spans="1:43" ht="12.75">
      <c r="A253" s="4" t="s">
        <v>136</v>
      </c>
      <c r="B253" s="4" t="s">
        <v>190</v>
      </c>
      <c r="C253" s="4" t="s">
        <v>313</v>
      </c>
      <c r="D253" s="66" t="s">
        <v>555</v>
      </c>
      <c r="E253" s="4" t="s">
        <v>614</v>
      </c>
      <c r="F253" s="13">
        <v>32</v>
      </c>
      <c r="G253" s="13">
        <v>0</v>
      </c>
      <c r="H253" s="13">
        <f t="shared" si="58"/>
        <v>0</v>
      </c>
      <c r="I253" s="13">
        <f t="shared" si="59"/>
        <v>0</v>
      </c>
      <c r="J253" s="13">
        <f t="shared" si="60"/>
        <v>0</v>
      </c>
      <c r="K253" s="13">
        <v>2E-05</v>
      </c>
      <c r="L253" s="13">
        <f t="shared" si="61"/>
        <v>0.00064</v>
      </c>
      <c r="M253" s="24" t="s">
        <v>641</v>
      </c>
      <c r="N253" s="24" t="s">
        <v>6</v>
      </c>
      <c r="O253" s="13">
        <f t="shared" si="62"/>
        <v>0</v>
      </c>
      <c r="Z253" s="13">
        <f t="shared" si="63"/>
        <v>0</v>
      </c>
      <c r="AA253" s="13">
        <f t="shared" si="64"/>
        <v>0</v>
      </c>
      <c r="AB253" s="13">
        <f t="shared" si="65"/>
        <v>0</v>
      </c>
      <c r="AD253" s="28">
        <v>21</v>
      </c>
      <c r="AE253" s="28">
        <f t="shared" si="66"/>
        <v>0</v>
      </c>
      <c r="AF253" s="28">
        <f t="shared" si="67"/>
        <v>0</v>
      </c>
      <c r="AM253" s="28">
        <f t="shared" si="68"/>
        <v>0</v>
      </c>
      <c r="AN253" s="28">
        <f t="shared" si="69"/>
        <v>0</v>
      </c>
      <c r="AO253" s="29" t="s">
        <v>667</v>
      </c>
      <c r="AP253" s="29" t="s">
        <v>672</v>
      </c>
      <c r="AQ253" s="21" t="s">
        <v>679</v>
      </c>
    </row>
    <row r="254" spans="1:43" ht="12.75">
      <c r="A254" s="4" t="s">
        <v>137</v>
      </c>
      <c r="B254" s="4" t="s">
        <v>190</v>
      </c>
      <c r="C254" s="4" t="s">
        <v>314</v>
      </c>
      <c r="D254" s="66" t="s">
        <v>556</v>
      </c>
      <c r="E254" s="4" t="s">
        <v>617</v>
      </c>
      <c r="F254" s="13">
        <v>920</v>
      </c>
      <c r="G254" s="13">
        <v>0</v>
      </c>
      <c r="H254" s="13">
        <f t="shared" si="58"/>
        <v>0</v>
      </c>
      <c r="I254" s="13">
        <f t="shared" si="59"/>
        <v>0</v>
      </c>
      <c r="J254" s="13">
        <f t="shared" si="60"/>
        <v>0</v>
      </c>
      <c r="K254" s="13">
        <v>2E-05</v>
      </c>
      <c r="L254" s="13">
        <f t="shared" si="61"/>
        <v>0.018400000000000003</v>
      </c>
      <c r="M254" s="24" t="s">
        <v>641</v>
      </c>
      <c r="N254" s="24" t="s">
        <v>6</v>
      </c>
      <c r="O254" s="13">
        <f t="shared" si="62"/>
        <v>0</v>
      </c>
      <c r="Z254" s="13">
        <f t="shared" si="63"/>
        <v>0</v>
      </c>
      <c r="AA254" s="13">
        <f t="shared" si="64"/>
        <v>0</v>
      </c>
      <c r="AB254" s="13">
        <f t="shared" si="65"/>
        <v>0</v>
      </c>
      <c r="AD254" s="28">
        <v>21</v>
      </c>
      <c r="AE254" s="28">
        <f t="shared" si="66"/>
        <v>0</v>
      </c>
      <c r="AF254" s="28">
        <f t="shared" si="67"/>
        <v>0</v>
      </c>
      <c r="AM254" s="28">
        <f t="shared" si="68"/>
        <v>0</v>
      </c>
      <c r="AN254" s="28">
        <f t="shared" si="69"/>
        <v>0</v>
      </c>
      <c r="AO254" s="29" t="s">
        <v>667</v>
      </c>
      <c r="AP254" s="29" t="s">
        <v>672</v>
      </c>
      <c r="AQ254" s="21" t="s">
        <v>679</v>
      </c>
    </row>
    <row r="255" spans="1:43" ht="25.5">
      <c r="A255" s="4" t="s">
        <v>138</v>
      </c>
      <c r="B255" s="4" t="s">
        <v>190</v>
      </c>
      <c r="C255" s="4" t="s">
        <v>315</v>
      </c>
      <c r="D255" s="66" t="s">
        <v>557</v>
      </c>
      <c r="E255" s="4" t="s">
        <v>614</v>
      </c>
      <c r="F255" s="13">
        <v>64</v>
      </c>
      <c r="G255" s="13">
        <v>0</v>
      </c>
      <c r="H255" s="13">
        <f t="shared" si="58"/>
        <v>0</v>
      </c>
      <c r="I255" s="13">
        <f t="shared" si="59"/>
        <v>0</v>
      </c>
      <c r="J255" s="13">
        <f t="shared" si="60"/>
        <v>0</v>
      </c>
      <c r="K255" s="13">
        <v>2E-05</v>
      </c>
      <c r="L255" s="13">
        <f t="shared" si="61"/>
        <v>0.00128</v>
      </c>
      <c r="M255" s="24" t="s">
        <v>641</v>
      </c>
      <c r="N255" s="24" t="s">
        <v>6</v>
      </c>
      <c r="O255" s="13">
        <f t="shared" si="62"/>
        <v>0</v>
      </c>
      <c r="Z255" s="13">
        <f t="shared" si="63"/>
        <v>0</v>
      </c>
      <c r="AA255" s="13">
        <f t="shared" si="64"/>
        <v>0</v>
      </c>
      <c r="AB255" s="13">
        <f t="shared" si="65"/>
        <v>0</v>
      </c>
      <c r="AD255" s="28">
        <v>21</v>
      </c>
      <c r="AE255" s="28">
        <f t="shared" si="66"/>
        <v>0</v>
      </c>
      <c r="AF255" s="28">
        <f t="shared" si="67"/>
        <v>0</v>
      </c>
      <c r="AM255" s="28">
        <f t="shared" si="68"/>
        <v>0</v>
      </c>
      <c r="AN255" s="28">
        <f t="shared" si="69"/>
        <v>0</v>
      </c>
      <c r="AO255" s="29" t="s">
        <v>667</v>
      </c>
      <c r="AP255" s="29" t="s">
        <v>672</v>
      </c>
      <c r="AQ255" s="21" t="s">
        <v>679</v>
      </c>
    </row>
    <row r="256" spans="1:43" ht="12.75">
      <c r="A256" s="4" t="s">
        <v>139</v>
      </c>
      <c r="B256" s="4" t="s">
        <v>190</v>
      </c>
      <c r="C256" s="4" t="s">
        <v>316</v>
      </c>
      <c r="D256" s="66" t="s">
        <v>558</v>
      </c>
      <c r="E256" s="4" t="s">
        <v>617</v>
      </c>
      <c r="F256" s="13">
        <v>920</v>
      </c>
      <c r="G256" s="13">
        <v>0</v>
      </c>
      <c r="H256" s="13">
        <f t="shared" si="58"/>
        <v>0</v>
      </c>
      <c r="I256" s="13">
        <f t="shared" si="59"/>
        <v>0</v>
      </c>
      <c r="J256" s="13">
        <f t="shared" si="60"/>
        <v>0</v>
      </c>
      <c r="K256" s="13">
        <v>2E-05</v>
      </c>
      <c r="L256" s="13">
        <f t="shared" si="61"/>
        <v>0.018400000000000003</v>
      </c>
      <c r="M256" s="24" t="s">
        <v>641</v>
      </c>
      <c r="N256" s="24" t="s">
        <v>6</v>
      </c>
      <c r="O256" s="13">
        <f t="shared" si="62"/>
        <v>0</v>
      </c>
      <c r="Z256" s="13">
        <f t="shared" si="63"/>
        <v>0</v>
      </c>
      <c r="AA256" s="13">
        <f t="shared" si="64"/>
        <v>0</v>
      </c>
      <c r="AB256" s="13">
        <f t="shared" si="65"/>
        <v>0</v>
      </c>
      <c r="AD256" s="28">
        <v>21</v>
      </c>
      <c r="AE256" s="28">
        <f t="shared" si="66"/>
        <v>0</v>
      </c>
      <c r="AF256" s="28">
        <f t="shared" si="67"/>
        <v>0</v>
      </c>
      <c r="AM256" s="28">
        <f t="shared" si="68"/>
        <v>0</v>
      </c>
      <c r="AN256" s="28">
        <f t="shared" si="69"/>
        <v>0</v>
      </c>
      <c r="AO256" s="29" t="s">
        <v>667</v>
      </c>
      <c r="AP256" s="29" t="s">
        <v>672</v>
      </c>
      <c r="AQ256" s="21" t="s">
        <v>679</v>
      </c>
    </row>
    <row r="257" spans="1:43" ht="12.75">
      <c r="A257" s="4" t="s">
        <v>140</v>
      </c>
      <c r="B257" s="4" t="s">
        <v>190</v>
      </c>
      <c r="C257" s="4" t="s">
        <v>317</v>
      </c>
      <c r="D257" s="66" t="s">
        <v>559</v>
      </c>
      <c r="E257" s="4" t="s">
        <v>614</v>
      </c>
      <c r="F257" s="13">
        <v>32</v>
      </c>
      <c r="G257" s="13">
        <v>0</v>
      </c>
      <c r="H257" s="13">
        <f t="shared" si="58"/>
        <v>0</v>
      </c>
      <c r="I257" s="13">
        <f t="shared" si="59"/>
        <v>0</v>
      </c>
      <c r="J257" s="13">
        <f t="shared" si="60"/>
        <v>0</v>
      </c>
      <c r="K257" s="13">
        <v>2E-05</v>
      </c>
      <c r="L257" s="13">
        <f t="shared" si="61"/>
        <v>0.00064</v>
      </c>
      <c r="M257" s="24" t="s">
        <v>641</v>
      </c>
      <c r="N257" s="24" t="s">
        <v>6</v>
      </c>
      <c r="O257" s="13">
        <f t="shared" si="62"/>
        <v>0</v>
      </c>
      <c r="Z257" s="13">
        <f t="shared" si="63"/>
        <v>0</v>
      </c>
      <c r="AA257" s="13">
        <f t="shared" si="64"/>
        <v>0</v>
      </c>
      <c r="AB257" s="13">
        <f t="shared" si="65"/>
        <v>0</v>
      </c>
      <c r="AD257" s="28">
        <v>21</v>
      </c>
      <c r="AE257" s="28">
        <f t="shared" si="66"/>
        <v>0</v>
      </c>
      <c r="AF257" s="28">
        <f t="shared" si="67"/>
        <v>0</v>
      </c>
      <c r="AM257" s="28">
        <f t="shared" si="68"/>
        <v>0</v>
      </c>
      <c r="AN257" s="28">
        <f t="shared" si="69"/>
        <v>0</v>
      </c>
      <c r="AO257" s="29" t="s">
        <v>667</v>
      </c>
      <c r="AP257" s="29" t="s">
        <v>672</v>
      </c>
      <c r="AQ257" s="21" t="s">
        <v>679</v>
      </c>
    </row>
    <row r="258" spans="1:43" ht="12.75">
      <c r="A258" s="4" t="s">
        <v>141</v>
      </c>
      <c r="B258" s="4" t="s">
        <v>190</v>
      </c>
      <c r="C258" s="4" t="s">
        <v>318</v>
      </c>
      <c r="D258" s="66" t="s">
        <v>560</v>
      </c>
      <c r="E258" s="4" t="s">
        <v>617</v>
      </c>
      <c r="F258" s="13">
        <v>920</v>
      </c>
      <c r="G258" s="13">
        <v>0</v>
      </c>
      <c r="H258" s="13">
        <f t="shared" si="58"/>
        <v>0</v>
      </c>
      <c r="I258" s="13">
        <f t="shared" si="59"/>
        <v>0</v>
      </c>
      <c r="J258" s="13">
        <f t="shared" si="60"/>
        <v>0</v>
      </c>
      <c r="K258" s="13">
        <v>2E-05</v>
      </c>
      <c r="L258" s="13">
        <f t="shared" si="61"/>
        <v>0.018400000000000003</v>
      </c>
      <c r="M258" s="24" t="s">
        <v>641</v>
      </c>
      <c r="N258" s="24" t="s">
        <v>6</v>
      </c>
      <c r="O258" s="13">
        <f t="shared" si="62"/>
        <v>0</v>
      </c>
      <c r="Z258" s="13">
        <f t="shared" si="63"/>
        <v>0</v>
      </c>
      <c r="AA258" s="13">
        <f t="shared" si="64"/>
        <v>0</v>
      </c>
      <c r="AB258" s="13">
        <f t="shared" si="65"/>
        <v>0</v>
      </c>
      <c r="AD258" s="28">
        <v>21</v>
      </c>
      <c r="AE258" s="28">
        <f t="shared" si="66"/>
        <v>0</v>
      </c>
      <c r="AF258" s="28">
        <f t="shared" si="67"/>
        <v>0</v>
      </c>
      <c r="AM258" s="28">
        <f t="shared" si="68"/>
        <v>0</v>
      </c>
      <c r="AN258" s="28">
        <f t="shared" si="69"/>
        <v>0</v>
      </c>
      <c r="AO258" s="29" t="s">
        <v>667</v>
      </c>
      <c r="AP258" s="29" t="s">
        <v>672</v>
      </c>
      <c r="AQ258" s="21" t="s">
        <v>679</v>
      </c>
    </row>
    <row r="259" spans="1:43" ht="12.75">
      <c r="A259" s="4" t="s">
        <v>142</v>
      </c>
      <c r="B259" s="4" t="s">
        <v>190</v>
      </c>
      <c r="C259" s="4" t="s">
        <v>319</v>
      </c>
      <c r="D259" s="66" t="s">
        <v>561</v>
      </c>
      <c r="E259" s="4" t="s">
        <v>617</v>
      </c>
      <c r="F259" s="13">
        <v>920</v>
      </c>
      <c r="G259" s="13">
        <v>0</v>
      </c>
      <c r="H259" s="13">
        <f t="shared" si="58"/>
        <v>0</v>
      </c>
      <c r="I259" s="13">
        <f t="shared" si="59"/>
        <v>0</v>
      </c>
      <c r="J259" s="13">
        <f t="shared" si="60"/>
        <v>0</v>
      </c>
      <c r="K259" s="13">
        <v>2E-05</v>
      </c>
      <c r="L259" s="13">
        <f t="shared" si="61"/>
        <v>0.018400000000000003</v>
      </c>
      <c r="M259" s="24" t="s">
        <v>641</v>
      </c>
      <c r="N259" s="24" t="s">
        <v>6</v>
      </c>
      <c r="O259" s="13">
        <f t="shared" si="62"/>
        <v>0</v>
      </c>
      <c r="Z259" s="13">
        <f t="shared" si="63"/>
        <v>0</v>
      </c>
      <c r="AA259" s="13">
        <f t="shared" si="64"/>
        <v>0</v>
      </c>
      <c r="AB259" s="13">
        <f t="shared" si="65"/>
        <v>0</v>
      </c>
      <c r="AD259" s="28">
        <v>21</v>
      </c>
      <c r="AE259" s="28">
        <f t="shared" si="66"/>
        <v>0</v>
      </c>
      <c r="AF259" s="28">
        <f t="shared" si="67"/>
        <v>0</v>
      </c>
      <c r="AM259" s="28">
        <f t="shared" si="68"/>
        <v>0</v>
      </c>
      <c r="AN259" s="28">
        <f t="shared" si="69"/>
        <v>0</v>
      </c>
      <c r="AO259" s="29" t="s">
        <v>667</v>
      </c>
      <c r="AP259" s="29" t="s">
        <v>672</v>
      </c>
      <c r="AQ259" s="21" t="s">
        <v>679</v>
      </c>
    </row>
    <row r="260" spans="1:43" ht="12.75">
      <c r="A260" s="4" t="s">
        <v>143</v>
      </c>
      <c r="B260" s="4" t="s">
        <v>190</v>
      </c>
      <c r="C260" s="4" t="s">
        <v>320</v>
      </c>
      <c r="D260" s="66" t="s">
        <v>562</v>
      </c>
      <c r="E260" s="4" t="s">
        <v>621</v>
      </c>
      <c r="F260" s="13">
        <v>920</v>
      </c>
      <c r="G260" s="13">
        <v>0</v>
      </c>
      <c r="H260" s="13">
        <f t="shared" si="58"/>
        <v>0</v>
      </c>
      <c r="I260" s="13">
        <f t="shared" si="59"/>
        <v>0</v>
      </c>
      <c r="J260" s="13">
        <f t="shared" si="60"/>
        <v>0</v>
      </c>
      <c r="K260" s="13">
        <v>2E-05</v>
      </c>
      <c r="L260" s="13">
        <f t="shared" si="61"/>
        <v>0.018400000000000003</v>
      </c>
      <c r="M260" s="24" t="s">
        <v>641</v>
      </c>
      <c r="N260" s="24" t="s">
        <v>6</v>
      </c>
      <c r="O260" s="13">
        <f t="shared" si="62"/>
        <v>0</v>
      </c>
      <c r="Z260" s="13">
        <f t="shared" si="63"/>
        <v>0</v>
      </c>
      <c r="AA260" s="13">
        <f t="shared" si="64"/>
        <v>0</v>
      </c>
      <c r="AB260" s="13">
        <f t="shared" si="65"/>
        <v>0</v>
      </c>
      <c r="AD260" s="28">
        <v>21</v>
      </c>
      <c r="AE260" s="28">
        <f t="shared" si="66"/>
        <v>0</v>
      </c>
      <c r="AF260" s="28">
        <f t="shared" si="67"/>
        <v>0</v>
      </c>
      <c r="AM260" s="28">
        <f t="shared" si="68"/>
        <v>0</v>
      </c>
      <c r="AN260" s="28">
        <f t="shared" si="69"/>
        <v>0</v>
      </c>
      <c r="AO260" s="29" t="s">
        <v>667</v>
      </c>
      <c r="AP260" s="29" t="s">
        <v>672</v>
      </c>
      <c r="AQ260" s="21" t="s">
        <v>679</v>
      </c>
    </row>
    <row r="261" spans="1:43" ht="12.75">
      <c r="A261" s="4" t="s">
        <v>144</v>
      </c>
      <c r="B261" s="4" t="s">
        <v>190</v>
      </c>
      <c r="C261" s="4" t="s">
        <v>321</v>
      </c>
      <c r="D261" s="66" t="s">
        <v>563</v>
      </c>
      <c r="E261" s="4" t="s">
        <v>614</v>
      </c>
      <c r="F261" s="13">
        <v>64</v>
      </c>
      <c r="G261" s="13">
        <v>0</v>
      </c>
      <c r="H261" s="13">
        <f t="shared" si="58"/>
        <v>0</v>
      </c>
      <c r="I261" s="13">
        <f t="shared" si="59"/>
        <v>0</v>
      </c>
      <c r="J261" s="13">
        <f t="shared" si="60"/>
        <v>0</v>
      </c>
      <c r="K261" s="13">
        <v>2E-05</v>
      </c>
      <c r="L261" s="13">
        <f t="shared" si="61"/>
        <v>0.00128</v>
      </c>
      <c r="M261" s="24" t="s">
        <v>641</v>
      </c>
      <c r="N261" s="24" t="s">
        <v>6</v>
      </c>
      <c r="O261" s="13">
        <f t="shared" si="62"/>
        <v>0</v>
      </c>
      <c r="Z261" s="13">
        <f t="shared" si="63"/>
        <v>0</v>
      </c>
      <c r="AA261" s="13">
        <f t="shared" si="64"/>
        <v>0</v>
      </c>
      <c r="AB261" s="13">
        <f t="shared" si="65"/>
        <v>0</v>
      </c>
      <c r="AD261" s="28">
        <v>21</v>
      </c>
      <c r="AE261" s="28">
        <f t="shared" si="66"/>
        <v>0</v>
      </c>
      <c r="AF261" s="28">
        <f t="shared" si="67"/>
        <v>0</v>
      </c>
      <c r="AM261" s="28">
        <f t="shared" si="68"/>
        <v>0</v>
      </c>
      <c r="AN261" s="28">
        <f t="shared" si="69"/>
        <v>0</v>
      </c>
      <c r="AO261" s="29" t="s">
        <v>667</v>
      </c>
      <c r="AP261" s="29" t="s">
        <v>672</v>
      </c>
      <c r="AQ261" s="21" t="s">
        <v>679</v>
      </c>
    </row>
    <row r="262" spans="1:43" ht="12.75">
      <c r="A262" s="4" t="s">
        <v>145</v>
      </c>
      <c r="B262" s="4" t="s">
        <v>190</v>
      </c>
      <c r="C262" s="4" t="s">
        <v>322</v>
      </c>
      <c r="D262" s="66" t="s">
        <v>564</v>
      </c>
      <c r="E262" s="4" t="s">
        <v>614</v>
      </c>
      <c r="F262" s="13">
        <v>64</v>
      </c>
      <c r="G262" s="13">
        <v>0</v>
      </c>
      <c r="H262" s="13">
        <f t="shared" si="58"/>
        <v>0</v>
      </c>
      <c r="I262" s="13">
        <f t="shared" si="59"/>
        <v>0</v>
      </c>
      <c r="J262" s="13">
        <f t="shared" si="60"/>
        <v>0</v>
      </c>
      <c r="K262" s="13">
        <v>2E-05</v>
      </c>
      <c r="L262" s="13">
        <f t="shared" si="61"/>
        <v>0.00128</v>
      </c>
      <c r="M262" s="24" t="s">
        <v>641</v>
      </c>
      <c r="N262" s="24" t="s">
        <v>6</v>
      </c>
      <c r="O262" s="13">
        <f t="shared" si="62"/>
        <v>0</v>
      </c>
      <c r="Z262" s="13">
        <f t="shared" si="63"/>
        <v>0</v>
      </c>
      <c r="AA262" s="13">
        <f t="shared" si="64"/>
        <v>0</v>
      </c>
      <c r="AB262" s="13">
        <f t="shared" si="65"/>
        <v>0</v>
      </c>
      <c r="AD262" s="28">
        <v>21</v>
      </c>
      <c r="AE262" s="28">
        <f t="shared" si="66"/>
        <v>0</v>
      </c>
      <c r="AF262" s="28">
        <f t="shared" si="67"/>
        <v>0</v>
      </c>
      <c r="AM262" s="28">
        <f t="shared" si="68"/>
        <v>0</v>
      </c>
      <c r="AN262" s="28">
        <f t="shared" si="69"/>
        <v>0</v>
      </c>
      <c r="AO262" s="29" t="s">
        <v>667</v>
      </c>
      <c r="AP262" s="29" t="s">
        <v>672</v>
      </c>
      <c r="AQ262" s="21" t="s">
        <v>679</v>
      </c>
    </row>
    <row r="263" spans="1:43" ht="12.75">
      <c r="A263" s="4" t="s">
        <v>146</v>
      </c>
      <c r="B263" s="4" t="s">
        <v>190</v>
      </c>
      <c r="C263" s="4" t="s">
        <v>323</v>
      </c>
      <c r="D263" s="66" t="s">
        <v>565</v>
      </c>
      <c r="E263" s="4" t="s">
        <v>614</v>
      </c>
      <c r="F263" s="13">
        <v>64</v>
      </c>
      <c r="G263" s="13">
        <v>0</v>
      </c>
      <c r="H263" s="13">
        <f t="shared" si="58"/>
        <v>0</v>
      </c>
      <c r="I263" s="13">
        <f t="shared" si="59"/>
        <v>0</v>
      </c>
      <c r="J263" s="13">
        <f t="shared" si="60"/>
        <v>0</v>
      </c>
      <c r="K263" s="13">
        <v>2E-05</v>
      </c>
      <c r="L263" s="13">
        <f t="shared" si="61"/>
        <v>0.00128</v>
      </c>
      <c r="M263" s="24" t="s">
        <v>641</v>
      </c>
      <c r="N263" s="24" t="s">
        <v>6</v>
      </c>
      <c r="O263" s="13">
        <f t="shared" si="62"/>
        <v>0</v>
      </c>
      <c r="Z263" s="13">
        <f t="shared" si="63"/>
        <v>0</v>
      </c>
      <c r="AA263" s="13">
        <f t="shared" si="64"/>
        <v>0</v>
      </c>
      <c r="AB263" s="13">
        <f t="shared" si="65"/>
        <v>0</v>
      </c>
      <c r="AD263" s="28">
        <v>21</v>
      </c>
      <c r="AE263" s="28">
        <f t="shared" si="66"/>
        <v>0</v>
      </c>
      <c r="AF263" s="28">
        <f t="shared" si="67"/>
        <v>0</v>
      </c>
      <c r="AM263" s="28">
        <f t="shared" si="68"/>
        <v>0</v>
      </c>
      <c r="AN263" s="28">
        <f t="shared" si="69"/>
        <v>0</v>
      </c>
      <c r="AO263" s="29" t="s">
        <v>667</v>
      </c>
      <c r="AP263" s="29" t="s">
        <v>672</v>
      </c>
      <c r="AQ263" s="21" t="s">
        <v>679</v>
      </c>
    </row>
    <row r="264" spans="1:43" ht="38.25">
      <c r="A264" s="4" t="s">
        <v>147</v>
      </c>
      <c r="B264" s="4" t="s">
        <v>190</v>
      </c>
      <c r="C264" s="4" t="s">
        <v>324</v>
      </c>
      <c r="D264" s="66" t="s">
        <v>566</v>
      </c>
      <c r="E264" s="4" t="s">
        <v>622</v>
      </c>
      <c r="F264" s="13">
        <v>1</v>
      </c>
      <c r="G264" s="13">
        <v>0</v>
      </c>
      <c r="H264" s="13">
        <f t="shared" si="58"/>
        <v>0</v>
      </c>
      <c r="I264" s="13">
        <f t="shared" si="59"/>
        <v>0</v>
      </c>
      <c r="J264" s="13">
        <f t="shared" si="60"/>
        <v>0</v>
      </c>
      <c r="K264" s="13">
        <v>2E-05</v>
      </c>
      <c r="L264" s="13">
        <f t="shared" si="61"/>
        <v>2E-05</v>
      </c>
      <c r="M264" s="24" t="s">
        <v>641</v>
      </c>
      <c r="N264" s="24" t="s">
        <v>6</v>
      </c>
      <c r="O264" s="13">
        <f t="shared" si="62"/>
        <v>0</v>
      </c>
      <c r="Z264" s="13">
        <f t="shared" si="63"/>
        <v>0</v>
      </c>
      <c r="AA264" s="13">
        <f t="shared" si="64"/>
        <v>0</v>
      </c>
      <c r="AB264" s="13">
        <f t="shared" si="65"/>
        <v>0</v>
      </c>
      <c r="AD264" s="28">
        <v>21</v>
      </c>
      <c r="AE264" s="28">
        <f t="shared" si="66"/>
        <v>0</v>
      </c>
      <c r="AF264" s="28">
        <f t="shared" si="67"/>
        <v>0</v>
      </c>
      <c r="AM264" s="28">
        <f t="shared" si="68"/>
        <v>0</v>
      </c>
      <c r="AN264" s="28">
        <f t="shared" si="69"/>
        <v>0</v>
      </c>
      <c r="AO264" s="29" t="s">
        <v>667</v>
      </c>
      <c r="AP264" s="29" t="s">
        <v>672</v>
      </c>
      <c r="AQ264" s="21" t="s">
        <v>679</v>
      </c>
    </row>
    <row r="265" spans="1:43" ht="12.75">
      <c r="A265" s="4" t="s">
        <v>148</v>
      </c>
      <c r="B265" s="4" t="s">
        <v>190</v>
      </c>
      <c r="C265" s="4" t="s">
        <v>325</v>
      </c>
      <c r="D265" s="66" t="s">
        <v>567</v>
      </c>
      <c r="E265" s="4" t="s">
        <v>615</v>
      </c>
      <c r="F265" s="13">
        <v>1</v>
      </c>
      <c r="G265" s="13">
        <v>0</v>
      </c>
      <c r="H265" s="13">
        <f t="shared" si="58"/>
        <v>0</v>
      </c>
      <c r="I265" s="13">
        <f t="shared" si="59"/>
        <v>0</v>
      </c>
      <c r="J265" s="13">
        <f t="shared" si="60"/>
        <v>0</v>
      </c>
      <c r="K265" s="13">
        <v>2E-05</v>
      </c>
      <c r="L265" s="13">
        <f t="shared" si="61"/>
        <v>2E-05</v>
      </c>
      <c r="M265" s="24" t="s">
        <v>641</v>
      </c>
      <c r="N265" s="24" t="s">
        <v>6</v>
      </c>
      <c r="O265" s="13">
        <f t="shared" si="62"/>
        <v>0</v>
      </c>
      <c r="Z265" s="13">
        <f t="shared" si="63"/>
        <v>0</v>
      </c>
      <c r="AA265" s="13">
        <f t="shared" si="64"/>
        <v>0</v>
      </c>
      <c r="AB265" s="13">
        <f t="shared" si="65"/>
        <v>0</v>
      </c>
      <c r="AD265" s="28">
        <v>21</v>
      </c>
      <c r="AE265" s="28">
        <f t="shared" si="66"/>
        <v>0</v>
      </c>
      <c r="AF265" s="28">
        <f t="shared" si="67"/>
        <v>0</v>
      </c>
      <c r="AM265" s="28">
        <f t="shared" si="68"/>
        <v>0</v>
      </c>
      <c r="AN265" s="28">
        <f t="shared" si="69"/>
        <v>0</v>
      </c>
      <c r="AO265" s="29" t="s">
        <v>667</v>
      </c>
      <c r="AP265" s="29" t="s">
        <v>672</v>
      </c>
      <c r="AQ265" s="21" t="s">
        <v>679</v>
      </c>
    </row>
    <row r="266" spans="1:43" ht="12.75">
      <c r="A266" s="4" t="s">
        <v>149</v>
      </c>
      <c r="B266" s="4" t="s">
        <v>190</v>
      </c>
      <c r="C266" s="4" t="s">
        <v>326</v>
      </c>
      <c r="D266" s="66" t="s">
        <v>568</v>
      </c>
      <c r="E266" s="4" t="s">
        <v>615</v>
      </c>
      <c r="F266" s="13">
        <v>1</v>
      </c>
      <c r="G266" s="13">
        <v>0</v>
      </c>
      <c r="H266" s="13">
        <f t="shared" si="58"/>
        <v>0</v>
      </c>
      <c r="I266" s="13">
        <f t="shared" si="59"/>
        <v>0</v>
      </c>
      <c r="J266" s="13">
        <f t="shared" si="60"/>
        <v>0</v>
      </c>
      <c r="K266" s="13">
        <v>2E-05</v>
      </c>
      <c r="L266" s="13">
        <f t="shared" si="61"/>
        <v>2E-05</v>
      </c>
      <c r="M266" s="24" t="s">
        <v>641</v>
      </c>
      <c r="N266" s="24" t="s">
        <v>6</v>
      </c>
      <c r="O266" s="13">
        <f t="shared" si="62"/>
        <v>0</v>
      </c>
      <c r="Z266" s="13">
        <f t="shared" si="63"/>
        <v>0</v>
      </c>
      <c r="AA266" s="13">
        <f t="shared" si="64"/>
        <v>0</v>
      </c>
      <c r="AB266" s="13">
        <f t="shared" si="65"/>
        <v>0</v>
      </c>
      <c r="AD266" s="28">
        <v>21</v>
      </c>
      <c r="AE266" s="28">
        <f t="shared" si="66"/>
        <v>0</v>
      </c>
      <c r="AF266" s="28">
        <f t="shared" si="67"/>
        <v>0</v>
      </c>
      <c r="AM266" s="28">
        <f t="shared" si="68"/>
        <v>0</v>
      </c>
      <c r="AN266" s="28">
        <f t="shared" si="69"/>
        <v>0</v>
      </c>
      <c r="AO266" s="29" t="s">
        <v>667</v>
      </c>
      <c r="AP266" s="29" t="s">
        <v>672</v>
      </c>
      <c r="AQ266" s="21" t="s">
        <v>679</v>
      </c>
    </row>
    <row r="267" spans="1:43" ht="12.75">
      <c r="A267" s="4" t="s">
        <v>150</v>
      </c>
      <c r="B267" s="4" t="s">
        <v>190</v>
      </c>
      <c r="C267" s="4" t="s">
        <v>327</v>
      </c>
      <c r="D267" s="66" t="s">
        <v>569</v>
      </c>
      <c r="E267" s="4" t="s">
        <v>623</v>
      </c>
      <c r="F267" s="13">
        <v>12</v>
      </c>
      <c r="G267" s="13">
        <v>0</v>
      </c>
      <c r="H267" s="13">
        <f t="shared" si="58"/>
        <v>0</v>
      </c>
      <c r="I267" s="13">
        <f t="shared" si="59"/>
        <v>0</v>
      </c>
      <c r="J267" s="13">
        <f t="shared" si="60"/>
        <v>0</v>
      </c>
      <c r="K267" s="13">
        <v>2E-05</v>
      </c>
      <c r="L267" s="13">
        <f t="shared" si="61"/>
        <v>0.00024000000000000003</v>
      </c>
      <c r="M267" s="24" t="s">
        <v>641</v>
      </c>
      <c r="N267" s="24" t="s">
        <v>6</v>
      </c>
      <c r="O267" s="13">
        <f t="shared" si="62"/>
        <v>0</v>
      </c>
      <c r="Z267" s="13">
        <f t="shared" si="63"/>
        <v>0</v>
      </c>
      <c r="AA267" s="13">
        <f t="shared" si="64"/>
        <v>0</v>
      </c>
      <c r="AB267" s="13">
        <f t="shared" si="65"/>
        <v>0</v>
      </c>
      <c r="AD267" s="28">
        <v>21</v>
      </c>
      <c r="AE267" s="28">
        <f t="shared" si="66"/>
        <v>0</v>
      </c>
      <c r="AF267" s="28">
        <f t="shared" si="67"/>
        <v>0</v>
      </c>
      <c r="AM267" s="28">
        <f t="shared" si="68"/>
        <v>0</v>
      </c>
      <c r="AN267" s="28">
        <f t="shared" si="69"/>
        <v>0</v>
      </c>
      <c r="AO267" s="29" t="s">
        <v>667</v>
      </c>
      <c r="AP267" s="29" t="s">
        <v>672</v>
      </c>
      <c r="AQ267" s="21" t="s">
        <v>679</v>
      </c>
    </row>
    <row r="268" spans="1:37" ht="12.75">
      <c r="A268" s="3"/>
      <c r="B268" s="10" t="s">
        <v>190</v>
      </c>
      <c r="C268" s="10" t="s">
        <v>328</v>
      </c>
      <c r="D268" s="114" t="s">
        <v>570</v>
      </c>
      <c r="E268" s="115"/>
      <c r="F268" s="115"/>
      <c r="G268" s="115"/>
      <c r="H268" s="30">
        <f>SUM(H269:H280)</f>
        <v>0</v>
      </c>
      <c r="I268" s="30">
        <f>SUM(I269:I280)</f>
        <v>0</v>
      </c>
      <c r="J268" s="30">
        <f>H268+I268</f>
        <v>0</v>
      </c>
      <c r="K268" s="21"/>
      <c r="L268" s="30">
        <f>SUM(L269:L280)</f>
        <v>8.836599999999999</v>
      </c>
      <c r="M268" s="21"/>
      <c r="P268" s="30">
        <f>IF(Q268="PR",J268,SUM(O269:O280))</f>
        <v>0</v>
      </c>
      <c r="Q268" s="21" t="s">
        <v>647</v>
      </c>
      <c r="R268" s="30">
        <f>IF(Q268="HS",H268,0)</f>
        <v>0</v>
      </c>
      <c r="S268" s="30">
        <f>IF(Q268="HS",I268-P268,0)</f>
        <v>0</v>
      </c>
      <c r="T268" s="30">
        <f>IF(Q268="PS",H268,0)</f>
        <v>0</v>
      </c>
      <c r="U268" s="30">
        <f>IF(Q268="PS",I268-P268,0)</f>
        <v>0</v>
      </c>
      <c r="V268" s="30">
        <f>IF(Q268="MP",H268,0)</f>
        <v>0</v>
      </c>
      <c r="W268" s="30">
        <f>IF(Q268="MP",I268-P268,0)</f>
        <v>0</v>
      </c>
      <c r="X268" s="30">
        <f>IF(Q268="OM",H268,0)</f>
        <v>0</v>
      </c>
      <c r="Y268" s="21" t="s">
        <v>190</v>
      </c>
      <c r="AI268" s="30">
        <f>SUM(Z269:Z280)</f>
        <v>0</v>
      </c>
      <c r="AJ268" s="30">
        <f>SUM(AA269:AA280)</f>
        <v>0</v>
      </c>
      <c r="AK268" s="30">
        <f>SUM(AB269:AB280)</f>
        <v>0</v>
      </c>
    </row>
    <row r="269" spans="1:43" ht="12.75">
      <c r="A269" s="4" t="s">
        <v>151</v>
      </c>
      <c r="B269" s="4" t="s">
        <v>190</v>
      </c>
      <c r="C269" s="4" t="s">
        <v>329</v>
      </c>
      <c r="D269" s="66" t="s">
        <v>571</v>
      </c>
      <c r="E269" s="4" t="s">
        <v>624</v>
      </c>
      <c r="F269" s="13">
        <v>0.92</v>
      </c>
      <c r="G269" s="13">
        <v>0</v>
      </c>
      <c r="H269" s="13">
        <f>ROUND(F269*AE269,2)</f>
        <v>0</v>
      </c>
      <c r="I269" s="13">
        <f>J269-H269</f>
        <v>0</v>
      </c>
      <c r="J269" s="13">
        <f>ROUND(F269*G269,2)</f>
        <v>0</v>
      </c>
      <c r="K269" s="13">
        <v>0</v>
      </c>
      <c r="L269" s="13">
        <f>F269*K269</f>
        <v>0</v>
      </c>
      <c r="M269" s="24" t="s">
        <v>641</v>
      </c>
      <c r="N269" s="24" t="s">
        <v>7</v>
      </c>
      <c r="O269" s="13">
        <f>IF(N269="5",I269,0)</f>
        <v>0</v>
      </c>
      <c r="Z269" s="13">
        <f>IF(AD269=0,J269,0)</f>
        <v>0</v>
      </c>
      <c r="AA269" s="13">
        <f>IF(AD269=15,J269,0)</f>
        <v>0</v>
      </c>
      <c r="AB269" s="13">
        <f>IF(AD269=21,J269,0)</f>
        <v>0</v>
      </c>
      <c r="AD269" s="28">
        <v>21</v>
      </c>
      <c r="AE269" s="28">
        <f>G269*0</f>
        <v>0</v>
      </c>
      <c r="AF269" s="28">
        <f>G269*(1-0)</f>
        <v>0</v>
      </c>
      <c r="AM269" s="28">
        <f>F269*AE269</f>
        <v>0</v>
      </c>
      <c r="AN269" s="28">
        <f>F269*AF269</f>
        <v>0</v>
      </c>
      <c r="AO269" s="29" t="s">
        <v>668</v>
      </c>
      <c r="AP269" s="29" t="s">
        <v>672</v>
      </c>
      <c r="AQ269" s="21" t="s">
        <v>679</v>
      </c>
    </row>
    <row r="270" spans="1:43" ht="25.5">
      <c r="A270" s="4" t="s">
        <v>152</v>
      </c>
      <c r="B270" s="4" t="s">
        <v>190</v>
      </c>
      <c r="C270" s="4" t="s">
        <v>330</v>
      </c>
      <c r="D270" s="66" t="s">
        <v>572</v>
      </c>
      <c r="E270" s="4" t="s">
        <v>614</v>
      </c>
      <c r="F270" s="13">
        <v>32</v>
      </c>
      <c r="G270" s="13">
        <v>0</v>
      </c>
      <c r="H270" s="13">
        <f>ROUND(F270*AE270,2)</f>
        <v>0</v>
      </c>
      <c r="I270" s="13">
        <f>J270-H270</f>
        <v>0</v>
      </c>
      <c r="J270" s="13">
        <f>ROUND(F270*G270,2)</f>
        <v>0</v>
      </c>
      <c r="K270" s="13">
        <v>0</v>
      </c>
      <c r="L270" s="13">
        <f>F270*K270</f>
        <v>0</v>
      </c>
      <c r="M270" s="24" t="s">
        <v>641</v>
      </c>
      <c r="N270" s="24" t="s">
        <v>7</v>
      </c>
      <c r="O270" s="13">
        <f>IF(N270="5",I270,0)</f>
        <v>0</v>
      </c>
      <c r="Z270" s="13">
        <f>IF(AD270=0,J270,0)</f>
        <v>0</v>
      </c>
      <c r="AA270" s="13">
        <f>IF(AD270=15,J270,0)</f>
        <v>0</v>
      </c>
      <c r="AB270" s="13">
        <f>IF(AD270=21,J270,0)</f>
        <v>0</v>
      </c>
      <c r="AD270" s="28">
        <v>21</v>
      </c>
      <c r="AE270" s="28">
        <f>G270*0</f>
        <v>0</v>
      </c>
      <c r="AF270" s="28">
        <f>G270*(1-0)</f>
        <v>0</v>
      </c>
      <c r="AM270" s="28">
        <f>F270*AE270</f>
        <v>0</v>
      </c>
      <c r="AN270" s="28">
        <f>F270*AF270</f>
        <v>0</v>
      </c>
      <c r="AO270" s="29" t="s">
        <v>668</v>
      </c>
      <c r="AP270" s="29" t="s">
        <v>672</v>
      </c>
      <c r="AQ270" s="21" t="s">
        <v>679</v>
      </c>
    </row>
    <row r="271" spans="1:43" ht="12.75">
      <c r="A271" s="4" t="s">
        <v>153</v>
      </c>
      <c r="B271" s="4" t="s">
        <v>190</v>
      </c>
      <c r="C271" s="4" t="s">
        <v>331</v>
      </c>
      <c r="D271" s="66" t="s">
        <v>573</v>
      </c>
      <c r="E271" s="4" t="s">
        <v>613</v>
      </c>
      <c r="F271" s="13">
        <v>30.72</v>
      </c>
      <c r="G271" s="13">
        <v>0</v>
      </c>
      <c r="H271" s="13">
        <f>ROUND(F271*AE271,2)</f>
        <v>0</v>
      </c>
      <c r="I271" s="13">
        <f>J271-H271</f>
        <v>0</v>
      </c>
      <c r="J271" s="13">
        <f>ROUND(F271*G271,2)</f>
        <v>0</v>
      </c>
      <c r="K271" s="13">
        <v>0</v>
      </c>
      <c r="L271" s="13">
        <f>F271*K271</f>
        <v>0</v>
      </c>
      <c r="M271" s="24" t="s">
        <v>641</v>
      </c>
      <c r="N271" s="24" t="s">
        <v>7</v>
      </c>
      <c r="O271" s="13">
        <f>IF(N271="5",I271,0)</f>
        <v>0</v>
      </c>
      <c r="Z271" s="13">
        <f>IF(AD271=0,J271,0)</f>
        <v>0</v>
      </c>
      <c r="AA271" s="13">
        <f>IF(AD271=15,J271,0)</f>
        <v>0</v>
      </c>
      <c r="AB271" s="13">
        <f>IF(AD271=21,J271,0)</f>
        <v>0</v>
      </c>
      <c r="AD271" s="28">
        <v>21</v>
      </c>
      <c r="AE271" s="28">
        <f>G271*0</f>
        <v>0</v>
      </c>
      <c r="AF271" s="28">
        <f>G271*(1-0)</f>
        <v>0</v>
      </c>
      <c r="AM271" s="28">
        <f>F271*AE271</f>
        <v>0</v>
      </c>
      <c r="AN271" s="28">
        <f>F271*AF271</f>
        <v>0</v>
      </c>
      <c r="AO271" s="29" t="s">
        <v>668</v>
      </c>
      <c r="AP271" s="29" t="s">
        <v>672</v>
      </c>
      <c r="AQ271" s="21" t="s">
        <v>679</v>
      </c>
    </row>
    <row r="272" spans="4:6" ht="12.75">
      <c r="D272" s="67" t="s">
        <v>574</v>
      </c>
      <c r="F272" s="14">
        <v>30.72</v>
      </c>
    </row>
    <row r="273" spans="1:43" ht="25.5">
      <c r="A273" s="4" t="s">
        <v>154</v>
      </c>
      <c r="B273" s="4" t="s">
        <v>190</v>
      </c>
      <c r="C273" s="4" t="s">
        <v>332</v>
      </c>
      <c r="D273" s="66" t="s">
        <v>575</v>
      </c>
      <c r="E273" s="4" t="s">
        <v>617</v>
      </c>
      <c r="F273" s="13">
        <v>920</v>
      </c>
      <c r="G273" s="13">
        <v>0</v>
      </c>
      <c r="H273" s="13">
        <f>ROUND(F273*AE273,2)</f>
        <v>0</v>
      </c>
      <c r="I273" s="13">
        <f>J273-H273</f>
        <v>0</v>
      </c>
      <c r="J273" s="13">
        <f>ROUND(F273*G273,2)</f>
        <v>0</v>
      </c>
      <c r="K273" s="13">
        <v>0</v>
      </c>
      <c r="L273" s="13">
        <f>F273*K273</f>
        <v>0</v>
      </c>
      <c r="M273" s="24" t="s">
        <v>641</v>
      </c>
      <c r="N273" s="24" t="s">
        <v>7</v>
      </c>
      <c r="O273" s="13">
        <f>IF(N273="5",I273,0)</f>
        <v>0</v>
      </c>
      <c r="Z273" s="13">
        <f>IF(AD273=0,J273,0)</f>
        <v>0</v>
      </c>
      <c r="AA273" s="13">
        <f>IF(AD273=15,J273,0)</f>
        <v>0</v>
      </c>
      <c r="AB273" s="13">
        <f>IF(AD273=21,J273,0)</f>
        <v>0</v>
      </c>
      <c r="AD273" s="28">
        <v>21</v>
      </c>
      <c r="AE273" s="28">
        <f>G273*0</f>
        <v>0</v>
      </c>
      <c r="AF273" s="28">
        <f>G273*(1-0)</f>
        <v>0</v>
      </c>
      <c r="AM273" s="28">
        <f>F273*AE273</f>
        <v>0</v>
      </c>
      <c r="AN273" s="28">
        <f>F273*AF273</f>
        <v>0</v>
      </c>
      <c r="AO273" s="29" t="s">
        <v>668</v>
      </c>
      <c r="AP273" s="29" t="s">
        <v>672</v>
      </c>
      <c r="AQ273" s="21" t="s">
        <v>679</v>
      </c>
    </row>
    <row r="274" spans="1:43" ht="12.75">
      <c r="A274" s="4" t="s">
        <v>155</v>
      </c>
      <c r="B274" s="4" t="s">
        <v>190</v>
      </c>
      <c r="C274" s="4" t="s">
        <v>333</v>
      </c>
      <c r="D274" s="66" t="s">
        <v>576</v>
      </c>
      <c r="E274" s="4" t="s">
        <v>613</v>
      </c>
      <c r="F274" s="13">
        <v>225.4</v>
      </c>
      <c r="G274" s="13">
        <v>0</v>
      </c>
      <c r="H274" s="13">
        <f>ROUND(F274*AE274,2)</f>
        <v>0</v>
      </c>
      <c r="I274" s="13">
        <f>J274-H274</f>
        <v>0</v>
      </c>
      <c r="J274" s="13">
        <f>ROUND(F274*G274,2)</f>
        <v>0</v>
      </c>
      <c r="K274" s="13">
        <v>0</v>
      </c>
      <c r="L274" s="13">
        <f>F274*K274</f>
        <v>0</v>
      </c>
      <c r="M274" s="24" t="s">
        <v>641</v>
      </c>
      <c r="N274" s="24" t="s">
        <v>7</v>
      </c>
      <c r="O274" s="13">
        <f>IF(N274="5",I274,0)</f>
        <v>0</v>
      </c>
      <c r="Z274" s="13">
        <f>IF(AD274=0,J274,0)</f>
        <v>0</v>
      </c>
      <c r="AA274" s="13">
        <f>IF(AD274=15,J274,0)</f>
        <v>0</v>
      </c>
      <c r="AB274" s="13">
        <f>IF(AD274=21,J274,0)</f>
        <v>0</v>
      </c>
      <c r="AD274" s="28">
        <v>21</v>
      </c>
      <c r="AE274" s="28">
        <f>G274*0</f>
        <v>0</v>
      </c>
      <c r="AF274" s="28">
        <f>G274*(1-0)</f>
        <v>0</v>
      </c>
      <c r="AM274" s="28">
        <f>F274*AE274</f>
        <v>0</v>
      </c>
      <c r="AN274" s="28">
        <f>F274*AF274</f>
        <v>0</v>
      </c>
      <c r="AO274" s="29" t="s">
        <v>668</v>
      </c>
      <c r="AP274" s="29" t="s">
        <v>672</v>
      </c>
      <c r="AQ274" s="21" t="s">
        <v>679</v>
      </c>
    </row>
    <row r="275" spans="4:6" ht="12.75">
      <c r="D275" s="67" t="s">
        <v>577</v>
      </c>
      <c r="F275" s="14">
        <v>225.4</v>
      </c>
    </row>
    <row r="276" spans="1:43" ht="25.5">
      <c r="A276" s="4" t="s">
        <v>156</v>
      </c>
      <c r="B276" s="4" t="s">
        <v>190</v>
      </c>
      <c r="C276" s="4" t="s">
        <v>334</v>
      </c>
      <c r="D276" s="66" t="s">
        <v>578</v>
      </c>
      <c r="E276" s="4" t="s">
        <v>617</v>
      </c>
      <c r="F276" s="13">
        <v>920</v>
      </c>
      <c r="G276" s="13">
        <v>0</v>
      </c>
      <c r="H276" s="13">
        <f>ROUND(F276*AE276,2)</f>
        <v>0</v>
      </c>
      <c r="I276" s="13">
        <f>J276-H276</f>
        <v>0</v>
      </c>
      <c r="J276" s="13">
        <f>ROUND(F276*G276,2)</f>
        <v>0</v>
      </c>
      <c r="K276" s="13">
        <v>0</v>
      </c>
      <c r="L276" s="13">
        <f>F276*K276</f>
        <v>0</v>
      </c>
      <c r="M276" s="24" t="s">
        <v>641</v>
      </c>
      <c r="N276" s="24" t="s">
        <v>7</v>
      </c>
      <c r="O276" s="13">
        <f>IF(N276="5",I276,0)</f>
        <v>0</v>
      </c>
      <c r="Z276" s="13">
        <f>IF(AD276=0,J276,0)</f>
        <v>0</v>
      </c>
      <c r="AA276" s="13">
        <f>IF(AD276=15,J276,0)</f>
        <v>0</v>
      </c>
      <c r="AB276" s="13">
        <f>IF(AD276=21,J276,0)</f>
        <v>0</v>
      </c>
      <c r="AD276" s="28">
        <v>21</v>
      </c>
      <c r="AE276" s="28">
        <f>G276*0</f>
        <v>0</v>
      </c>
      <c r="AF276" s="28">
        <f>G276*(1-0)</f>
        <v>0</v>
      </c>
      <c r="AM276" s="28">
        <f>F276*AE276</f>
        <v>0</v>
      </c>
      <c r="AN276" s="28">
        <f>F276*AF276</f>
        <v>0</v>
      </c>
      <c r="AO276" s="29" t="s">
        <v>668</v>
      </c>
      <c r="AP276" s="29" t="s">
        <v>672</v>
      </c>
      <c r="AQ276" s="21" t="s">
        <v>679</v>
      </c>
    </row>
    <row r="277" spans="1:43" ht="12.75">
      <c r="A277" s="4" t="s">
        <v>157</v>
      </c>
      <c r="B277" s="4" t="s">
        <v>190</v>
      </c>
      <c r="C277" s="4" t="s">
        <v>335</v>
      </c>
      <c r="D277" s="66" t="s">
        <v>579</v>
      </c>
      <c r="E277" s="4" t="s">
        <v>620</v>
      </c>
      <c r="F277" s="13">
        <v>77.74</v>
      </c>
      <c r="G277" s="13">
        <v>0</v>
      </c>
      <c r="H277" s="13">
        <f>ROUND(F277*AE277,2)</f>
        <v>0</v>
      </c>
      <c r="I277" s="13">
        <f>J277-H277</f>
        <v>0</v>
      </c>
      <c r="J277" s="13">
        <f>ROUND(F277*G277,2)</f>
        <v>0</v>
      </c>
      <c r="K277" s="13">
        <v>0.11</v>
      </c>
      <c r="L277" s="13">
        <f>F277*K277</f>
        <v>8.5514</v>
      </c>
      <c r="M277" s="24" t="s">
        <v>641</v>
      </c>
      <c r="N277" s="24" t="s">
        <v>6</v>
      </c>
      <c r="O277" s="13">
        <f>IF(N277="5",I277,0)</f>
        <v>0</v>
      </c>
      <c r="Z277" s="13">
        <f>IF(AD277=0,J277,0)</f>
        <v>0</v>
      </c>
      <c r="AA277" s="13">
        <f>IF(AD277=15,J277,0)</f>
        <v>0</v>
      </c>
      <c r="AB277" s="13">
        <f>IF(AD277=21,J277,0)</f>
        <v>0</v>
      </c>
      <c r="AD277" s="28">
        <v>21</v>
      </c>
      <c r="AE277" s="28">
        <f>G277*0.224136846739199</f>
        <v>0</v>
      </c>
      <c r="AF277" s="28">
        <f>G277*(1-0.224136846739199)</f>
        <v>0</v>
      </c>
      <c r="AM277" s="28">
        <f>F277*AE277</f>
        <v>0</v>
      </c>
      <c r="AN277" s="28">
        <f>F277*AF277</f>
        <v>0</v>
      </c>
      <c r="AO277" s="29" t="s">
        <v>668</v>
      </c>
      <c r="AP277" s="29" t="s">
        <v>672</v>
      </c>
      <c r="AQ277" s="21" t="s">
        <v>679</v>
      </c>
    </row>
    <row r="278" spans="4:6" ht="12.75">
      <c r="D278" s="67" t="s">
        <v>580</v>
      </c>
      <c r="F278" s="14">
        <v>77.74</v>
      </c>
    </row>
    <row r="279" spans="1:43" ht="25.5">
      <c r="A279" s="4" t="s">
        <v>158</v>
      </c>
      <c r="B279" s="4" t="s">
        <v>190</v>
      </c>
      <c r="C279" s="4" t="s">
        <v>249</v>
      </c>
      <c r="D279" s="66" t="s">
        <v>581</v>
      </c>
      <c r="E279" s="4" t="s">
        <v>617</v>
      </c>
      <c r="F279" s="13">
        <v>920</v>
      </c>
      <c r="G279" s="13">
        <v>0</v>
      </c>
      <c r="H279" s="13">
        <f>ROUND(F279*AE279,2)</f>
        <v>0</v>
      </c>
      <c r="I279" s="13">
        <f>J279-H279</f>
        <v>0</v>
      </c>
      <c r="J279" s="13">
        <f>ROUND(F279*G279,2)</f>
        <v>0</v>
      </c>
      <c r="K279" s="13">
        <v>0.00031</v>
      </c>
      <c r="L279" s="13">
        <f>F279*K279</f>
        <v>0.2852</v>
      </c>
      <c r="M279" s="24" t="s">
        <v>641</v>
      </c>
      <c r="N279" s="24" t="s">
        <v>7</v>
      </c>
      <c r="O279" s="13">
        <f>IF(N279="5",I279,0)</f>
        <v>0</v>
      </c>
      <c r="Z279" s="13">
        <f>IF(AD279=0,J279,0)</f>
        <v>0</v>
      </c>
      <c r="AA279" s="13">
        <f>IF(AD279=15,J279,0)</f>
        <v>0</v>
      </c>
      <c r="AB279" s="13">
        <f>IF(AD279=21,J279,0)</f>
        <v>0</v>
      </c>
      <c r="AD279" s="28">
        <v>21</v>
      </c>
      <c r="AE279" s="28">
        <f>G279*0.451428571428571</f>
        <v>0</v>
      </c>
      <c r="AF279" s="28">
        <f>G279*(1-0.451428571428571)</f>
        <v>0</v>
      </c>
      <c r="AM279" s="28">
        <f>F279*AE279</f>
        <v>0</v>
      </c>
      <c r="AN279" s="28">
        <f>F279*AF279</f>
        <v>0</v>
      </c>
      <c r="AO279" s="29" t="s">
        <v>668</v>
      </c>
      <c r="AP279" s="29" t="s">
        <v>672</v>
      </c>
      <c r="AQ279" s="21" t="s">
        <v>679</v>
      </c>
    </row>
    <row r="280" spans="1:43" ht="12.75">
      <c r="A280" s="4" t="s">
        <v>159</v>
      </c>
      <c r="B280" s="4" t="s">
        <v>190</v>
      </c>
      <c r="C280" s="4" t="s">
        <v>336</v>
      </c>
      <c r="D280" s="66" t="s">
        <v>582</v>
      </c>
      <c r="E280" s="4" t="s">
        <v>617</v>
      </c>
      <c r="F280" s="13">
        <v>79</v>
      </c>
      <c r="G280" s="13">
        <v>0</v>
      </c>
      <c r="H280" s="13">
        <f>ROUND(F280*AE280,2)</f>
        <v>0</v>
      </c>
      <c r="I280" s="13">
        <f>J280-H280</f>
        <v>0</v>
      </c>
      <c r="J280" s="13">
        <f>ROUND(F280*G280,2)</f>
        <v>0</v>
      </c>
      <c r="K280" s="13">
        <v>0</v>
      </c>
      <c r="L280" s="13">
        <f>F280*K280</f>
        <v>0</v>
      </c>
      <c r="M280" s="24" t="s">
        <v>641</v>
      </c>
      <c r="N280" s="24" t="s">
        <v>6</v>
      </c>
      <c r="O280" s="13">
        <f>IF(N280="5",I280,0)</f>
        <v>0</v>
      </c>
      <c r="Z280" s="13">
        <f>IF(AD280=0,J280,0)</f>
        <v>0</v>
      </c>
      <c r="AA280" s="13">
        <f>IF(AD280=15,J280,0)</f>
        <v>0</v>
      </c>
      <c r="AB280" s="13">
        <f>IF(AD280=21,J280,0)</f>
        <v>0</v>
      </c>
      <c r="AD280" s="28">
        <v>21</v>
      </c>
      <c r="AE280" s="28">
        <f>G280*0</f>
        <v>0</v>
      </c>
      <c r="AF280" s="28">
        <f>G280*(1-0)</f>
        <v>0</v>
      </c>
      <c r="AM280" s="28">
        <f>F280*AE280</f>
        <v>0</v>
      </c>
      <c r="AN280" s="28">
        <f>F280*AF280</f>
        <v>0</v>
      </c>
      <c r="AO280" s="29" t="s">
        <v>668</v>
      </c>
      <c r="AP280" s="29" t="s">
        <v>672</v>
      </c>
      <c r="AQ280" s="21" t="s">
        <v>679</v>
      </c>
    </row>
    <row r="281" spans="1:13" s="75" customFormat="1" ht="12.75">
      <c r="A281" s="76"/>
      <c r="B281" s="77" t="s">
        <v>191</v>
      </c>
      <c r="C281" s="77"/>
      <c r="D281" s="92" t="s">
        <v>583</v>
      </c>
      <c r="E281" s="90"/>
      <c r="F281" s="90"/>
      <c r="G281" s="90"/>
      <c r="H281" s="78">
        <f>H282+H299+H306+H318+H327</f>
        <v>0</v>
      </c>
      <c r="I281" s="78">
        <f>I282+I299+I306+I318+I327</f>
        <v>0</v>
      </c>
      <c r="J281" s="78">
        <f>H281+I281</f>
        <v>0</v>
      </c>
      <c r="K281" s="79"/>
      <c r="L281" s="78">
        <f>L282+L299+L306+L318+L327</f>
        <v>444.1774808000001</v>
      </c>
      <c r="M281" s="79"/>
    </row>
    <row r="282" spans="1:37" ht="12.75">
      <c r="A282" s="3"/>
      <c r="B282" s="10" t="s">
        <v>191</v>
      </c>
      <c r="C282" s="10" t="s">
        <v>15</v>
      </c>
      <c r="D282" s="114" t="s">
        <v>359</v>
      </c>
      <c r="E282" s="115"/>
      <c r="F282" s="115"/>
      <c r="G282" s="115"/>
      <c r="H282" s="30">
        <f>SUM(H283:H294)</f>
        <v>0</v>
      </c>
      <c r="I282" s="30">
        <f>SUM(I283:I294)</f>
        <v>0</v>
      </c>
      <c r="J282" s="30">
        <f>H282+I282</f>
        <v>0</v>
      </c>
      <c r="K282" s="21"/>
      <c r="L282" s="30">
        <f>SUM(L283:L294)</f>
        <v>305.6811200000001</v>
      </c>
      <c r="M282" s="21"/>
      <c r="P282" s="30">
        <f>IF(Q282="PR",J282,SUM(O283:O294))</f>
        <v>0</v>
      </c>
      <c r="Q282" s="21" t="s">
        <v>646</v>
      </c>
      <c r="R282" s="30">
        <f>IF(Q282="HS",H282,0)</f>
        <v>0</v>
      </c>
      <c r="S282" s="30">
        <f>IF(Q282="HS",I282-P282,0)</f>
        <v>0</v>
      </c>
      <c r="T282" s="30">
        <f>IF(Q282="PS",H282,0)</f>
        <v>0</v>
      </c>
      <c r="U282" s="30">
        <f>IF(Q282="PS",I282-P282,0)</f>
        <v>0</v>
      </c>
      <c r="V282" s="30">
        <f>IF(Q282="MP",H282,0)</f>
        <v>0</v>
      </c>
      <c r="W282" s="30">
        <f>IF(Q282="MP",I282-P282,0)</f>
        <v>0</v>
      </c>
      <c r="X282" s="30">
        <f>IF(Q282="OM",H282,0)</f>
        <v>0</v>
      </c>
      <c r="Y282" s="21" t="s">
        <v>191</v>
      </c>
      <c r="AI282" s="30">
        <f>SUM(Z283:Z294)</f>
        <v>0</v>
      </c>
      <c r="AJ282" s="30">
        <f>SUM(AA283:AA294)</f>
        <v>0</v>
      </c>
      <c r="AK282" s="30">
        <f>SUM(AB283:AB294)</f>
        <v>0</v>
      </c>
    </row>
    <row r="283" spans="1:43" ht="12.75">
      <c r="A283" s="4" t="s">
        <v>160</v>
      </c>
      <c r="B283" s="4" t="s">
        <v>191</v>
      </c>
      <c r="C283" s="4" t="s">
        <v>220</v>
      </c>
      <c r="D283" s="66" t="s">
        <v>393</v>
      </c>
      <c r="E283" s="4" t="s">
        <v>613</v>
      </c>
      <c r="F283" s="13">
        <f>SUM(F284:F286)</f>
        <v>229.68</v>
      </c>
      <c r="G283" s="13">
        <v>0</v>
      </c>
      <c r="H283" s="13">
        <f>ROUND(F283*AE283,2)</f>
        <v>0</v>
      </c>
      <c r="I283" s="13">
        <f>J283-H283</f>
        <v>0</v>
      </c>
      <c r="J283" s="13">
        <f>ROUND(F283*G283,2)</f>
        <v>0</v>
      </c>
      <c r="K283" s="13">
        <v>0</v>
      </c>
      <c r="L283" s="13">
        <f>F283*K283</f>
        <v>0</v>
      </c>
      <c r="M283" s="24" t="s">
        <v>641</v>
      </c>
      <c r="N283" s="24" t="s">
        <v>6</v>
      </c>
      <c r="O283" s="13">
        <f>IF(N283="5",I283,0)</f>
        <v>0</v>
      </c>
      <c r="Z283" s="13">
        <f>IF(AD283=0,J283,0)</f>
        <v>0</v>
      </c>
      <c r="AA283" s="13">
        <f>IF(AD283=15,J283,0)</f>
        <v>0</v>
      </c>
      <c r="AB283" s="13">
        <f>IF(AD283=21,J283,0)</f>
        <v>0</v>
      </c>
      <c r="AD283" s="28">
        <v>21</v>
      </c>
      <c r="AE283" s="28">
        <f>G283*0</f>
        <v>0</v>
      </c>
      <c r="AF283" s="28">
        <f>G283*(1-0)</f>
        <v>0</v>
      </c>
      <c r="AM283" s="28">
        <f>F283*AE283</f>
        <v>0</v>
      </c>
      <c r="AN283" s="28">
        <f>F283*AF283</f>
        <v>0</v>
      </c>
      <c r="AO283" s="29" t="s">
        <v>655</v>
      </c>
      <c r="AP283" s="29" t="s">
        <v>671</v>
      </c>
      <c r="AQ283" s="21" t="s">
        <v>680</v>
      </c>
    </row>
    <row r="284" spans="4:6" ht="25.5">
      <c r="D284" s="67" t="s">
        <v>757</v>
      </c>
      <c r="F284" s="14">
        <v>124.31</v>
      </c>
    </row>
    <row r="285" spans="4:6" ht="12.75">
      <c r="D285" s="67" t="s">
        <v>758</v>
      </c>
      <c r="F285" s="14">
        <v>48.19</v>
      </c>
    </row>
    <row r="286" spans="4:6" ht="12.75">
      <c r="D286" s="67" t="s">
        <v>759</v>
      </c>
      <c r="F286" s="14">
        <v>57.18</v>
      </c>
    </row>
    <row r="287" spans="1:43" ht="12.75">
      <c r="A287" s="4" t="s">
        <v>161</v>
      </c>
      <c r="B287" s="4" t="s">
        <v>191</v>
      </c>
      <c r="C287" s="4" t="s">
        <v>337</v>
      </c>
      <c r="D287" s="66" t="s">
        <v>584</v>
      </c>
      <c r="E287" s="4" t="s">
        <v>613</v>
      </c>
      <c r="F287" s="13">
        <f>SUM(F288)</f>
        <v>229.68</v>
      </c>
      <c r="G287" s="13">
        <v>0</v>
      </c>
      <c r="H287" s="13">
        <f>ROUND(F287*AE287,2)</f>
        <v>0</v>
      </c>
      <c r="I287" s="13">
        <f>J287-H287</f>
        <v>0</v>
      </c>
      <c r="J287" s="13">
        <f>ROUND(F287*G287,2)</f>
        <v>0</v>
      </c>
      <c r="K287" s="13">
        <v>0</v>
      </c>
      <c r="L287" s="13">
        <f>F287*K287</f>
        <v>0</v>
      </c>
      <c r="M287" s="24" t="s">
        <v>641</v>
      </c>
      <c r="N287" s="24" t="s">
        <v>6</v>
      </c>
      <c r="O287" s="13">
        <f>IF(N287="5",I287,0)</f>
        <v>0</v>
      </c>
      <c r="Z287" s="13">
        <f>IF(AD287=0,J287,0)</f>
        <v>0</v>
      </c>
      <c r="AA287" s="13">
        <f>IF(AD287=15,J287,0)</f>
        <v>0</v>
      </c>
      <c r="AB287" s="13">
        <f>IF(AD287=21,J287,0)</f>
        <v>0</v>
      </c>
      <c r="AD287" s="28">
        <v>21</v>
      </c>
      <c r="AE287" s="28">
        <f>G287*0</f>
        <v>0</v>
      </c>
      <c r="AF287" s="28">
        <f>G287*(1-0)</f>
        <v>0</v>
      </c>
      <c r="AM287" s="28">
        <f>F287*AE287</f>
        <v>0</v>
      </c>
      <c r="AN287" s="28">
        <f>F287*AF287</f>
        <v>0</v>
      </c>
      <c r="AO287" s="29" t="s">
        <v>655</v>
      </c>
      <c r="AP287" s="29" t="s">
        <v>671</v>
      </c>
      <c r="AQ287" s="21" t="s">
        <v>680</v>
      </c>
    </row>
    <row r="288" spans="4:6" ht="12.75">
      <c r="D288" s="67" t="s">
        <v>760</v>
      </c>
      <c r="F288" s="14">
        <v>229.68</v>
      </c>
    </row>
    <row r="289" spans="1:43" ht="12.75">
      <c r="A289" s="4" t="s">
        <v>162</v>
      </c>
      <c r="B289" s="4" t="s">
        <v>191</v>
      </c>
      <c r="C289" s="4" t="s">
        <v>338</v>
      </c>
      <c r="D289" s="66" t="s">
        <v>585</v>
      </c>
      <c r="E289" s="4" t="s">
        <v>613</v>
      </c>
      <c r="F289" s="13">
        <f>SUM(F290)</f>
        <v>229.68</v>
      </c>
      <c r="G289" s="13">
        <v>0</v>
      </c>
      <c r="H289" s="13">
        <f>ROUND(F289*AE289,2)</f>
        <v>0</v>
      </c>
      <c r="I289" s="13">
        <f>J289-H289</f>
        <v>0</v>
      </c>
      <c r="J289" s="13">
        <f>ROUND(F289*G289,2)</f>
        <v>0</v>
      </c>
      <c r="K289" s="13">
        <v>0</v>
      </c>
      <c r="L289" s="13">
        <f>F289*K289</f>
        <v>0</v>
      </c>
      <c r="M289" s="24" t="s">
        <v>641</v>
      </c>
      <c r="N289" s="24" t="s">
        <v>6</v>
      </c>
      <c r="O289" s="13">
        <f>IF(N289="5",I289,0)</f>
        <v>0</v>
      </c>
      <c r="Z289" s="13">
        <f>IF(AD289=0,J289,0)</f>
        <v>0</v>
      </c>
      <c r="AA289" s="13">
        <f>IF(AD289=15,J289,0)</f>
        <v>0</v>
      </c>
      <c r="AB289" s="13">
        <f>IF(AD289=21,J289,0)</f>
        <v>0</v>
      </c>
      <c r="AD289" s="28">
        <v>21</v>
      </c>
      <c r="AE289" s="28">
        <f>G289*0</f>
        <v>0</v>
      </c>
      <c r="AF289" s="28">
        <f>G289*(1-0)</f>
        <v>0</v>
      </c>
      <c r="AM289" s="28">
        <f>F289*AE289</f>
        <v>0</v>
      </c>
      <c r="AN289" s="28">
        <f>F289*AF289</f>
        <v>0</v>
      </c>
      <c r="AO289" s="29" t="s">
        <v>655</v>
      </c>
      <c r="AP289" s="29" t="s">
        <v>671</v>
      </c>
      <c r="AQ289" s="21" t="s">
        <v>680</v>
      </c>
    </row>
    <row r="290" spans="4:6" ht="12.75">
      <c r="D290" s="67" t="s">
        <v>760</v>
      </c>
      <c r="F290" s="14">
        <v>229.68</v>
      </c>
    </row>
    <row r="291" spans="1:43" ht="12.75">
      <c r="A291" s="4" t="s">
        <v>163</v>
      </c>
      <c r="B291" s="4" t="s">
        <v>191</v>
      </c>
      <c r="C291" s="4" t="s">
        <v>339</v>
      </c>
      <c r="D291" s="66" t="s">
        <v>586</v>
      </c>
      <c r="E291" s="4" t="s">
        <v>616</v>
      </c>
      <c r="F291" s="13">
        <v>145.3</v>
      </c>
      <c r="G291" s="13">
        <v>0</v>
      </c>
      <c r="H291" s="13">
        <f>ROUND(F291*AE291,2)</f>
        <v>0</v>
      </c>
      <c r="I291" s="13">
        <f>J291-H291</f>
        <v>0</v>
      </c>
      <c r="J291" s="13">
        <f>ROUND(F291*G291,2)</f>
        <v>0</v>
      </c>
      <c r="K291" s="13">
        <v>0</v>
      </c>
      <c r="L291" s="13">
        <f>F291*K291</f>
        <v>0</v>
      </c>
      <c r="M291" s="24" t="s">
        <v>641</v>
      </c>
      <c r="N291" s="24" t="s">
        <v>6</v>
      </c>
      <c r="O291" s="13">
        <f>IF(N291="5",I291,0)</f>
        <v>0</v>
      </c>
      <c r="Z291" s="13">
        <f>IF(AD291=0,J291,0)</f>
        <v>0</v>
      </c>
      <c r="AA291" s="13">
        <f>IF(AD291=15,J291,0)</f>
        <v>0</v>
      </c>
      <c r="AB291" s="13">
        <f>IF(AD291=21,J291,0)</f>
        <v>0</v>
      </c>
      <c r="AD291" s="28">
        <v>21</v>
      </c>
      <c r="AE291" s="28">
        <f>G291*0</f>
        <v>0</v>
      </c>
      <c r="AF291" s="28">
        <f>G291*(1-0)</f>
        <v>0</v>
      </c>
      <c r="AM291" s="28">
        <f>F291*AE291</f>
        <v>0</v>
      </c>
      <c r="AN291" s="28">
        <f>F291*AF291</f>
        <v>0</v>
      </c>
      <c r="AO291" s="29" t="s">
        <v>655</v>
      </c>
      <c r="AP291" s="29" t="s">
        <v>671</v>
      </c>
      <c r="AQ291" s="21" t="s">
        <v>680</v>
      </c>
    </row>
    <row r="292" spans="4:6" ht="12.75">
      <c r="D292" s="67" t="s">
        <v>587</v>
      </c>
      <c r="F292" s="14">
        <v>145.3</v>
      </c>
    </row>
    <row r="293" spans="1:43" ht="12.75">
      <c r="A293" s="4" t="s">
        <v>164</v>
      </c>
      <c r="B293" s="4" t="s">
        <v>191</v>
      </c>
      <c r="C293" s="4" t="s">
        <v>281</v>
      </c>
      <c r="D293" s="66" t="s">
        <v>525</v>
      </c>
      <c r="E293" s="4" t="s">
        <v>620</v>
      </c>
      <c r="F293" s="13">
        <v>322.3</v>
      </c>
      <c r="G293" s="13">
        <v>0</v>
      </c>
      <c r="H293" s="13">
        <f>ROUND(F293*AE293,2)</f>
        <v>0</v>
      </c>
      <c r="I293" s="13">
        <f>J293-H293</f>
        <v>0</v>
      </c>
      <c r="J293" s="13">
        <f>ROUND(F293*G293,2)</f>
        <v>0</v>
      </c>
      <c r="K293" s="13">
        <v>0</v>
      </c>
      <c r="L293" s="13">
        <f>F293*K293</f>
        <v>0</v>
      </c>
      <c r="M293" s="24" t="s">
        <v>641</v>
      </c>
      <c r="N293" s="24" t="s">
        <v>10</v>
      </c>
      <c r="O293" s="13">
        <f>IF(N293="5",I293,0)</f>
        <v>0</v>
      </c>
      <c r="Z293" s="13">
        <f>IF(AD293=0,J293,0)</f>
        <v>0</v>
      </c>
      <c r="AA293" s="13">
        <f>IF(AD293=15,J293,0)</f>
        <v>0</v>
      </c>
      <c r="AB293" s="13">
        <f>IF(AD293=21,J293,0)</f>
        <v>0</v>
      </c>
      <c r="AD293" s="28">
        <v>21</v>
      </c>
      <c r="AE293" s="28">
        <f>G293*0</f>
        <v>0</v>
      </c>
      <c r="AF293" s="28">
        <f>G293*(1-0)</f>
        <v>0</v>
      </c>
      <c r="AM293" s="28">
        <f>F293*AE293</f>
        <v>0</v>
      </c>
      <c r="AN293" s="28">
        <f>F293*AF293</f>
        <v>0</v>
      </c>
      <c r="AO293" s="29" t="s">
        <v>655</v>
      </c>
      <c r="AP293" s="29" t="s">
        <v>671</v>
      </c>
      <c r="AQ293" s="21" t="s">
        <v>680</v>
      </c>
    </row>
    <row r="294" spans="1:43" ht="12.75">
      <c r="A294" s="4" t="s">
        <v>165</v>
      </c>
      <c r="B294" s="4" t="s">
        <v>191</v>
      </c>
      <c r="C294" s="4" t="s">
        <v>340</v>
      </c>
      <c r="D294" s="66" t="s">
        <v>588</v>
      </c>
      <c r="E294" s="4" t="s">
        <v>613</v>
      </c>
      <c r="F294" s="13">
        <f>SUM(F295:F298)</f>
        <v>146.68000000000004</v>
      </c>
      <c r="G294" s="13">
        <v>0</v>
      </c>
      <c r="H294" s="13">
        <f>ROUND(F294*AE294,2)</f>
        <v>0</v>
      </c>
      <c r="I294" s="13">
        <f>J294-H294</f>
        <v>0</v>
      </c>
      <c r="J294" s="13">
        <f>ROUND(F294*G294,2)</f>
        <v>0</v>
      </c>
      <c r="K294" s="13">
        <v>2.084</v>
      </c>
      <c r="L294" s="13">
        <f>F294*K294</f>
        <v>305.6811200000001</v>
      </c>
      <c r="M294" s="24" t="s">
        <v>641</v>
      </c>
      <c r="N294" s="24" t="s">
        <v>6</v>
      </c>
      <c r="O294" s="13">
        <f>IF(N294="5",I294,0)</f>
        <v>0</v>
      </c>
      <c r="Z294" s="13">
        <f>IF(AD294=0,J294,0)</f>
        <v>0</v>
      </c>
      <c r="AA294" s="13">
        <f>IF(AD294=15,J294,0)</f>
        <v>0</v>
      </c>
      <c r="AB294" s="13">
        <f>IF(AD294=21,J294,0)</f>
        <v>0</v>
      </c>
      <c r="AD294" s="28">
        <v>21</v>
      </c>
      <c r="AE294" s="28">
        <f>G294*0.680146601467928</f>
        <v>0</v>
      </c>
      <c r="AF294" s="28">
        <f>G294*(1-0.680146601467928)</f>
        <v>0</v>
      </c>
      <c r="AM294" s="28">
        <f>F294*AE294</f>
        <v>0</v>
      </c>
      <c r="AN294" s="28">
        <f>F294*AF294</f>
        <v>0</v>
      </c>
      <c r="AO294" s="29" t="s">
        <v>655</v>
      </c>
      <c r="AP294" s="29" t="s">
        <v>671</v>
      </c>
      <c r="AQ294" s="21" t="s">
        <v>680</v>
      </c>
    </row>
    <row r="295" spans="4:6" ht="12.75">
      <c r="D295" s="67" t="s">
        <v>760</v>
      </c>
      <c r="F295" s="14">
        <v>229.68</v>
      </c>
    </row>
    <row r="296" spans="4:6" ht="12.75">
      <c r="D296" s="67" t="s">
        <v>761</v>
      </c>
      <c r="F296" s="14">
        <v>-36.01</v>
      </c>
    </row>
    <row r="297" spans="4:6" ht="12.75">
      <c r="D297" s="67" t="s">
        <v>762</v>
      </c>
      <c r="F297" s="14">
        <v>-32.45</v>
      </c>
    </row>
    <row r="298" spans="4:6" ht="12.75">
      <c r="D298" s="67" t="s">
        <v>763</v>
      </c>
      <c r="F298" s="14">
        <v>-14.54</v>
      </c>
    </row>
    <row r="299" spans="1:37" ht="12.75">
      <c r="A299" s="3"/>
      <c r="B299" s="10" t="s">
        <v>191</v>
      </c>
      <c r="C299" s="10" t="s">
        <v>32</v>
      </c>
      <c r="D299" s="114" t="s">
        <v>589</v>
      </c>
      <c r="E299" s="115"/>
      <c r="F299" s="115"/>
      <c r="G299" s="115"/>
      <c r="H299" s="30">
        <f>SUM(H300:H303)</f>
        <v>0</v>
      </c>
      <c r="I299" s="30">
        <f>SUM(I300:I303)</f>
        <v>0</v>
      </c>
      <c r="J299" s="30">
        <f>H299+I299</f>
        <v>0</v>
      </c>
      <c r="K299" s="21"/>
      <c r="L299" s="30">
        <f>SUM(L300:L303)</f>
        <v>30.231400799999996</v>
      </c>
      <c r="M299" s="21"/>
      <c r="P299" s="30">
        <f>IF(Q299="PR",J299,SUM(O300:O303))</f>
        <v>0</v>
      </c>
      <c r="Q299" s="21" t="s">
        <v>646</v>
      </c>
      <c r="R299" s="30">
        <f>IF(Q299="HS",H299,0)</f>
        <v>0</v>
      </c>
      <c r="S299" s="30">
        <f>IF(Q299="HS",I299-P299,0)</f>
        <v>0</v>
      </c>
      <c r="T299" s="30">
        <f>IF(Q299="PS",H299,0)</f>
        <v>0</v>
      </c>
      <c r="U299" s="30">
        <f>IF(Q299="PS",I299-P299,0)</f>
        <v>0</v>
      </c>
      <c r="V299" s="30">
        <f>IF(Q299="MP",H299,0)</f>
        <v>0</v>
      </c>
      <c r="W299" s="30">
        <f>IF(Q299="MP",I299-P299,0)</f>
        <v>0</v>
      </c>
      <c r="X299" s="30">
        <f>IF(Q299="OM",H299,0)</f>
        <v>0</v>
      </c>
      <c r="Y299" s="21" t="s">
        <v>191</v>
      </c>
      <c r="AI299" s="30">
        <f>SUM(Z300:Z303)</f>
        <v>0</v>
      </c>
      <c r="AJ299" s="30">
        <f>SUM(AA300:AA303)</f>
        <v>0</v>
      </c>
      <c r="AK299" s="30">
        <f>SUM(AB300:AB303)</f>
        <v>0</v>
      </c>
    </row>
    <row r="300" spans="1:43" ht="25.5">
      <c r="A300" s="4" t="s">
        <v>166</v>
      </c>
      <c r="B300" s="4" t="s">
        <v>191</v>
      </c>
      <c r="C300" s="4" t="s">
        <v>341</v>
      </c>
      <c r="D300" s="66" t="s">
        <v>590</v>
      </c>
      <c r="E300" s="4" t="s">
        <v>613</v>
      </c>
      <c r="F300" s="13">
        <f>SUM(F301:F302)</f>
        <v>8.719999999999999</v>
      </c>
      <c r="G300" s="13">
        <v>0</v>
      </c>
      <c r="H300" s="13">
        <f>ROUND(F300*AE300,2)</f>
        <v>0</v>
      </c>
      <c r="I300" s="13">
        <f>J300-H300</f>
        <v>0</v>
      </c>
      <c r="J300" s="13">
        <f>ROUND(F300*G300,2)</f>
        <v>0</v>
      </c>
      <c r="K300" s="13">
        <v>1.78164</v>
      </c>
      <c r="L300" s="13">
        <f>F300*K300</f>
        <v>15.535900799999997</v>
      </c>
      <c r="M300" s="24" t="s">
        <v>641</v>
      </c>
      <c r="N300" s="24" t="s">
        <v>6</v>
      </c>
      <c r="O300" s="13">
        <f>IF(N300="5",I300,0)</f>
        <v>0</v>
      </c>
      <c r="Z300" s="13">
        <f>IF(AD300=0,J300,0)</f>
        <v>0</v>
      </c>
      <c r="AA300" s="13">
        <f>IF(AD300=15,J300,0)</f>
        <v>0</v>
      </c>
      <c r="AB300" s="13">
        <f>IF(AD300=21,J300,0)</f>
        <v>0</v>
      </c>
      <c r="AD300" s="28">
        <v>21</v>
      </c>
      <c r="AE300" s="28">
        <f>G300*0.660481036077706</f>
        <v>0</v>
      </c>
      <c r="AF300" s="28">
        <f>G300*(1-0.660481036077706)</f>
        <v>0</v>
      </c>
      <c r="AM300" s="28">
        <f>F300*AE300</f>
        <v>0</v>
      </c>
      <c r="AN300" s="28">
        <f>F300*AF300</f>
        <v>0</v>
      </c>
      <c r="AO300" s="29" t="s">
        <v>669</v>
      </c>
      <c r="AP300" s="29" t="s">
        <v>674</v>
      </c>
      <c r="AQ300" s="21" t="s">
        <v>680</v>
      </c>
    </row>
    <row r="301" spans="4:6" ht="12.75">
      <c r="D301" s="67" t="s">
        <v>764</v>
      </c>
      <c r="F301" s="14">
        <v>4.09</v>
      </c>
    </row>
    <row r="302" spans="4:6" ht="12.75">
      <c r="D302" s="67" t="s">
        <v>765</v>
      </c>
      <c r="F302" s="14">
        <v>4.63</v>
      </c>
    </row>
    <row r="303" spans="1:43" ht="12.75">
      <c r="A303" s="4" t="s">
        <v>167</v>
      </c>
      <c r="B303" s="4" t="s">
        <v>191</v>
      </c>
      <c r="C303" s="4" t="s">
        <v>342</v>
      </c>
      <c r="D303" s="66" t="s">
        <v>591</v>
      </c>
      <c r="E303" s="4" t="s">
        <v>613</v>
      </c>
      <c r="F303" s="13">
        <f>SUM(F304:F305)</f>
        <v>5.82</v>
      </c>
      <c r="G303" s="13">
        <v>0</v>
      </c>
      <c r="H303" s="13">
        <f>ROUND(F303*AE303,2)</f>
        <v>0</v>
      </c>
      <c r="I303" s="13">
        <f>J303-H303</f>
        <v>0</v>
      </c>
      <c r="J303" s="13">
        <f>ROUND(F303*G303,2)</f>
        <v>0</v>
      </c>
      <c r="K303" s="13">
        <v>2.525</v>
      </c>
      <c r="L303" s="13">
        <f>F303*K303</f>
        <v>14.695500000000001</v>
      </c>
      <c r="M303" s="24" t="s">
        <v>641</v>
      </c>
      <c r="N303" s="24" t="s">
        <v>6</v>
      </c>
      <c r="O303" s="13">
        <f>IF(N303="5",I303,0)</f>
        <v>0</v>
      </c>
      <c r="Z303" s="13">
        <f>IF(AD303=0,J303,0)</f>
        <v>0</v>
      </c>
      <c r="AA303" s="13">
        <f>IF(AD303=15,J303,0)</f>
        <v>0</v>
      </c>
      <c r="AB303" s="13">
        <f>IF(AD303=21,J303,0)</f>
        <v>0</v>
      </c>
      <c r="AD303" s="28">
        <v>21</v>
      </c>
      <c r="AE303" s="28">
        <f>G303*0.912771186440678</f>
        <v>0</v>
      </c>
      <c r="AF303" s="28">
        <f>G303*(1-0.912771186440678)</f>
        <v>0</v>
      </c>
      <c r="AM303" s="28">
        <f>F303*AE303</f>
        <v>0</v>
      </c>
      <c r="AN303" s="28">
        <f>F303*AF303</f>
        <v>0</v>
      </c>
      <c r="AO303" s="29" t="s">
        <v>669</v>
      </c>
      <c r="AP303" s="29" t="s">
        <v>674</v>
      </c>
      <c r="AQ303" s="21" t="s">
        <v>680</v>
      </c>
    </row>
    <row r="304" spans="4:6" ht="12.75">
      <c r="D304" s="67" t="s">
        <v>766</v>
      </c>
      <c r="F304" s="14">
        <v>2.73</v>
      </c>
    </row>
    <row r="305" spans="4:6" ht="12.75">
      <c r="D305" s="67" t="s">
        <v>767</v>
      </c>
      <c r="F305" s="14">
        <v>3.09</v>
      </c>
    </row>
    <row r="306" spans="1:37" ht="12.75">
      <c r="A306" s="3"/>
      <c r="B306" s="10" t="s">
        <v>191</v>
      </c>
      <c r="C306" s="10" t="s">
        <v>55</v>
      </c>
      <c r="D306" s="114" t="s">
        <v>403</v>
      </c>
      <c r="E306" s="115"/>
      <c r="F306" s="115"/>
      <c r="G306" s="115"/>
      <c r="H306" s="30">
        <f>SUM(H307:H315)</f>
        <v>0</v>
      </c>
      <c r="I306" s="30">
        <f>SUM(I307:I315)</f>
        <v>0</v>
      </c>
      <c r="J306" s="30">
        <f>H306+I306</f>
        <v>0</v>
      </c>
      <c r="K306" s="21"/>
      <c r="L306" s="30">
        <f>SUM(L307:L315)</f>
        <v>108.26496</v>
      </c>
      <c r="M306" s="21"/>
      <c r="P306" s="30">
        <f>IF(Q306="PR",J306,SUM(O307:O315))</f>
        <v>0</v>
      </c>
      <c r="Q306" s="21" t="s">
        <v>646</v>
      </c>
      <c r="R306" s="30">
        <f>IF(Q306="HS",H306,0)</f>
        <v>0</v>
      </c>
      <c r="S306" s="30">
        <f>IF(Q306="HS",I306-P306,0)</f>
        <v>0</v>
      </c>
      <c r="T306" s="30">
        <f>IF(Q306="PS",H306,0)</f>
        <v>0</v>
      </c>
      <c r="U306" s="30">
        <f>IF(Q306="PS",I306-P306,0)</f>
        <v>0</v>
      </c>
      <c r="V306" s="30">
        <f>IF(Q306="MP",H306,0)</f>
        <v>0</v>
      </c>
      <c r="W306" s="30">
        <f>IF(Q306="MP",I306-P306,0)</f>
        <v>0</v>
      </c>
      <c r="X306" s="30">
        <f>IF(Q306="OM",H306,0)</f>
        <v>0</v>
      </c>
      <c r="Y306" s="21" t="s">
        <v>191</v>
      </c>
      <c r="AI306" s="30">
        <f>SUM(Z307:Z315)</f>
        <v>0</v>
      </c>
      <c r="AJ306" s="30">
        <f>SUM(AA307:AA315)</f>
        <v>0</v>
      </c>
      <c r="AK306" s="30">
        <f>SUM(AB307:AB315)</f>
        <v>0</v>
      </c>
    </row>
    <row r="307" spans="1:43" ht="12.75">
      <c r="A307" s="4" t="s">
        <v>168</v>
      </c>
      <c r="B307" s="4" t="s">
        <v>191</v>
      </c>
      <c r="C307" s="4" t="s">
        <v>343</v>
      </c>
      <c r="D307" s="66" t="s">
        <v>592</v>
      </c>
      <c r="E307" s="4" t="s">
        <v>616</v>
      </c>
      <c r="F307" s="13">
        <v>99</v>
      </c>
      <c r="G307" s="13">
        <v>0</v>
      </c>
      <c r="H307" s="13">
        <f>ROUND(F307*AE307,2)</f>
        <v>0</v>
      </c>
      <c r="I307" s="13">
        <f>J307-H307</f>
        <v>0</v>
      </c>
      <c r="J307" s="13">
        <f>ROUND(F307*G307,2)</f>
        <v>0</v>
      </c>
      <c r="K307" s="13">
        <v>0.31628</v>
      </c>
      <c r="L307" s="13">
        <f>F307*K307</f>
        <v>31.31172</v>
      </c>
      <c r="M307" s="24" t="s">
        <v>641</v>
      </c>
      <c r="N307" s="24" t="s">
        <v>6</v>
      </c>
      <c r="O307" s="13">
        <f>IF(N307="5",I307,0)</f>
        <v>0</v>
      </c>
      <c r="Z307" s="13">
        <f>IF(AD307=0,J307,0)</f>
        <v>0</v>
      </c>
      <c r="AA307" s="13">
        <f>IF(AD307=15,J307,0)</f>
        <v>0</v>
      </c>
      <c r="AB307" s="13">
        <f>IF(AD307=21,J307,0)</f>
        <v>0</v>
      </c>
      <c r="AD307" s="28">
        <v>21</v>
      </c>
      <c r="AE307" s="28">
        <f>G307*0.848990228013029</f>
        <v>0</v>
      </c>
      <c r="AF307" s="28">
        <f>G307*(1-0.848990228013029)</f>
        <v>0</v>
      </c>
      <c r="AM307" s="28">
        <f>F307*AE307</f>
        <v>0</v>
      </c>
      <c r="AN307" s="28">
        <f>F307*AF307</f>
        <v>0</v>
      </c>
      <c r="AO307" s="29" t="s">
        <v>659</v>
      </c>
      <c r="AP307" s="29" t="s">
        <v>675</v>
      </c>
      <c r="AQ307" s="21" t="s">
        <v>680</v>
      </c>
    </row>
    <row r="308" spans="4:6" ht="12.75">
      <c r="D308" s="67" t="s">
        <v>104</v>
      </c>
      <c r="F308" s="14">
        <v>99</v>
      </c>
    </row>
    <row r="309" spans="1:43" ht="12.75">
      <c r="A309" s="4" t="s">
        <v>169</v>
      </c>
      <c r="B309" s="4" t="s">
        <v>191</v>
      </c>
      <c r="C309" s="4" t="s">
        <v>344</v>
      </c>
      <c r="D309" s="66" t="s">
        <v>593</v>
      </c>
      <c r="E309" s="4" t="s">
        <v>616</v>
      </c>
      <c r="F309" s="13">
        <v>99</v>
      </c>
      <c r="G309" s="13">
        <v>0</v>
      </c>
      <c r="H309" s="13">
        <f>ROUND(F309*AE309,2)</f>
        <v>0</v>
      </c>
      <c r="I309" s="13">
        <f>J309-H309</f>
        <v>0</v>
      </c>
      <c r="J309" s="13">
        <f>ROUND(F309*G309,2)</f>
        <v>0</v>
      </c>
      <c r="K309" s="13">
        <v>0.42532</v>
      </c>
      <c r="L309" s="13">
        <f>F309*K309</f>
        <v>42.10668</v>
      </c>
      <c r="M309" s="24" t="s">
        <v>641</v>
      </c>
      <c r="N309" s="24" t="s">
        <v>6</v>
      </c>
      <c r="O309" s="13">
        <f>IF(N309="5",I309,0)</f>
        <v>0</v>
      </c>
      <c r="Z309" s="13">
        <f>IF(AD309=0,J309,0)</f>
        <v>0</v>
      </c>
      <c r="AA309" s="13">
        <f>IF(AD309=15,J309,0)</f>
        <v>0</v>
      </c>
      <c r="AB309" s="13">
        <f>IF(AD309=21,J309,0)</f>
        <v>0</v>
      </c>
      <c r="AD309" s="28">
        <v>21</v>
      </c>
      <c r="AE309" s="28">
        <f>G309*0.862063882063882</f>
        <v>0</v>
      </c>
      <c r="AF309" s="28">
        <f>G309*(1-0.862063882063882)</f>
        <v>0</v>
      </c>
      <c r="AM309" s="28">
        <f>F309*AE309</f>
        <v>0</v>
      </c>
      <c r="AN309" s="28">
        <f>F309*AF309</f>
        <v>0</v>
      </c>
      <c r="AO309" s="29" t="s">
        <v>659</v>
      </c>
      <c r="AP309" s="29" t="s">
        <v>675</v>
      </c>
      <c r="AQ309" s="21" t="s">
        <v>680</v>
      </c>
    </row>
    <row r="310" spans="4:6" ht="12.75">
      <c r="D310" s="67" t="s">
        <v>104</v>
      </c>
      <c r="F310" s="14">
        <v>99</v>
      </c>
    </row>
    <row r="311" spans="1:43" ht="12.75">
      <c r="A311" s="4" t="s">
        <v>170</v>
      </c>
      <c r="B311" s="4" t="s">
        <v>191</v>
      </c>
      <c r="C311" s="4" t="s">
        <v>345</v>
      </c>
      <c r="D311" s="66" t="s">
        <v>594</v>
      </c>
      <c r="E311" s="4" t="s">
        <v>616</v>
      </c>
      <c r="F311" s="13">
        <v>99</v>
      </c>
      <c r="G311" s="13">
        <v>0</v>
      </c>
      <c r="H311" s="13">
        <f>ROUND(F311*AE311,2)</f>
        <v>0</v>
      </c>
      <c r="I311" s="13">
        <f>J311-H311</f>
        <v>0</v>
      </c>
      <c r="J311" s="13">
        <f>ROUND(F311*G311,2)</f>
        <v>0</v>
      </c>
      <c r="K311" s="13">
        <v>0.0739</v>
      </c>
      <c r="L311" s="13">
        <f>F311*K311</f>
        <v>7.3161</v>
      </c>
      <c r="M311" s="24" t="s">
        <v>641</v>
      </c>
      <c r="N311" s="24" t="s">
        <v>6</v>
      </c>
      <c r="O311" s="13">
        <f>IF(N311="5",I311,0)</f>
        <v>0</v>
      </c>
      <c r="Z311" s="13">
        <f>IF(AD311=0,J311,0)</f>
        <v>0</v>
      </c>
      <c r="AA311" s="13">
        <f>IF(AD311=15,J311,0)</f>
        <v>0</v>
      </c>
      <c r="AB311" s="13">
        <f>IF(AD311=21,J311,0)</f>
        <v>0</v>
      </c>
      <c r="AD311" s="28">
        <v>21</v>
      </c>
      <c r="AE311" s="28">
        <f>G311*0.161462365591398</f>
        <v>0</v>
      </c>
      <c r="AF311" s="28">
        <f>G311*(1-0.161462365591398)</f>
        <v>0</v>
      </c>
      <c r="AM311" s="28">
        <f>F311*AE311</f>
        <v>0</v>
      </c>
      <c r="AN311" s="28">
        <f>F311*AF311</f>
        <v>0</v>
      </c>
      <c r="AO311" s="29" t="s">
        <v>659</v>
      </c>
      <c r="AP311" s="29" t="s">
        <v>675</v>
      </c>
      <c r="AQ311" s="21" t="s">
        <v>680</v>
      </c>
    </row>
    <row r="312" spans="4:6" ht="12.75">
      <c r="D312" s="67" t="s">
        <v>104</v>
      </c>
      <c r="F312" s="14">
        <v>99</v>
      </c>
    </row>
    <row r="313" spans="1:43" ht="12.75">
      <c r="A313" s="4" t="s">
        <v>171</v>
      </c>
      <c r="B313" s="4" t="s">
        <v>191</v>
      </c>
      <c r="C313" s="4" t="s">
        <v>237</v>
      </c>
      <c r="D313" s="66" t="s">
        <v>436</v>
      </c>
      <c r="E313" s="4" t="s">
        <v>616</v>
      </c>
      <c r="F313" s="13">
        <v>99</v>
      </c>
      <c r="G313" s="13">
        <v>0</v>
      </c>
      <c r="H313" s="13">
        <f>ROUND(F313*AE313,2)</f>
        <v>0</v>
      </c>
      <c r="I313" s="13">
        <f>J313-H313</f>
        <v>0</v>
      </c>
      <c r="J313" s="13">
        <f>ROUND(F313*G313,2)</f>
        <v>0</v>
      </c>
      <c r="K313" s="13">
        <v>0.10354</v>
      </c>
      <c r="L313" s="13">
        <f>F313*K313</f>
        <v>10.250459999999999</v>
      </c>
      <c r="M313" s="24" t="s">
        <v>641</v>
      </c>
      <c r="N313" s="24" t="s">
        <v>6</v>
      </c>
      <c r="O313" s="13">
        <f>IF(N313="5",I313,0)</f>
        <v>0</v>
      </c>
      <c r="Z313" s="13">
        <f>IF(AD313=0,J313,0)</f>
        <v>0</v>
      </c>
      <c r="AA313" s="13">
        <f>IF(AD313=15,J313,0)</f>
        <v>0</v>
      </c>
      <c r="AB313" s="13">
        <f>IF(AD313=21,J313,0)</f>
        <v>0</v>
      </c>
      <c r="AD313" s="28">
        <v>21</v>
      </c>
      <c r="AE313" s="28">
        <f>G313*0.53312101910828</f>
        <v>0</v>
      </c>
      <c r="AF313" s="28">
        <f>G313*(1-0.53312101910828)</f>
        <v>0</v>
      </c>
      <c r="AM313" s="28">
        <f>F313*AE313</f>
        <v>0</v>
      </c>
      <c r="AN313" s="28">
        <f>F313*AF313</f>
        <v>0</v>
      </c>
      <c r="AO313" s="29" t="s">
        <v>659</v>
      </c>
      <c r="AP313" s="29" t="s">
        <v>675</v>
      </c>
      <c r="AQ313" s="21" t="s">
        <v>680</v>
      </c>
    </row>
    <row r="314" spans="4:6" ht="12.75">
      <c r="D314" s="67" t="s">
        <v>104</v>
      </c>
      <c r="F314" s="14">
        <v>99</v>
      </c>
    </row>
    <row r="315" spans="1:43" ht="12.75">
      <c r="A315" s="5" t="s">
        <v>172</v>
      </c>
      <c r="B315" s="5" t="s">
        <v>191</v>
      </c>
      <c r="C315" s="5" t="s">
        <v>346</v>
      </c>
      <c r="D315" s="68" t="s">
        <v>595</v>
      </c>
      <c r="E315" s="5" t="s">
        <v>616</v>
      </c>
      <c r="F315" s="15">
        <v>100</v>
      </c>
      <c r="G315" s="15">
        <v>0</v>
      </c>
      <c r="H315" s="15">
        <f>ROUND(F315*AE315,2)</f>
        <v>0</v>
      </c>
      <c r="I315" s="15">
        <f>J315-H315</f>
        <v>0</v>
      </c>
      <c r="J315" s="15">
        <f>ROUND(F315*G315,2)</f>
        <v>0</v>
      </c>
      <c r="K315" s="15">
        <v>0.1728</v>
      </c>
      <c r="L315" s="15">
        <f>F315*K315</f>
        <v>17.28</v>
      </c>
      <c r="M315" s="25" t="s">
        <v>641</v>
      </c>
      <c r="N315" s="25" t="s">
        <v>643</v>
      </c>
      <c r="O315" s="15">
        <f>IF(N315="5",I315,0)</f>
        <v>0</v>
      </c>
      <c r="Z315" s="15">
        <f>IF(AD315=0,J315,0)</f>
        <v>0</v>
      </c>
      <c r="AA315" s="15">
        <f>IF(AD315=15,J315,0)</f>
        <v>0</v>
      </c>
      <c r="AB315" s="15">
        <f>IF(AD315=21,J315,0)</f>
        <v>0</v>
      </c>
      <c r="AD315" s="28">
        <v>21</v>
      </c>
      <c r="AE315" s="28">
        <f>G315*1</f>
        <v>0</v>
      </c>
      <c r="AF315" s="28">
        <f>G315*(1-1)</f>
        <v>0</v>
      </c>
      <c r="AM315" s="28">
        <f>F315*AE315</f>
        <v>0</v>
      </c>
      <c r="AN315" s="28">
        <f>F315*AF315</f>
        <v>0</v>
      </c>
      <c r="AO315" s="29" t="s">
        <v>659</v>
      </c>
      <c r="AP315" s="29" t="s">
        <v>675</v>
      </c>
      <c r="AQ315" s="21" t="s">
        <v>680</v>
      </c>
    </row>
    <row r="316" spans="4:6" ht="12.75">
      <c r="D316" s="67" t="s">
        <v>104</v>
      </c>
      <c r="F316" s="14">
        <v>99</v>
      </c>
    </row>
    <row r="317" spans="4:6" ht="12.75">
      <c r="D317" s="67" t="s">
        <v>596</v>
      </c>
      <c r="F317" s="14">
        <v>1</v>
      </c>
    </row>
    <row r="318" spans="1:37" ht="12.75">
      <c r="A318" s="3"/>
      <c r="B318" s="10" t="s">
        <v>191</v>
      </c>
      <c r="C318" s="10" t="s">
        <v>347</v>
      </c>
      <c r="D318" s="114" t="s">
        <v>597</v>
      </c>
      <c r="E318" s="115"/>
      <c r="F318" s="115"/>
      <c r="G318" s="115"/>
      <c r="H318" s="30">
        <f>SUM(H319:H325)</f>
        <v>0</v>
      </c>
      <c r="I318" s="30">
        <f>SUM(I319:I325)</f>
        <v>0</v>
      </c>
      <c r="J318" s="30">
        <f>H318+I318</f>
        <v>0</v>
      </c>
      <c r="K318" s="21"/>
      <c r="L318" s="30">
        <f>SUM(L319:L325)</f>
        <v>0</v>
      </c>
      <c r="M318" s="21"/>
      <c r="P318" s="30">
        <f>IF(Q318="PR",J318,SUM(O319:O325))</f>
        <v>0</v>
      </c>
      <c r="Q318" s="21" t="s">
        <v>646</v>
      </c>
      <c r="R318" s="30">
        <f>IF(Q318="HS",H318,0)</f>
        <v>0</v>
      </c>
      <c r="S318" s="30">
        <f>IF(Q318="HS",I318-P318,0)</f>
        <v>0</v>
      </c>
      <c r="T318" s="30">
        <f>IF(Q318="PS",H318,0)</f>
        <v>0</v>
      </c>
      <c r="U318" s="30">
        <f>IF(Q318="PS",I318-P318,0)</f>
        <v>0</v>
      </c>
      <c r="V318" s="30">
        <f>IF(Q318="MP",H318,0)</f>
        <v>0</v>
      </c>
      <c r="W318" s="30">
        <f>IF(Q318="MP",I318-P318,0)</f>
        <v>0</v>
      </c>
      <c r="X318" s="30">
        <f>IF(Q318="OM",H318,0)</f>
        <v>0</v>
      </c>
      <c r="Y318" s="21" t="s">
        <v>191</v>
      </c>
      <c r="AI318" s="30">
        <f>SUM(Z319:Z325)</f>
        <v>0</v>
      </c>
      <c r="AJ318" s="30">
        <f>SUM(AA319:AA325)</f>
        <v>0</v>
      </c>
      <c r="AK318" s="30">
        <f>SUM(AB319:AB325)</f>
        <v>0</v>
      </c>
    </row>
    <row r="319" spans="1:43" ht="12.75">
      <c r="A319" s="5" t="s">
        <v>173</v>
      </c>
      <c r="B319" s="5" t="s">
        <v>191</v>
      </c>
      <c r="C319" s="5" t="s">
        <v>348</v>
      </c>
      <c r="D319" s="68" t="s">
        <v>598</v>
      </c>
      <c r="E319" s="5" t="s">
        <v>614</v>
      </c>
      <c r="F319" s="15">
        <v>5</v>
      </c>
      <c r="G319" s="15">
        <v>0</v>
      </c>
      <c r="H319" s="15">
        <f>ROUND(F319*AE319,2)</f>
        <v>0</v>
      </c>
      <c r="I319" s="15">
        <f>J319-H319</f>
        <v>0</v>
      </c>
      <c r="J319" s="15">
        <f>ROUND(F319*G319,2)</f>
        <v>0</v>
      </c>
      <c r="K319" s="15">
        <v>0</v>
      </c>
      <c r="L319" s="15">
        <f>F319*K319</f>
        <v>0</v>
      </c>
      <c r="M319" s="25" t="s">
        <v>641</v>
      </c>
      <c r="N319" s="25" t="s">
        <v>643</v>
      </c>
      <c r="O319" s="15">
        <f>IF(N319="5",I319,0)</f>
        <v>0</v>
      </c>
      <c r="Z319" s="15">
        <f>IF(AD319=0,J319,0)</f>
        <v>0</v>
      </c>
      <c r="AA319" s="15">
        <f>IF(AD319=15,J319,0)</f>
        <v>0</v>
      </c>
      <c r="AB319" s="15">
        <f>IF(AD319=21,J319,0)</f>
        <v>0</v>
      </c>
      <c r="AD319" s="28">
        <v>21</v>
      </c>
      <c r="AE319" s="28">
        <f>G319*1</f>
        <v>0</v>
      </c>
      <c r="AF319" s="28">
        <f>G319*(1-1)</f>
        <v>0</v>
      </c>
      <c r="AM319" s="28">
        <f>F319*AE319</f>
        <v>0</v>
      </c>
      <c r="AN319" s="28">
        <f>F319*AF319</f>
        <v>0</v>
      </c>
      <c r="AO319" s="29" t="s">
        <v>670</v>
      </c>
      <c r="AP319" s="29" t="s">
        <v>672</v>
      </c>
      <c r="AQ319" s="21" t="s">
        <v>680</v>
      </c>
    </row>
    <row r="320" spans="1:43" ht="12.75">
      <c r="A320" s="5" t="s">
        <v>174</v>
      </c>
      <c r="B320" s="5" t="s">
        <v>191</v>
      </c>
      <c r="C320" s="5" t="s">
        <v>349</v>
      </c>
      <c r="D320" s="68" t="s">
        <v>599</v>
      </c>
      <c r="E320" s="5" t="s">
        <v>614</v>
      </c>
      <c r="F320" s="15">
        <v>5</v>
      </c>
      <c r="G320" s="15">
        <v>0</v>
      </c>
      <c r="H320" s="15">
        <f>ROUND(F320*AE320,2)</f>
        <v>0</v>
      </c>
      <c r="I320" s="15">
        <f>J320-H320</f>
        <v>0</v>
      </c>
      <c r="J320" s="15">
        <f>ROUND(F320*G320,2)</f>
        <v>0</v>
      </c>
      <c r="K320" s="15">
        <v>0</v>
      </c>
      <c r="L320" s="15">
        <f>F320*K320</f>
        <v>0</v>
      </c>
      <c r="M320" s="25" t="s">
        <v>641</v>
      </c>
      <c r="N320" s="25" t="s">
        <v>643</v>
      </c>
      <c r="O320" s="15">
        <f>IF(N320="5",I320,0)</f>
        <v>0</v>
      </c>
      <c r="Z320" s="15">
        <f>IF(AD320=0,J320,0)</f>
        <v>0</v>
      </c>
      <c r="AA320" s="15">
        <f>IF(AD320=15,J320,0)</f>
        <v>0</v>
      </c>
      <c r="AB320" s="15">
        <f>IF(AD320=21,J320,0)</f>
        <v>0</v>
      </c>
      <c r="AD320" s="28">
        <v>21</v>
      </c>
      <c r="AE320" s="28">
        <f>G320*1</f>
        <v>0</v>
      </c>
      <c r="AF320" s="28">
        <f>G320*(1-1)</f>
        <v>0</v>
      </c>
      <c r="AM320" s="28">
        <f>F320*AE320</f>
        <v>0</v>
      </c>
      <c r="AN320" s="28">
        <f>F320*AF320</f>
        <v>0</v>
      </c>
      <c r="AO320" s="29" t="s">
        <v>670</v>
      </c>
      <c r="AP320" s="29" t="s">
        <v>672</v>
      </c>
      <c r="AQ320" s="21" t="s">
        <v>680</v>
      </c>
    </row>
    <row r="321" spans="1:43" ht="12.75">
      <c r="A321" s="5" t="s">
        <v>175</v>
      </c>
      <c r="B321" s="5" t="s">
        <v>191</v>
      </c>
      <c r="C321" s="5" t="s">
        <v>350</v>
      </c>
      <c r="D321" s="68" t="s">
        <v>600</v>
      </c>
      <c r="E321" s="5" t="s">
        <v>614</v>
      </c>
      <c r="F321" s="15">
        <v>8</v>
      </c>
      <c r="G321" s="15">
        <v>0</v>
      </c>
      <c r="H321" s="15">
        <f>ROUND(F321*AE321,2)</f>
        <v>0</v>
      </c>
      <c r="I321" s="15">
        <f>J321-H321</f>
        <v>0</v>
      </c>
      <c r="J321" s="15">
        <f>ROUND(F321*G321,2)</f>
        <v>0</v>
      </c>
      <c r="K321" s="15">
        <v>0</v>
      </c>
      <c r="L321" s="15">
        <f>F321*K321</f>
        <v>0</v>
      </c>
      <c r="M321" s="25" t="s">
        <v>641</v>
      </c>
      <c r="N321" s="25" t="s">
        <v>643</v>
      </c>
      <c r="O321" s="15">
        <f>IF(N321="5",I321,0)</f>
        <v>0</v>
      </c>
      <c r="Z321" s="15">
        <f>IF(AD321=0,J321,0)</f>
        <v>0</v>
      </c>
      <c r="AA321" s="15">
        <f>IF(AD321=15,J321,0)</f>
        <v>0</v>
      </c>
      <c r="AB321" s="15">
        <f>IF(AD321=21,J321,0)</f>
        <v>0</v>
      </c>
      <c r="AD321" s="28">
        <v>21</v>
      </c>
      <c r="AE321" s="28">
        <f>G321*1</f>
        <v>0</v>
      </c>
      <c r="AF321" s="28">
        <f>G321*(1-1)</f>
        <v>0</v>
      </c>
      <c r="AM321" s="28">
        <f>F321*AE321</f>
        <v>0</v>
      </c>
      <c r="AN321" s="28">
        <f>F321*AF321</f>
        <v>0</v>
      </c>
      <c r="AO321" s="29" t="s">
        <v>670</v>
      </c>
      <c r="AP321" s="29" t="s">
        <v>672</v>
      </c>
      <c r="AQ321" s="21" t="s">
        <v>680</v>
      </c>
    </row>
    <row r="322" spans="1:43" ht="12.75">
      <c r="A322" s="5" t="s">
        <v>176</v>
      </c>
      <c r="B322" s="5" t="s">
        <v>191</v>
      </c>
      <c r="C322" s="5" t="s">
        <v>348</v>
      </c>
      <c r="D322" s="68" t="s">
        <v>601</v>
      </c>
      <c r="E322" s="5" t="s">
        <v>614</v>
      </c>
      <c r="F322" s="15">
        <v>5</v>
      </c>
      <c r="G322" s="15">
        <v>0</v>
      </c>
      <c r="H322" s="15">
        <f>ROUND(F322*AE322,2)</f>
        <v>0</v>
      </c>
      <c r="I322" s="15">
        <f>J322-H322</f>
        <v>0</v>
      </c>
      <c r="J322" s="15">
        <f>ROUND(F322*G322,2)</f>
        <v>0</v>
      </c>
      <c r="K322" s="15">
        <v>0</v>
      </c>
      <c r="L322" s="15">
        <f>F322*K322</f>
        <v>0</v>
      </c>
      <c r="M322" s="25" t="s">
        <v>641</v>
      </c>
      <c r="N322" s="25" t="s">
        <v>8</v>
      </c>
      <c r="O322" s="15">
        <f>IF(N322="5",I322,0)</f>
        <v>0</v>
      </c>
      <c r="Z322" s="15">
        <f>IF(AD322=0,J322,0)</f>
        <v>0</v>
      </c>
      <c r="AA322" s="15">
        <f>IF(AD322=15,J322,0)</f>
        <v>0</v>
      </c>
      <c r="AB322" s="15">
        <f>IF(AD322=21,J322,0)</f>
        <v>0</v>
      </c>
      <c r="AD322" s="28">
        <v>21</v>
      </c>
      <c r="AE322" s="28">
        <f>G322*1</f>
        <v>0</v>
      </c>
      <c r="AF322" s="28">
        <f>G322*(1-1)</f>
        <v>0</v>
      </c>
      <c r="AM322" s="28">
        <f>F322*AE322</f>
        <v>0</v>
      </c>
      <c r="AN322" s="28">
        <f>F322*AF322</f>
        <v>0</v>
      </c>
      <c r="AO322" s="29" t="s">
        <v>670</v>
      </c>
      <c r="AP322" s="29" t="s">
        <v>672</v>
      </c>
      <c r="AQ322" s="21" t="s">
        <v>680</v>
      </c>
    </row>
    <row r="323" spans="1:43" ht="12.75">
      <c r="A323" s="4" t="s">
        <v>177</v>
      </c>
      <c r="B323" s="4" t="s">
        <v>191</v>
      </c>
      <c r="C323" s="4" t="s">
        <v>351</v>
      </c>
      <c r="D323" s="66" t="s">
        <v>602</v>
      </c>
      <c r="E323" s="4" t="s">
        <v>613</v>
      </c>
      <c r="F323" s="13">
        <v>48</v>
      </c>
      <c r="G323" s="13">
        <v>0</v>
      </c>
      <c r="H323" s="13">
        <f>ROUND(F323*AE323,2)</f>
        <v>0</v>
      </c>
      <c r="I323" s="13">
        <f>J323-H323</f>
        <v>0</v>
      </c>
      <c r="J323" s="13">
        <f>ROUND(F323*G323,2)</f>
        <v>0</v>
      </c>
      <c r="K323" s="13">
        <v>0</v>
      </c>
      <c r="L323" s="13">
        <f>F323*K323</f>
        <v>0</v>
      </c>
      <c r="M323" s="24" t="s">
        <v>641</v>
      </c>
      <c r="N323" s="24" t="s">
        <v>6</v>
      </c>
      <c r="O323" s="13">
        <f>IF(N323="5",I323,0)</f>
        <v>0</v>
      </c>
      <c r="Z323" s="13">
        <f>IF(AD323=0,J323,0)</f>
        <v>0</v>
      </c>
      <c r="AA323" s="13">
        <f>IF(AD323=15,J323,0)</f>
        <v>0</v>
      </c>
      <c r="AB323" s="13">
        <f>IF(AD323=21,J323,0)</f>
        <v>0</v>
      </c>
      <c r="AD323" s="28">
        <v>21</v>
      </c>
      <c r="AE323" s="28">
        <f>G323*0</f>
        <v>0</v>
      </c>
      <c r="AF323" s="28">
        <f>G323*(1-0)</f>
        <v>0</v>
      </c>
      <c r="AM323" s="28">
        <f>F323*AE323</f>
        <v>0</v>
      </c>
      <c r="AN323" s="28">
        <f>F323*AF323</f>
        <v>0</v>
      </c>
      <c r="AO323" s="29" t="s">
        <v>670</v>
      </c>
      <c r="AP323" s="29" t="s">
        <v>672</v>
      </c>
      <c r="AQ323" s="21" t="s">
        <v>680</v>
      </c>
    </row>
    <row r="324" spans="4:6" ht="12.75">
      <c r="D324" s="67" t="s">
        <v>53</v>
      </c>
      <c r="F324" s="14">
        <v>48</v>
      </c>
    </row>
    <row r="325" spans="1:43" ht="12.75">
      <c r="A325" s="4" t="s">
        <v>178</v>
      </c>
      <c r="B325" s="4" t="s">
        <v>191</v>
      </c>
      <c r="C325" s="4" t="s">
        <v>352</v>
      </c>
      <c r="D325" s="66" t="s">
        <v>603</v>
      </c>
      <c r="E325" s="4" t="s">
        <v>624</v>
      </c>
      <c r="F325" s="13">
        <v>160</v>
      </c>
      <c r="G325" s="13">
        <v>0</v>
      </c>
      <c r="H325" s="13">
        <f>ROUND(F325*AE325,2)</f>
        <v>0</v>
      </c>
      <c r="I325" s="13">
        <f>J325-H325</f>
        <v>0</v>
      </c>
      <c r="J325" s="13">
        <f>ROUND(F325*G325,2)</f>
        <v>0</v>
      </c>
      <c r="K325" s="13">
        <v>0</v>
      </c>
      <c r="L325" s="13">
        <f>F325*K325</f>
        <v>0</v>
      </c>
      <c r="M325" s="24" t="s">
        <v>641</v>
      </c>
      <c r="N325" s="24" t="s">
        <v>6</v>
      </c>
      <c r="O325" s="13">
        <f>IF(N325="5",I325,0)</f>
        <v>0</v>
      </c>
      <c r="Z325" s="13">
        <f>IF(AD325=0,J325,0)</f>
        <v>0</v>
      </c>
      <c r="AA325" s="13">
        <f>IF(AD325=15,J325,0)</f>
        <v>0</v>
      </c>
      <c r="AB325" s="13">
        <f>IF(AD325=21,J325,0)</f>
        <v>0</v>
      </c>
      <c r="AD325" s="28">
        <v>21</v>
      </c>
      <c r="AE325" s="28">
        <f>G325*0</f>
        <v>0</v>
      </c>
      <c r="AF325" s="28">
        <f>G325*(1-0)</f>
        <v>0</v>
      </c>
      <c r="AM325" s="28">
        <f>F325*AE325</f>
        <v>0</v>
      </c>
      <c r="AN325" s="28">
        <f>F325*AF325</f>
        <v>0</v>
      </c>
      <c r="AO325" s="29" t="s">
        <v>670</v>
      </c>
      <c r="AP325" s="29" t="s">
        <v>672</v>
      </c>
      <c r="AQ325" s="21" t="s">
        <v>680</v>
      </c>
    </row>
    <row r="326" spans="4:6" ht="12.75">
      <c r="D326" s="67" t="s">
        <v>165</v>
      </c>
      <c r="F326" s="14">
        <v>160</v>
      </c>
    </row>
    <row r="327" spans="1:37" ht="12.75">
      <c r="A327" s="3"/>
      <c r="B327" s="10" t="s">
        <v>191</v>
      </c>
      <c r="C327" s="10" t="s">
        <v>104</v>
      </c>
      <c r="D327" s="114" t="s">
        <v>525</v>
      </c>
      <c r="E327" s="115"/>
      <c r="F327" s="115"/>
      <c r="G327" s="115"/>
      <c r="H327" s="30">
        <f>SUM(H328:H328)</f>
        <v>0</v>
      </c>
      <c r="I327" s="30">
        <f>SUM(I328:I328)</f>
        <v>0</v>
      </c>
      <c r="J327" s="30">
        <f>H327+I327</f>
        <v>0</v>
      </c>
      <c r="K327" s="21"/>
      <c r="L327" s="30">
        <f>SUM(L328:L328)</f>
        <v>0</v>
      </c>
      <c r="M327" s="21"/>
      <c r="P327" s="30">
        <f>IF(Q327="PR",J327,SUM(O328:O328))</f>
        <v>0</v>
      </c>
      <c r="Q327" s="21" t="s">
        <v>646</v>
      </c>
      <c r="R327" s="30">
        <f>IF(Q327="HS",H327,0)</f>
        <v>0</v>
      </c>
      <c r="S327" s="30">
        <f>IF(Q327="HS",I327-P327,0)</f>
        <v>0</v>
      </c>
      <c r="T327" s="30">
        <f>IF(Q327="PS",H327,0)</f>
        <v>0</v>
      </c>
      <c r="U327" s="30">
        <f>IF(Q327="PS",I327-P327,0)</f>
        <v>0</v>
      </c>
      <c r="V327" s="30">
        <f>IF(Q327="MP",H327,0)</f>
        <v>0</v>
      </c>
      <c r="W327" s="30">
        <f>IF(Q327="MP",I327-P327,0)</f>
        <v>0</v>
      </c>
      <c r="X327" s="30">
        <f>IF(Q327="OM",H327,0)</f>
        <v>0</v>
      </c>
      <c r="Y327" s="21" t="s">
        <v>191</v>
      </c>
      <c r="AI327" s="30">
        <f>SUM(Z328:Z328)</f>
        <v>0</v>
      </c>
      <c r="AJ327" s="30">
        <f>SUM(AA328:AA328)</f>
        <v>0</v>
      </c>
      <c r="AK327" s="30">
        <f>SUM(AB328:AB328)</f>
        <v>0</v>
      </c>
    </row>
    <row r="328" spans="1:43" ht="12.75">
      <c r="A328" s="4" t="s">
        <v>179</v>
      </c>
      <c r="B328" s="4" t="s">
        <v>191</v>
      </c>
      <c r="C328" s="4" t="s">
        <v>353</v>
      </c>
      <c r="D328" s="89" t="s">
        <v>604</v>
      </c>
      <c r="E328" s="4" t="s">
        <v>620</v>
      </c>
      <c r="F328" s="13">
        <v>121.48</v>
      </c>
      <c r="G328" s="13">
        <v>0</v>
      </c>
      <c r="H328" s="13">
        <f>ROUND(F328*AE328,2)</f>
        <v>0</v>
      </c>
      <c r="I328" s="13">
        <f>J328-H328</f>
        <v>0</v>
      </c>
      <c r="J328" s="13">
        <f>ROUND(F328*G328,2)</f>
        <v>0</v>
      </c>
      <c r="K328" s="13">
        <v>0</v>
      </c>
      <c r="L328" s="13">
        <f>F328*K328</f>
        <v>0</v>
      </c>
      <c r="M328" s="24" t="s">
        <v>641</v>
      </c>
      <c r="N328" s="24" t="s">
        <v>10</v>
      </c>
      <c r="O328" s="13">
        <f>IF(N328="5",I328,0)</f>
        <v>0</v>
      </c>
      <c r="Z328" s="13">
        <f>IF(AD328=0,J328,0)</f>
        <v>0</v>
      </c>
      <c r="AA328" s="13">
        <f>IF(AD328=15,J328,0)</f>
        <v>0</v>
      </c>
      <c r="AB328" s="13">
        <f>IF(AD328=21,J328,0)</f>
        <v>0</v>
      </c>
      <c r="AD328" s="28">
        <v>21</v>
      </c>
      <c r="AE328" s="28">
        <f>G328*0</f>
        <v>0</v>
      </c>
      <c r="AF328" s="28">
        <f>G328*(1-0)</f>
        <v>0</v>
      </c>
      <c r="AM328" s="28">
        <f>F328*AE328</f>
        <v>0</v>
      </c>
      <c r="AN328" s="28">
        <f>F328*AF328</f>
        <v>0</v>
      </c>
      <c r="AO328" s="29" t="s">
        <v>663</v>
      </c>
      <c r="AP328" s="29" t="s">
        <v>672</v>
      </c>
      <c r="AQ328" s="21" t="s">
        <v>680</v>
      </c>
    </row>
    <row r="329" spans="1:13" s="75" customFormat="1" ht="12.75">
      <c r="A329" s="76"/>
      <c r="B329" s="77" t="s">
        <v>192</v>
      </c>
      <c r="C329" s="77"/>
      <c r="D329" s="92" t="s">
        <v>605</v>
      </c>
      <c r="E329" s="90"/>
      <c r="F329" s="90"/>
      <c r="G329" s="90"/>
      <c r="H329" s="78">
        <f>H330</f>
        <v>0</v>
      </c>
      <c r="I329" s="78">
        <f>I330</f>
        <v>0</v>
      </c>
      <c r="J329" s="78">
        <f>H329+I329</f>
        <v>0</v>
      </c>
      <c r="K329" s="79"/>
      <c r="L329" s="78">
        <f>L330</f>
        <v>0</v>
      </c>
      <c r="M329" s="79"/>
    </row>
    <row r="330" spans="1:37" ht="12.75">
      <c r="A330" s="3"/>
      <c r="B330" s="10" t="s">
        <v>192</v>
      </c>
      <c r="C330" s="10" t="s">
        <v>6</v>
      </c>
      <c r="D330" s="114" t="s">
        <v>359</v>
      </c>
      <c r="E330" s="115"/>
      <c r="F330" s="115"/>
      <c r="G330" s="115"/>
      <c r="H330" s="30">
        <f>SUM(H331:H336)</f>
        <v>0</v>
      </c>
      <c r="I330" s="30">
        <f>SUM(I331:I336)</f>
        <v>0</v>
      </c>
      <c r="J330" s="30">
        <f>H330+I330</f>
        <v>0</v>
      </c>
      <c r="K330" s="21"/>
      <c r="L330" s="30">
        <f>SUM(L331:L336)</f>
        <v>0</v>
      </c>
      <c r="M330" s="21"/>
      <c r="P330" s="30">
        <f>IF(Q330="PR",J330,SUM(O331:O336))</f>
        <v>0</v>
      </c>
      <c r="Q330" s="21" t="s">
        <v>646</v>
      </c>
      <c r="R330" s="30">
        <f>IF(Q330="HS",H330,0)</f>
        <v>0</v>
      </c>
      <c r="S330" s="30">
        <f>IF(Q330="HS",I330-P330,0)</f>
        <v>0</v>
      </c>
      <c r="T330" s="30">
        <f>IF(Q330="PS",H330,0)</f>
        <v>0</v>
      </c>
      <c r="U330" s="30">
        <f>IF(Q330="PS",I330-P330,0)</f>
        <v>0</v>
      </c>
      <c r="V330" s="30">
        <f>IF(Q330="MP",H330,0)</f>
        <v>0</v>
      </c>
      <c r="W330" s="30">
        <f>IF(Q330="MP",I330-P330,0)</f>
        <v>0</v>
      </c>
      <c r="X330" s="30">
        <f>IF(Q330="OM",H330,0)</f>
        <v>0</v>
      </c>
      <c r="Y330" s="21" t="s">
        <v>192</v>
      </c>
      <c r="AI330" s="30">
        <f>SUM(Z331:Z336)</f>
        <v>0</v>
      </c>
      <c r="AJ330" s="30">
        <f>SUM(AA331:AA336)</f>
        <v>0</v>
      </c>
      <c r="AK330" s="30">
        <f>SUM(AB331:AB336)</f>
        <v>0</v>
      </c>
    </row>
    <row r="331" spans="1:43" ht="25.5">
      <c r="A331" s="4" t="s">
        <v>180</v>
      </c>
      <c r="B331" s="4" t="s">
        <v>192</v>
      </c>
      <c r="C331" s="4" t="s">
        <v>226</v>
      </c>
      <c r="D331" s="66" t="s">
        <v>606</v>
      </c>
      <c r="E331" s="4" t="s">
        <v>616</v>
      </c>
      <c r="F331" s="13">
        <v>-139.56</v>
      </c>
      <c r="G331" s="13">
        <v>0</v>
      </c>
      <c r="H331" s="13">
        <f>ROUND(F331*AE331,2)</f>
        <v>0</v>
      </c>
      <c r="I331" s="13">
        <f>J331-H331</f>
        <v>0</v>
      </c>
      <c r="J331" s="13">
        <f>ROUND(F331*G331,2)</f>
        <v>0</v>
      </c>
      <c r="K331" s="13">
        <v>0</v>
      </c>
      <c r="L331" s="13">
        <f>F331*K331</f>
        <v>0</v>
      </c>
      <c r="M331" s="24" t="s">
        <v>641</v>
      </c>
      <c r="N331" s="24" t="s">
        <v>6</v>
      </c>
      <c r="O331" s="13">
        <f>IF(N331="5",I331,0)</f>
        <v>0</v>
      </c>
      <c r="Z331" s="13">
        <f>IF(AD331=0,J331,0)</f>
        <v>0</v>
      </c>
      <c r="AA331" s="13">
        <f>IF(AD331=15,J331,0)</f>
        <v>0</v>
      </c>
      <c r="AB331" s="13">
        <f>IF(AD331=21,J331,0)</f>
        <v>0</v>
      </c>
      <c r="AD331" s="28">
        <v>21</v>
      </c>
      <c r="AE331" s="28">
        <f>G331*0</f>
        <v>0</v>
      </c>
      <c r="AF331" s="28">
        <f>G331*(1-0)</f>
        <v>0</v>
      </c>
      <c r="AM331" s="28">
        <f>F331*AE331</f>
        <v>0</v>
      </c>
      <c r="AN331" s="28">
        <f>F331*AF331</f>
        <v>0</v>
      </c>
      <c r="AO331" s="29" t="s">
        <v>671</v>
      </c>
      <c r="AP331" s="29" t="s">
        <v>671</v>
      </c>
      <c r="AQ331" s="21" t="s">
        <v>681</v>
      </c>
    </row>
    <row r="332" spans="1:43" ht="12.75">
      <c r="A332" s="4" t="s">
        <v>181</v>
      </c>
      <c r="B332" s="4" t="s">
        <v>189</v>
      </c>
      <c r="C332" s="4" t="s">
        <v>276</v>
      </c>
      <c r="D332" s="66" t="s">
        <v>516</v>
      </c>
      <c r="E332" s="4" t="s">
        <v>620</v>
      </c>
      <c r="F332" s="13">
        <v>-50.24</v>
      </c>
      <c r="G332" s="13">
        <v>0</v>
      </c>
      <c r="H332" s="13">
        <f>ROUND(F332*AE332,2)</f>
        <v>0</v>
      </c>
      <c r="I332" s="13">
        <f>J332-H332</f>
        <v>0</v>
      </c>
      <c r="J332" s="13">
        <f>ROUND(F332*G332,2)</f>
        <v>0</v>
      </c>
      <c r="K332" s="13">
        <v>0</v>
      </c>
      <c r="L332" s="13">
        <f>F332*K332</f>
        <v>0</v>
      </c>
      <c r="M332" s="24" t="s">
        <v>641</v>
      </c>
      <c r="N332" s="24" t="s">
        <v>10</v>
      </c>
      <c r="O332" s="13">
        <f>IF(N332="5",I332,0)</f>
        <v>0</v>
      </c>
      <c r="Z332" s="13">
        <f>IF(AD332=0,J332,0)</f>
        <v>0</v>
      </c>
      <c r="AA332" s="13">
        <f>IF(AD332=15,J332,0)</f>
        <v>0</v>
      </c>
      <c r="AB332" s="13">
        <f>IF(AD332=21,J332,0)</f>
        <v>0</v>
      </c>
      <c r="AD332" s="28">
        <v>21</v>
      </c>
      <c r="AE332" s="28">
        <f>G332*0</f>
        <v>0</v>
      </c>
      <c r="AF332" s="28">
        <f>G332*(1-0)</f>
        <v>0</v>
      </c>
      <c r="AM332" s="28">
        <f>F332*AE332</f>
        <v>0</v>
      </c>
      <c r="AN332" s="28">
        <f>F332*AF332</f>
        <v>0</v>
      </c>
      <c r="AO332" s="29" t="s">
        <v>662</v>
      </c>
      <c r="AP332" s="29" t="s">
        <v>672</v>
      </c>
      <c r="AQ332" s="21" t="s">
        <v>678</v>
      </c>
    </row>
    <row r="333" spans="1:43" ht="12.75">
      <c r="A333" s="4" t="s">
        <v>182</v>
      </c>
      <c r="B333" s="4" t="s">
        <v>189</v>
      </c>
      <c r="C333" s="4" t="s">
        <v>277</v>
      </c>
      <c r="D333" s="66" t="s">
        <v>517</v>
      </c>
      <c r="E333" s="4" t="s">
        <v>620</v>
      </c>
      <c r="F333" s="13">
        <f>SUM(F334)</f>
        <v>-351.69</v>
      </c>
      <c r="G333" s="13">
        <v>0</v>
      </c>
      <c r="H333" s="13">
        <f>ROUND(F333*AE333,2)</f>
        <v>0</v>
      </c>
      <c r="I333" s="13">
        <f>J333-H333</f>
        <v>0</v>
      </c>
      <c r="J333" s="13">
        <f>ROUND(F333*G333,2)</f>
        <v>0</v>
      </c>
      <c r="K333" s="13">
        <v>0</v>
      </c>
      <c r="L333" s="13">
        <f>F333*K333</f>
        <v>0</v>
      </c>
      <c r="M333" s="24" t="s">
        <v>641</v>
      </c>
      <c r="N333" s="24" t="s">
        <v>10</v>
      </c>
      <c r="O333" s="13">
        <f>IF(N333="5",I333,0)</f>
        <v>0</v>
      </c>
      <c r="Z333" s="13">
        <f>IF(AD333=0,J333,0)</f>
        <v>0</v>
      </c>
      <c r="AA333" s="13">
        <f>IF(AD333=15,J333,0)</f>
        <v>0</v>
      </c>
      <c r="AB333" s="13">
        <f>IF(AD333=21,J333,0)</f>
        <v>0</v>
      </c>
      <c r="AD333" s="28">
        <v>21</v>
      </c>
      <c r="AE333" s="28">
        <f>G333*0</f>
        <v>0</v>
      </c>
      <c r="AF333" s="28">
        <f>G333*(1-0)</f>
        <v>0</v>
      </c>
      <c r="AM333" s="28">
        <f>F333*AE333</f>
        <v>0</v>
      </c>
      <c r="AN333" s="28">
        <f>F333*AF333</f>
        <v>0</v>
      </c>
      <c r="AO333" s="29" t="s">
        <v>662</v>
      </c>
      <c r="AP333" s="29" t="s">
        <v>672</v>
      </c>
      <c r="AQ333" s="21" t="s">
        <v>678</v>
      </c>
    </row>
    <row r="334" spans="4:6" ht="12.75">
      <c r="D334" s="67" t="s">
        <v>772</v>
      </c>
      <c r="F334" s="14">
        <v>-351.69</v>
      </c>
    </row>
    <row r="335" spans="1:43" ht="12.75">
      <c r="A335" s="4" t="s">
        <v>183</v>
      </c>
      <c r="B335" s="4" t="s">
        <v>189</v>
      </c>
      <c r="C335" s="4" t="s">
        <v>278</v>
      </c>
      <c r="D335" s="66" t="s">
        <v>519</v>
      </c>
      <c r="E335" s="4" t="s">
        <v>620</v>
      </c>
      <c r="F335" s="13">
        <v>-50.24</v>
      </c>
      <c r="G335" s="13">
        <v>0</v>
      </c>
      <c r="H335" s="13">
        <f>ROUND(F335*AE335,2)</f>
        <v>0</v>
      </c>
      <c r="I335" s="13">
        <f>J335-H335</f>
        <v>0</v>
      </c>
      <c r="J335" s="13">
        <f>ROUND(F335*G335,2)</f>
        <v>0</v>
      </c>
      <c r="K335" s="13">
        <v>0</v>
      </c>
      <c r="L335" s="13">
        <f>F335*K335</f>
        <v>0</v>
      </c>
      <c r="M335" s="24" t="s">
        <v>641</v>
      </c>
      <c r="N335" s="24" t="s">
        <v>10</v>
      </c>
      <c r="O335" s="13">
        <f>IF(N335="5",I335,0)</f>
        <v>0</v>
      </c>
      <c r="Z335" s="13">
        <f>IF(AD335=0,J335,0)</f>
        <v>0</v>
      </c>
      <c r="AA335" s="13">
        <f>IF(AD335=15,J335,0)</f>
        <v>0</v>
      </c>
      <c r="AB335" s="13">
        <f>IF(AD335=21,J335,0)</f>
        <v>0</v>
      </c>
      <c r="AD335" s="28">
        <v>21</v>
      </c>
      <c r="AE335" s="28">
        <f>G335*0</f>
        <v>0</v>
      </c>
      <c r="AF335" s="28">
        <f>G335*(1-0)</f>
        <v>0</v>
      </c>
      <c r="AM335" s="28">
        <f>F335*AE335</f>
        <v>0</v>
      </c>
      <c r="AN335" s="28">
        <f>F335*AF335</f>
        <v>0</v>
      </c>
      <c r="AO335" s="29" t="s">
        <v>662</v>
      </c>
      <c r="AP335" s="29" t="s">
        <v>672</v>
      </c>
      <c r="AQ335" s="21" t="s">
        <v>678</v>
      </c>
    </row>
    <row r="336" spans="1:43" ht="12.75">
      <c r="A336" s="4" t="s">
        <v>184</v>
      </c>
      <c r="B336" s="4" t="s">
        <v>192</v>
      </c>
      <c r="C336" s="4" t="s">
        <v>218</v>
      </c>
      <c r="D336" s="89" t="s">
        <v>391</v>
      </c>
      <c r="E336" s="4" t="s">
        <v>620</v>
      </c>
      <c r="F336" s="13">
        <v>-50.24</v>
      </c>
      <c r="G336" s="13">
        <v>0</v>
      </c>
      <c r="H336" s="13">
        <f>ROUND(F336*AE336,2)</f>
        <v>0</v>
      </c>
      <c r="I336" s="13">
        <f>J336-H336</f>
        <v>0</v>
      </c>
      <c r="J336" s="13">
        <f>ROUND(F336*G336,2)</f>
        <v>0</v>
      </c>
      <c r="K336" s="13">
        <v>0</v>
      </c>
      <c r="L336" s="13">
        <f>F336*K336</f>
        <v>0</v>
      </c>
      <c r="M336" s="24" t="s">
        <v>641</v>
      </c>
      <c r="N336" s="24" t="s">
        <v>6</v>
      </c>
      <c r="O336" s="13">
        <f>IF(N336="5",I336,0)</f>
        <v>0</v>
      </c>
      <c r="Z336" s="13">
        <f>IF(AD336=0,J336,0)</f>
        <v>0</v>
      </c>
      <c r="AA336" s="13">
        <f>IF(AD336=15,J336,0)</f>
        <v>0</v>
      </c>
      <c r="AB336" s="13">
        <f>IF(AD336=21,J336,0)</f>
        <v>0</v>
      </c>
      <c r="AD336" s="28">
        <v>21</v>
      </c>
      <c r="AE336" s="28">
        <f>G336*0</f>
        <v>0</v>
      </c>
      <c r="AF336" s="28">
        <f>G336*(1-0)</f>
        <v>0</v>
      </c>
      <c r="AM336" s="28">
        <f>F336*AE336</f>
        <v>0</v>
      </c>
      <c r="AN336" s="28">
        <f>F336*AF336</f>
        <v>0</v>
      </c>
      <c r="AO336" s="29" t="s">
        <v>671</v>
      </c>
      <c r="AP336" s="29" t="s">
        <v>671</v>
      </c>
      <c r="AQ336" s="21" t="s">
        <v>681</v>
      </c>
    </row>
    <row r="337" spans="1:13" s="75" customFormat="1" ht="12.75">
      <c r="A337" s="76"/>
      <c r="B337" s="77" t="s">
        <v>193</v>
      </c>
      <c r="C337" s="77"/>
      <c r="D337" s="92" t="s">
        <v>607</v>
      </c>
      <c r="E337" s="90"/>
      <c r="F337" s="90"/>
      <c r="G337" s="90"/>
      <c r="H337" s="78">
        <f>H338</f>
        <v>0</v>
      </c>
      <c r="I337" s="78">
        <f>I338</f>
        <v>0</v>
      </c>
      <c r="J337" s="78">
        <f>H337+I337</f>
        <v>0</v>
      </c>
      <c r="K337" s="79"/>
      <c r="L337" s="78">
        <f>L338</f>
        <v>0</v>
      </c>
      <c r="M337" s="79"/>
    </row>
    <row r="338" spans="1:37" ht="12.75">
      <c r="A338" s="3"/>
      <c r="B338" s="10" t="s">
        <v>193</v>
      </c>
      <c r="C338" s="10" t="s">
        <v>6</v>
      </c>
      <c r="D338" s="114" t="s">
        <v>359</v>
      </c>
      <c r="E338" s="115"/>
      <c r="F338" s="115"/>
      <c r="G338" s="115"/>
      <c r="H338" s="30">
        <f>SUM(H339:H344)</f>
        <v>0</v>
      </c>
      <c r="I338" s="30">
        <f>SUM(I339:I344)</f>
        <v>0</v>
      </c>
      <c r="J338" s="30">
        <f>H338+I338</f>
        <v>0</v>
      </c>
      <c r="K338" s="21"/>
      <c r="L338" s="30">
        <f>SUM(L339:L344)</f>
        <v>0</v>
      </c>
      <c r="M338" s="21"/>
      <c r="P338" s="30">
        <f>IF(Q338="PR",J338,SUM(O339:O344))</f>
        <v>0</v>
      </c>
      <c r="Q338" s="21" t="s">
        <v>646</v>
      </c>
      <c r="R338" s="30">
        <f>IF(Q338="HS",H338,0)</f>
        <v>0</v>
      </c>
      <c r="S338" s="30">
        <f>IF(Q338="HS",I338-P338,0)</f>
        <v>0</v>
      </c>
      <c r="T338" s="30">
        <f>IF(Q338="PS",H338,0)</f>
        <v>0</v>
      </c>
      <c r="U338" s="30">
        <f>IF(Q338="PS",I338-P338,0)</f>
        <v>0</v>
      </c>
      <c r="V338" s="30">
        <f>IF(Q338="MP",H338,0)</f>
        <v>0</v>
      </c>
      <c r="W338" s="30">
        <f>IF(Q338="MP",I338-P338,0)</f>
        <v>0</v>
      </c>
      <c r="X338" s="30">
        <f>IF(Q338="OM",H338,0)</f>
        <v>0</v>
      </c>
      <c r="Y338" s="21" t="s">
        <v>193</v>
      </c>
      <c r="AI338" s="30">
        <f>SUM(Z339:Z344)</f>
        <v>0</v>
      </c>
      <c r="AJ338" s="30">
        <f>SUM(AA339:AA344)</f>
        <v>0</v>
      </c>
      <c r="AK338" s="30">
        <f>SUM(AB339:AB344)</f>
        <v>0</v>
      </c>
    </row>
    <row r="339" spans="1:43" ht="25.5">
      <c r="A339" s="4" t="s">
        <v>185</v>
      </c>
      <c r="B339" s="4" t="s">
        <v>193</v>
      </c>
      <c r="C339" s="4" t="s">
        <v>226</v>
      </c>
      <c r="D339" s="66" t="s">
        <v>606</v>
      </c>
      <c r="E339" s="4" t="s">
        <v>616</v>
      </c>
      <c r="F339" s="13">
        <v>-2338</v>
      </c>
      <c r="G339" s="13">
        <v>0</v>
      </c>
      <c r="H339" s="13">
        <f>ROUND(F339*AE339,2)</f>
        <v>0</v>
      </c>
      <c r="I339" s="13">
        <f>J339-H339</f>
        <v>0</v>
      </c>
      <c r="J339" s="13">
        <f>ROUND(F339*G339,2)</f>
        <v>0</v>
      </c>
      <c r="K339" s="13">
        <v>0</v>
      </c>
      <c r="L339" s="13">
        <f>F339*K339</f>
        <v>0</v>
      </c>
      <c r="M339" s="24" t="s">
        <v>641</v>
      </c>
      <c r="N339" s="24" t="s">
        <v>6</v>
      </c>
      <c r="O339" s="13">
        <f>IF(N339="5",I339,0)</f>
        <v>0</v>
      </c>
      <c r="Z339" s="13">
        <f>IF(AD339=0,J339,0)</f>
        <v>0</v>
      </c>
      <c r="AA339" s="13">
        <f>IF(AD339=15,J339,0)</f>
        <v>0</v>
      </c>
      <c r="AB339" s="13">
        <f>IF(AD339=21,J339,0)</f>
        <v>0</v>
      </c>
      <c r="AD339" s="28">
        <v>21</v>
      </c>
      <c r="AE339" s="28">
        <f>G339*0</f>
        <v>0</v>
      </c>
      <c r="AF339" s="28">
        <f>G339*(1-0)</f>
        <v>0</v>
      </c>
      <c r="AM339" s="28">
        <f>F339*AE339</f>
        <v>0</v>
      </c>
      <c r="AN339" s="28">
        <f>F339*AF339</f>
        <v>0</v>
      </c>
      <c r="AO339" s="29" t="s">
        <v>671</v>
      </c>
      <c r="AP339" s="29" t="s">
        <v>671</v>
      </c>
      <c r="AQ339" s="21" t="s">
        <v>682</v>
      </c>
    </row>
    <row r="340" spans="1:43" ht="12.75">
      <c r="A340" s="4" t="s">
        <v>768</v>
      </c>
      <c r="B340" s="4" t="s">
        <v>189</v>
      </c>
      <c r="C340" s="4" t="s">
        <v>276</v>
      </c>
      <c r="D340" s="66" t="s">
        <v>516</v>
      </c>
      <c r="E340" s="4" t="s">
        <v>620</v>
      </c>
      <c r="F340" s="13">
        <v>-841.68</v>
      </c>
      <c r="G340" s="13">
        <v>0</v>
      </c>
      <c r="H340" s="13">
        <f>ROUND(F340*AE340,2)</f>
        <v>0</v>
      </c>
      <c r="I340" s="13">
        <f>J340-H340</f>
        <v>0</v>
      </c>
      <c r="J340" s="13">
        <f>ROUND(F340*G340,2)</f>
        <v>0</v>
      </c>
      <c r="K340" s="13">
        <v>0</v>
      </c>
      <c r="L340" s="13">
        <f>F340*K340</f>
        <v>0</v>
      </c>
      <c r="M340" s="24" t="s">
        <v>641</v>
      </c>
      <c r="N340" s="24" t="s">
        <v>10</v>
      </c>
      <c r="O340" s="13">
        <f>IF(N340="5",I340,0)</f>
        <v>0</v>
      </c>
      <c r="Z340" s="13">
        <f>IF(AD340=0,J340,0)</f>
        <v>0</v>
      </c>
      <c r="AA340" s="13">
        <f>IF(AD340=15,J340,0)</f>
        <v>0</v>
      </c>
      <c r="AB340" s="13">
        <f>IF(AD340=21,J340,0)</f>
        <v>0</v>
      </c>
      <c r="AD340" s="28">
        <v>21</v>
      </c>
      <c r="AE340" s="28">
        <f>G340*0</f>
        <v>0</v>
      </c>
      <c r="AF340" s="28">
        <f>G340*(1-0)</f>
        <v>0</v>
      </c>
      <c r="AM340" s="28">
        <f>F340*AE340</f>
        <v>0</v>
      </c>
      <c r="AN340" s="28">
        <f>F340*AF340</f>
        <v>0</v>
      </c>
      <c r="AO340" s="29" t="s">
        <v>662</v>
      </c>
      <c r="AP340" s="29" t="s">
        <v>672</v>
      </c>
      <c r="AQ340" s="21" t="s">
        <v>678</v>
      </c>
    </row>
    <row r="341" spans="1:43" ht="12.75">
      <c r="A341" s="4" t="s">
        <v>769</v>
      </c>
      <c r="B341" s="4" t="s">
        <v>189</v>
      </c>
      <c r="C341" s="4" t="s">
        <v>277</v>
      </c>
      <c r="D341" s="66" t="s">
        <v>517</v>
      </c>
      <c r="E341" s="4" t="s">
        <v>620</v>
      </c>
      <c r="F341" s="13">
        <f>SUM(F342)</f>
        <v>-5891.76</v>
      </c>
      <c r="G341" s="13">
        <v>0</v>
      </c>
      <c r="H341" s="13">
        <f>ROUND(F341*AE341,2)</f>
        <v>0</v>
      </c>
      <c r="I341" s="13">
        <f>J341-H341</f>
        <v>0</v>
      </c>
      <c r="J341" s="13">
        <f>ROUND(F341*G341,2)</f>
        <v>0</v>
      </c>
      <c r="K341" s="13">
        <v>0</v>
      </c>
      <c r="L341" s="13">
        <f>F341*K341</f>
        <v>0</v>
      </c>
      <c r="M341" s="24" t="s">
        <v>641</v>
      </c>
      <c r="N341" s="24" t="s">
        <v>10</v>
      </c>
      <c r="O341" s="13">
        <f>IF(N341="5",I341,0)</f>
        <v>0</v>
      </c>
      <c r="Z341" s="13">
        <f>IF(AD341=0,J341,0)</f>
        <v>0</v>
      </c>
      <c r="AA341" s="13">
        <f>IF(AD341=15,J341,0)</f>
        <v>0</v>
      </c>
      <c r="AB341" s="13">
        <f>IF(AD341=21,J341,0)</f>
        <v>0</v>
      </c>
      <c r="AD341" s="28">
        <v>21</v>
      </c>
      <c r="AE341" s="28">
        <f>G341*0</f>
        <v>0</v>
      </c>
      <c r="AF341" s="28">
        <f>G341*(1-0)</f>
        <v>0</v>
      </c>
      <c r="AM341" s="28">
        <f>F341*AE341</f>
        <v>0</v>
      </c>
      <c r="AN341" s="28">
        <f>F341*AF341</f>
        <v>0</v>
      </c>
      <c r="AO341" s="29" t="s">
        <v>662</v>
      </c>
      <c r="AP341" s="29" t="s">
        <v>672</v>
      </c>
      <c r="AQ341" s="21" t="s">
        <v>678</v>
      </c>
    </row>
    <row r="342" spans="1:43" ht="12.75">
      <c r="A342" s="4"/>
      <c r="B342" s="4"/>
      <c r="C342" s="4"/>
      <c r="D342" s="67" t="s">
        <v>773</v>
      </c>
      <c r="E342" s="4"/>
      <c r="F342" s="14">
        <v>-5891.76</v>
      </c>
      <c r="G342" s="13"/>
      <c r="H342" s="13"/>
      <c r="I342" s="13"/>
      <c r="J342" s="13"/>
      <c r="K342" s="13"/>
      <c r="L342" s="13"/>
      <c r="M342" s="24"/>
      <c r="N342" s="24"/>
      <c r="O342" s="13"/>
      <c r="Z342" s="13"/>
      <c r="AA342" s="13"/>
      <c r="AB342" s="13"/>
      <c r="AD342" s="28"/>
      <c r="AE342" s="28"/>
      <c r="AF342" s="28"/>
      <c r="AM342" s="28"/>
      <c r="AN342" s="28"/>
      <c r="AO342" s="29"/>
      <c r="AP342" s="29"/>
      <c r="AQ342" s="21"/>
    </row>
    <row r="343" spans="1:43" ht="12.75">
      <c r="A343" s="4" t="s">
        <v>770</v>
      </c>
      <c r="B343" s="4" t="s">
        <v>189</v>
      </c>
      <c r="C343" s="4" t="s">
        <v>278</v>
      </c>
      <c r="D343" s="66" t="s">
        <v>519</v>
      </c>
      <c r="E343" s="4" t="s">
        <v>620</v>
      </c>
      <c r="F343" s="13">
        <v>-841.68</v>
      </c>
      <c r="G343" s="13">
        <v>0</v>
      </c>
      <c r="H343" s="13">
        <f>ROUND(F343*AE343,2)</f>
        <v>0</v>
      </c>
      <c r="I343" s="13">
        <f>J343-H343</f>
        <v>0</v>
      </c>
      <c r="J343" s="13">
        <f>ROUND(F343*G343,2)</f>
        <v>0</v>
      </c>
      <c r="K343" s="13">
        <v>0</v>
      </c>
      <c r="L343" s="13">
        <f>F343*K343</f>
        <v>0</v>
      </c>
      <c r="M343" s="24" t="s">
        <v>641</v>
      </c>
      <c r="N343" s="24" t="s">
        <v>10</v>
      </c>
      <c r="O343" s="13">
        <f>IF(N343="5",I343,0)</f>
        <v>0</v>
      </c>
      <c r="Z343" s="13">
        <f>IF(AD343=0,J343,0)</f>
        <v>0</v>
      </c>
      <c r="AA343" s="13">
        <f>IF(AD343=15,J343,0)</f>
        <v>0</v>
      </c>
      <c r="AB343" s="13">
        <f>IF(AD343=21,J343,0)</f>
        <v>0</v>
      </c>
      <c r="AD343" s="28">
        <v>21</v>
      </c>
      <c r="AE343" s="28">
        <f>G343*0</f>
        <v>0</v>
      </c>
      <c r="AF343" s="28">
        <f>G343*(1-0)</f>
        <v>0</v>
      </c>
      <c r="AM343" s="28">
        <f>F343*AE343</f>
        <v>0</v>
      </c>
      <c r="AN343" s="28">
        <f>F343*AF343</f>
        <v>0</v>
      </c>
      <c r="AO343" s="29" t="s">
        <v>662</v>
      </c>
      <c r="AP343" s="29" t="s">
        <v>672</v>
      </c>
      <c r="AQ343" s="21" t="s">
        <v>678</v>
      </c>
    </row>
    <row r="344" spans="1:43" ht="12.75">
      <c r="A344" s="4" t="s">
        <v>771</v>
      </c>
      <c r="B344" s="4" t="s">
        <v>193</v>
      </c>
      <c r="C344" s="4" t="s">
        <v>218</v>
      </c>
      <c r="D344" s="89" t="s">
        <v>391</v>
      </c>
      <c r="E344" s="4" t="s">
        <v>613</v>
      </c>
      <c r="F344" s="13">
        <v>-841.68</v>
      </c>
      <c r="G344" s="13">
        <v>0</v>
      </c>
      <c r="H344" s="13">
        <f>ROUND(F344*AE344,2)</f>
        <v>0</v>
      </c>
      <c r="I344" s="13">
        <f>J344-H344</f>
        <v>0</v>
      </c>
      <c r="J344" s="13">
        <f>ROUND(F344*G344,2)</f>
        <v>0</v>
      </c>
      <c r="K344" s="13">
        <v>0</v>
      </c>
      <c r="L344" s="13">
        <f>F344*K344</f>
        <v>0</v>
      </c>
      <c r="M344" s="24" t="s">
        <v>641</v>
      </c>
      <c r="N344" s="24" t="s">
        <v>6</v>
      </c>
      <c r="O344" s="13">
        <f>IF(N344="5",I344,0)</f>
        <v>0</v>
      </c>
      <c r="Z344" s="13">
        <f>IF(AD344=0,J344,0)</f>
        <v>0</v>
      </c>
      <c r="AA344" s="13">
        <f>IF(AD344=15,J344,0)</f>
        <v>0</v>
      </c>
      <c r="AB344" s="13">
        <f>IF(AD344=21,J344,0)</f>
        <v>0</v>
      </c>
      <c r="AD344" s="28">
        <v>21</v>
      </c>
      <c r="AE344" s="28">
        <f>G344*0</f>
        <v>0</v>
      </c>
      <c r="AF344" s="28">
        <f>G344*(1-0)</f>
        <v>0</v>
      </c>
      <c r="AM344" s="28">
        <f>F344*AE344</f>
        <v>0</v>
      </c>
      <c r="AN344" s="28">
        <f>F344*AF344</f>
        <v>0</v>
      </c>
      <c r="AO344" s="29" t="s">
        <v>671</v>
      </c>
      <c r="AP344" s="29" t="s">
        <v>671</v>
      </c>
      <c r="AQ344" s="21" t="s">
        <v>682</v>
      </c>
    </row>
    <row r="345" spans="1:28" ht="12.75">
      <c r="A345" s="6"/>
      <c r="B345" s="6"/>
      <c r="C345" s="6"/>
      <c r="D345" s="69"/>
      <c r="E345" s="6"/>
      <c r="F345" s="6"/>
      <c r="G345" s="6"/>
      <c r="H345" s="120" t="s">
        <v>630</v>
      </c>
      <c r="I345" s="121"/>
      <c r="J345" s="31">
        <f>J13+J19+J33+J41+J50+J60+J120+J131+J166+J197+J199+J236+J238+J246+J268+J282+J299+J306+J318+J327+J330+J338</f>
        <v>0</v>
      </c>
      <c r="K345" s="6"/>
      <c r="L345" s="6"/>
      <c r="M345" s="6"/>
      <c r="Z345" s="32">
        <f>SUM(Z13:Z344)</f>
        <v>0</v>
      </c>
      <c r="AA345" s="32">
        <f>SUM(AA13:AA344)</f>
        <v>0</v>
      </c>
      <c r="AB345" s="32">
        <f>SUM(AB13:AB344)</f>
        <v>0</v>
      </c>
    </row>
    <row r="346" ht="11.25" customHeight="1">
      <c r="A346" s="7" t="s">
        <v>186</v>
      </c>
    </row>
    <row r="347" spans="1:13" ht="409.5" customHeight="1" hidden="1">
      <c r="A347" s="94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</sheetData>
  <sheetProtection/>
  <mergeCells count="57">
    <mergeCell ref="H345:I345"/>
    <mergeCell ref="A347:M347"/>
    <mergeCell ref="D318:G318"/>
    <mergeCell ref="D327:G327"/>
    <mergeCell ref="D329:G329"/>
    <mergeCell ref="D330:G330"/>
    <mergeCell ref="D337:G337"/>
    <mergeCell ref="D338:G338"/>
    <mergeCell ref="D246:G246"/>
    <mergeCell ref="D268:G268"/>
    <mergeCell ref="D281:G281"/>
    <mergeCell ref="D282:G282"/>
    <mergeCell ref="D50:G50"/>
    <mergeCell ref="D60:G60"/>
    <mergeCell ref="D299:G299"/>
    <mergeCell ref="D306:G306"/>
    <mergeCell ref="D166:G166"/>
    <mergeCell ref="D197:G197"/>
    <mergeCell ref="D199:G199"/>
    <mergeCell ref="D235:G235"/>
    <mergeCell ref="D236:G236"/>
    <mergeCell ref="D238:G238"/>
    <mergeCell ref="D120:G120"/>
    <mergeCell ref="D131:G131"/>
    <mergeCell ref="H10:J10"/>
    <mergeCell ref="K10:L10"/>
    <mergeCell ref="D12:G12"/>
    <mergeCell ref="D13:G13"/>
    <mergeCell ref="D19:G19"/>
    <mergeCell ref="D32:G32"/>
    <mergeCell ref="D33:G33"/>
    <mergeCell ref="D41:G41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D4:D5"/>
    <mergeCell ref="E4:F5"/>
    <mergeCell ref="G4:H5"/>
    <mergeCell ref="I8:I9"/>
    <mergeCell ref="G8:H9"/>
    <mergeCell ref="I4:I5"/>
    <mergeCell ref="J4:M5"/>
    <mergeCell ref="A1:M1"/>
    <mergeCell ref="A2:C3"/>
    <mergeCell ref="D2:D3"/>
    <mergeCell ref="E2:F3"/>
    <mergeCell ref="G2:H3"/>
    <mergeCell ref="I2:I3"/>
    <mergeCell ref="J2:M3"/>
    <mergeCell ref="A4:C5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16.57421875" style="0" customWidth="1"/>
    <col min="2" max="2" width="13.00390625" style="0" customWidth="1"/>
    <col min="3" max="3" width="60.7109375" style="7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21.75" customHeight="1">
      <c r="A1" s="97" t="s">
        <v>775</v>
      </c>
      <c r="B1" s="98"/>
      <c r="C1" s="98"/>
      <c r="D1" s="98"/>
      <c r="E1" s="98"/>
      <c r="F1" s="98"/>
      <c r="G1" s="37"/>
    </row>
    <row r="2" spans="1:8" ht="12.75">
      <c r="A2" s="99" t="s">
        <v>0</v>
      </c>
      <c r="B2" s="102" t="s">
        <v>354</v>
      </c>
      <c r="C2" s="121"/>
      <c r="D2" s="105" t="s">
        <v>631</v>
      </c>
      <c r="E2" s="105" t="s">
        <v>635</v>
      </c>
      <c r="F2" s="100"/>
      <c r="G2" s="106"/>
      <c r="H2" s="26"/>
    </row>
    <row r="3" spans="1:8" ht="12.75">
      <c r="A3" s="101"/>
      <c r="B3" s="122"/>
      <c r="C3" s="122"/>
      <c r="D3" s="95"/>
      <c r="E3" s="95"/>
      <c r="F3" s="95"/>
      <c r="G3" s="96"/>
      <c r="H3" s="26"/>
    </row>
    <row r="4" spans="1:8" ht="12.75">
      <c r="A4" s="107" t="s">
        <v>1</v>
      </c>
      <c r="B4" s="94"/>
      <c r="C4" s="95"/>
      <c r="D4" s="94" t="s">
        <v>632</v>
      </c>
      <c r="E4" s="94" t="s">
        <v>636</v>
      </c>
      <c r="F4" s="95"/>
      <c r="G4" s="96"/>
      <c r="H4" s="26"/>
    </row>
    <row r="5" spans="1:8" ht="12.75">
      <c r="A5" s="101"/>
      <c r="B5" s="95"/>
      <c r="C5" s="95"/>
      <c r="D5" s="95"/>
      <c r="E5" s="95"/>
      <c r="F5" s="95"/>
      <c r="G5" s="96"/>
      <c r="H5" s="26"/>
    </row>
    <row r="6" spans="1:8" ht="12.75">
      <c r="A6" s="107" t="s">
        <v>2</v>
      </c>
      <c r="B6" s="94" t="s">
        <v>355</v>
      </c>
      <c r="C6" s="95"/>
      <c r="D6" s="94" t="s">
        <v>633</v>
      </c>
      <c r="E6" s="94"/>
      <c r="F6" s="95"/>
      <c r="G6" s="96"/>
      <c r="H6" s="26"/>
    </row>
    <row r="7" spans="1:8" ht="12.75">
      <c r="A7" s="101"/>
      <c r="B7" s="95"/>
      <c r="C7" s="95"/>
      <c r="D7" s="95"/>
      <c r="E7" s="95"/>
      <c r="F7" s="95"/>
      <c r="G7" s="96"/>
      <c r="H7" s="26"/>
    </row>
    <row r="8" spans="1:8" ht="12.75">
      <c r="A8" s="107" t="s">
        <v>634</v>
      </c>
      <c r="B8" s="94"/>
      <c r="C8" s="95"/>
      <c r="D8" s="108" t="s">
        <v>611</v>
      </c>
      <c r="E8" s="113">
        <v>41870</v>
      </c>
      <c r="F8" s="95"/>
      <c r="G8" s="96"/>
      <c r="H8" s="26"/>
    </row>
    <row r="9" spans="1:8" ht="12.75">
      <c r="A9" s="111"/>
      <c r="B9" s="109"/>
      <c r="C9" s="109"/>
      <c r="D9" s="109"/>
      <c r="E9" s="109"/>
      <c r="F9" s="109"/>
      <c r="G9" s="110"/>
      <c r="H9" s="26"/>
    </row>
    <row r="10" spans="1:8" ht="12.75">
      <c r="A10" s="33" t="s">
        <v>187</v>
      </c>
      <c r="B10" s="34" t="s">
        <v>194</v>
      </c>
      <c r="C10" s="85" t="s">
        <v>356</v>
      </c>
      <c r="D10" s="35" t="s">
        <v>683</v>
      </c>
      <c r="E10" s="35" t="s">
        <v>684</v>
      </c>
      <c r="F10" s="35" t="s">
        <v>685</v>
      </c>
      <c r="G10" s="38" t="s">
        <v>686</v>
      </c>
      <c r="H10" s="27"/>
    </row>
    <row r="11" spans="1:9" s="83" customFormat="1" ht="12.75">
      <c r="A11" s="80" t="s">
        <v>188</v>
      </c>
      <c r="B11" s="80"/>
      <c r="C11" s="86" t="s">
        <v>358</v>
      </c>
      <c r="D11" s="81">
        <f>SUM(D12:D13)</f>
        <v>0</v>
      </c>
      <c r="E11" s="81">
        <f>SUM(E12:E13)</f>
        <v>0</v>
      </c>
      <c r="F11" s="81">
        <f aca="true" t="shared" si="0" ref="F11:F38">D11+E11</f>
        <v>0</v>
      </c>
      <c r="G11" s="81">
        <v>0</v>
      </c>
      <c r="H11" s="82" t="s">
        <v>619</v>
      </c>
      <c r="I11" s="82">
        <f aca="true" t="shared" si="1" ref="I11:I38">IF(H11="T",0,F11)</f>
        <v>0</v>
      </c>
    </row>
    <row r="12" spans="1:9" ht="12.75">
      <c r="A12" s="11" t="s">
        <v>188</v>
      </c>
      <c r="B12" s="11" t="s">
        <v>15</v>
      </c>
      <c r="C12" s="87" t="s">
        <v>359</v>
      </c>
      <c r="D12" s="28">
        <f>SUM('Výkaz výměr'!H13)</f>
        <v>0</v>
      </c>
      <c r="E12" s="28">
        <f>SUM('Výkaz výměr'!I13)</f>
        <v>0</v>
      </c>
      <c r="F12" s="28">
        <f t="shared" si="0"/>
        <v>0</v>
      </c>
      <c r="G12" s="28">
        <v>0</v>
      </c>
      <c r="H12" s="28" t="s">
        <v>687</v>
      </c>
      <c r="I12" s="28">
        <f t="shared" si="1"/>
        <v>0</v>
      </c>
    </row>
    <row r="13" spans="1:9" ht="12.75">
      <c r="A13" s="11" t="s">
        <v>188</v>
      </c>
      <c r="B13" s="11" t="s">
        <v>199</v>
      </c>
      <c r="C13" s="87" t="s">
        <v>365</v>
      </c>
      <c r="D13" s="28">
        <f>SUM('Výkaz výměr'!H19)</f>
        <v>0</v>
      </c>
      <c r="E13" s="28">
        <f>SUM('Výkaz výměr'!I19)</f>
        <v>0</v>
      </c>
      <c r="F13" s="28">
        <f t="shared" si="0"/>
        <v>0</v>
      </c>
      <c r="G13" s="28">
        <v>0</v>
      </c>
      <c r="H13" s="28" t="s">
        <v>687</v>
      </c>
      <c r="I13" s="28">
        <f t="shared" si="1"/>
        <v>0</v>
      </c>
    </row>
    <row r="14" spans="1:9" s="83" customFormat="1" ht="12.75">
      <c r="A14" s="84" t="s">
        <v>189</v>
      </c>
      <c r="B14" s="84"/>
      <c r="C14" s="88" t="s">
        <v>378</v>
      </c>
      <c r="D14" s="82">
        <f>SUM(D15:D23)</f>
        <v>0</v>
      </c>
      <c r="E14" s="82">
        <f>SUM(E15:E23)</f>
        <v>0</v>
      </c>
      <c r="F14" s="82">
        <f t="shared" si="0"/>
        <v>0</v>
      </c>
      <c r="G14" s="82">
        <f>SUM(G15:G23)</f>
        <v>10897.981</v>
      </c>
      <c r="H14" s="82" t="s">
        <v>619</v>
      </c>
      <c r="I14" s="82">
        <f t="shared" si="1"/>
        <v>0</v>
      </c>
    </row>
    <row r="15" spans="1:9" ht="12.75">
      <c r="A15" s="11" t="s">
        <v>189</v>
      </c>
      <c r="B15" s="11" t="s">
        <v>207</v>
      </c>
      <c r="C15" s="87" t="s">
        <v>379</v>
      </c>
      <c r="D15" s="28">
        <f>SUM('Výkaz výměr'!H33)</f>
        <v>0</v>
      </c>
      <c r="E15" s="28">
        <f>SUM('Výkaz výměr'!I33)</f>
        <v>0</v>
      </c>
      <c r="F15" s="28">
        <f t="shared" si="0"/>
        <v>0</v>
      </c>
      <c r="G15" s="28">
        <v>0</v>
      </c>
      <c r="H15" s="28" t="s">
        <v>687</v>
      </c>
      <c r="I15" s="28">
        <f t="shared" si="1"/>
        <v>0</v>
      </c>
    </row>
    <row r="16" spans="1:9" ht="12.75">
      <c r="A16" s="11" t="s">
        <v>189</v>
      </c>
      <c r="B16" s="11" t="s">
        <v>15</v>
      </c>
      <c r="C16" s="87" t="s">
        <v>359</v>
      </c>
      <c r="D16" s="28">
        <f>SUM('Výkaz výměr'!H41)</f>
        <v>0</v>
      </c>
      <c r="E16" s="28">
        <f>SUM('Výkaz výměr'!I41)</f>
        <v>0</v>
      </c>
      <c r="F16" s="28">
        <f t="shared" si="0"/>
        <v>0</v>
      </c>
      <c r="G16" s="28">
        <v>7.32275</v>
      </c>
      <c r="H16" s="28" t="s">
        <v>687</v>
      </c>
      <c r="I16" s="28">
        <f t="shared" si="1"/>
        <v>0</v>
      </c>
    </row>
    <row r="17" spans="1:9" ht="12.75">
      <c r="A17" s="11" t="s">
        <v>189</v>
      </c>
      <c r="B17" s="11" t="s">
        <v>33</v>
      </c>
      <c r="C17" s="87" t="s">
        <v>395</v>
      </c>
      <c r="D17" s="28">
        <f>SUM('Výkaz výměr'!H50)</f>
        <v>0</v>
      </c>
      <c r="E17" s="28">
        <f>SUM('Výkaz výměr'!I50)</f>
        <v>0</v>
      </c>
      <c r="F17" s="28">
        <f t="shared" si="0"/>
        <v>0</v>
      </c>
      <c r="G17" s="28">
        <v>108.90769</v>
      </c>
      <c r="H17" s="28" t="s">
        <v>687</v>
      </c>
      <c r="I17" s="28">
        <f t="shared" si="1"/>
        <v>0</v>
      </c>
    </row>
    <row r="18" spans="1:9" ht="12.75">
      <c r="A18" s="11" t="s">
        <v>189</v>
      </c>
      <c r="B18" s="11" t="s">
        <v>55</v>
      </c>
      <c r="C18" s="87" t="s">
        <v>403</v>
      </c>
      <c r="D18" s="28">
        <f>SUM('Výkaz výměr'!H60)</f>
        <v>0</v>
      </c>
      <c r="E18" s="28">
        <f>SUM('Výkaz výměr'!I60)</f>
        <v>0</v>
      </c>
      <c r="F18" s="28">
        <f t="shared" si="0"/>
        <v>0</v>
      </c>
      <c r="G18" s="28">
        <v>5777.02</v>
      </c>
      <c r="H18" s="28" t="s">
        <v>687</v>
      </c>
      <c r="I18" s="28">
        <f t="shared" si="1"/>
        <v>0</v>
      </c>
    </row>
    <row r="19" spans="1:9" ht="12.75">
      <c r="A19" s="11" t="s">
        <v>189</v>
      </c>
      <c r="B19" s="11" t="s">
        <v>92</v>
      </c>
      <c r="C19" s="87" t="s">
        <v>451</v>
      </c>
      <c r="D19" s="28">
        <f>SUM('Výkaz výměr'!H120)</f>
        <v>0</v>
      </c>
      <c r="E19" s="28">
        <f>SUM('Výkaz výměr'!I120)</f>
        <v>0</v>
      </c>
      <c r="F19" s="28">
        <f t="shared" si="0"/>
        <v>0</v>
      </c>
      <c r="G19" s="28">
        <v>169.19284</v>
      </c>
      <c r="H19" s="28" t="s">
        <v>687</v>
      </c>
      <c r="I19" s="28">
        <f t="shared" si="1"/>
        <v>0</v>
      </c>
    </row>
    <row r="20" spans="1:9" ht="25.5">
      <c r="A20" s="11" t="s">
        <v>189</v>
      </c>
      <c r="B20" s="11" t="s">
        <v>96</v>
      </c>
      <c r="C20" s="87" t="s">
        <v>462</v>
      </c>
      <c r="D20" s="28">
        <f>SUM('Výkaz výměr'!H131)</f>
        <v>0</v>
      </c>
      <c r="E20" s="28">
        <f>SUM('Výkaz výměr'!I131)</f>
        <v>0</v>
      </c>
      <c r="F20" s="28">
        <f t="shared" si="0"/>
        <v>0</v>
      </c>
      <c r="G20" s="28">
        <v>1265.08992</v>
      </c>
      <c r="H20" s="28" t="s">
        <v>687</v>
      </c>
      <c r="I20" s="28">
        <f t="shared" si="1"/>
        <v>0</v>
      </c>
    </row>
    <row r="21" spans="1:9" ht="12.75">
      <c r="A21" s="11" t="s">
        <v>189</v>
      </c>
      <c r="B21" s="11" t="s">
        <v>101</v>
      </c>
      <c r="C21" s="87" t="s">
        <v>496</v>
      </c>
      <c r="D21" s="28">
        <f>SUM('Výkaz výměr'!H166)</f>
        <v>0</v>
      </c>
      <c r="E21" s="28">
        <f>SUM('Výkaz výměr'!I166)</f>
        <v>0</v>
      </c>
      <c r="F21" s="28">
        <f t="shared" si="0"/>
        <v>0</v>
      </c>
      <c r="G21" s="28">
        <v>3570.4478</v>
      </c>
      <c r="H21" s="28" t="s">
        <v>687</v>
      </c>
      <c r="I21" s="28">
        <f t="shared" si="1"/>
        <v>0</v>
      </c>
    </row>
    <row r="22" spans="1:9" ht="12.75">
      <c r="A22" s="11" t="s">
        <v>189</v>
      </c>
      <c r="B22" s="11" t="s">
        <v>104</v>
      </c>
      <c r="C22" s="87" t="s">
        <v>525</v>
      </c>
      <c r="D22" s="28">
        <f>SUM('Výkaz výměr'!H197)</f>
        <v>0</v>
      </c>
      <c r="E22" s="28">
        <f>SUM('Výkaz výměr'!I197)</f>
        <v>0</v>
      </c>
      <c r="F22" s="28">
        <f t="shared" si="0"/>
        <v>0</v>
      </c>
      <c r="G22" s="28">
        <v>0</v>
      </c>
      <c r="H22" s="28" t="s">
        <v>687</v>
      </c>
      <c r="I22" s="28">
        <f t="shared" si="1"/>
        <v>0</v>
      </c>
    </row>
    <row r="23" spans="1:9" ht="12.75">
      <c r="A23" s="11" t="s">
        <v>189</v>
      </c>
      <c r="B23" s="11" t="s">
        <v>282</v>
      </c>
      <c r="C23" s="87" t="s">
        <v>526</v>
      </c>
      <c r="D23" s="28">
        <f>SUM('Výkaz výměr'!H199)</f>
        <v>0</v>
      </c>
      <c r="E23" s="28">
        <f>SUM('Výkaz výměr'!I199)</f>
        <v>0</v>
      </c>
      <c r="F23" s="28">
        <f t="shared" si="0"/>
        <v>0</v>
      </c>
      <c r="G23" s="28">
        <v>0</v>
      </c>
      <c r="H23" s="28" t="s">
        <v>687</v>
      </c>
      <c r="I23" s="28">
        <f t="shared" si="1"/>
        <v>0</v>
      </c>
    </row>
    <row r="24" spans="1:9" s="83" customFormat="1" ht="12.75">
      <c r="A24" s="84" t="s">
        <v>190</v>
      </c>
      <c r="B24" s="84"/>
      <c r="C24" s="88" t="s">
        <v>541</v>
      </c>
      <c r="D24" s="82">
        <f>SUM(D25:D28)</f>
        <v>0</v>
      </c>
      <c r="E24" s="82">
        <f>SUM(E25:E28)</f>
        <v>0</v>
      </c>
      <c r="F24" s="82">
        <f t="shared" si="0"/>
        <v>0</v>
      </c>
      <c r="G24" s="82">
        <f>SUM(G25:G28)</f>
        <v>113.35166</v>
      </c>
      <c r="H24" s="82" t="s">
        <v>619</v>
      </c>
      <c r="I24" s="82">
        <f t="shared" si="1"/>
        <v>0</v>
      </c>
    </row>
    <row r="25" spans="1:9" ht="12.75">
      <c r="A25" s="11" t="s">
        <v>190</v>
      </c>
      <c r="B25" s="11" t="s">
        <v>300</v>
      </c>
      <c r="C25" s="87" t="s">
        <v>542</v>
      </c>
      <c r="D25" s="28">
        <f>SUM('Výkaz výměr'!H236)</f>
        <v>0</v>
      </c>
      <c r="E25" s="28">
        <f>SUM('Výkaz výměr'!I236)</f>
        <v>0</v>
      </c>
      <c r="F25" s="28">
        <f t="shared" si="0"/>
        <v>0</v>
      </c>
      <c r="G25" s="28">
        <v>90.46912</v>
      </c>
      <c r="H25" s="28" t="s">
        <v>687</v>
      </c>
      <c r="I25" s="28">
        <f t="shared" si="1"/>
        <v>0</v>
      </c>
    </row>
    <row r="26" spans="1:9" ht="12.75">
      <c r="A26" s="11" t="s">
        <v>190</v>
      </c>
      <c r="B26" s="11" t="s">
        <v>302</v>
      </c>
      <c r="C26" s="87" t="s">
        <v>544</v>
      </c>
      <c r="D26" s="28">
        <f>SUM('Výkaz výměr'!H238)</f>
        <v>0</v>
      </c>
      <c r="E26" s="28">
        <f>SUM('Výkaz výměr'!I238)</f>
        <v>0</v>
      </c>
      <c r="F26" s="28">
        <f t="shared" si="0"/>
        <v>0</v>
      </c>
      <c r="G26" s="28">
        <v>13.94084</v>
      </c>
      <c r="H26" s="28" t="s">
        <v>687</v>
      </c>
      <c r="I26" s="28">
        <f t="shared" si="1"/>
        <v>0</v>
      </c>
    </row>
    <row r="27" spans="1:9" ht="12.75">
      <c r="A27" s="11" t="s">
        <v>190</v>
      </c>
      <c r="B27" s="11" t="s">
        <v>306</v>
      </c>
      <c r="C27" s="87" t="s">
        <v>548</v>
      </c>
      <c r="D27" s="28">
        <f>SUM('Výkaz výměr'!H246)</f>
        <v>0</v>
      </c>
      <c r="E27" s="28">
        <f>SUM('Výkaz výměr'!I246)</f>
        <v>0</v>
      </c>
      <c r="F27" s="28">
        <f t="shared" si="0"/>
        <v>0</v>
      </c>
      <c r="G27" s="28">
        <v>0.1051</v>
      </c>
      <c r="H27" s="28" t="s">
        <v>687</v>
      </c>
      <c r="I27" s="28">
        <f t="shared" si="1"/>
        <v>0</v>
      </c>
    </row>
    <row r="28" spans="1:9" ht="12.75">
      <c r="A28" s="11" t="s">
        <v>190</v>
      </c>
      <c r="B28" s="11" t="s">
        <v>328</v>
      </c>
      <c r="C28" s="87" t="s">
        <v>570</v>
      </c>
      <c r="D28" s="28">
        <f>SUM('Výkaz výměr'!H268)</f>
        <v>0</v>
      </c>
      <c r="E28" s="28">
        <f>SUM('Výkaz výměr'!I268)</f>
        <v>0</v>
      </c>
      <c r="F28" s="28">
        <f t="shared" si="0"/>
        <v>0</v>
      </c>
      <c r="G28" s="28">
        <v>8.8366</v>
      </c>
      <c r="H28" s="28" t="s">
        <v>687</v>
      </c>
      <c r="I28" s="28">
        <f t="shared" si="1"/>
        <v>0</v>
      </c>
    </row>
    <row r="29" spans="1:9" s="83" customFormat="1" ht="12.75">
      <c r="A29" s="84" t="s">
        <v>191</v>
      </c>
      <c r="B29" s="84"/>
      <c r="C29" s="88" t="s">
        <v>583</v>
      </c>
      <c r="D29" s="82">
        <f>SUM(D30:D34)</f>
        <v>0</v>
      </c>
      <c r="E29" s="82">
        <f>SUM(E30:E34)</f>
        <v>0</v>
      </c>
      <c r="F29" s="82">
        <f t="shared" si="0"/>
        <v>0</v>
      </c>
      <c r="G29" s="82">
        <f>SUM(G30:G34)</f>
        <v>444.1774808000001</v>
      </c>
      <c r="H29" s="82" t="s">
        <v>619</v>
      </c>
      <c r="I29" s="82">
        <f t="shared" si="1"/>
        <v>0</v>
      </c>
    </row>
    <row r="30" spans="1:9" ht="12.75">
      <c r="A30" s="11" t="s">
        <v>191</v>
      </c>
      <c r="B30" s="11" t="s">
        <v>15</v>
      </c>
      <c r="C30" s="87" t="s">
        <v>359</v>
      </c>
      <c r="D30" s="28">
        <f>SUM('Výkaz výměr'!H282)</f>
        <v>0</v>
      </c>
      <c r="E30" s="28">
        <f>SUM('Výkaz výměr'!I282)</f>
        <v>0</v>
      </c>
      <c r="F30" s="28">
        <f t="shared" si="0"/>
        <v>0</v>
      </c>
      <c r="G30" s="28">
        <f>SUM('Výkaz výměr'!L282)</f>
        <v>305.6811200000001</v>
      </c>
      <c r="H30" s="28" t="s">
        <v>687</v>
      </c>
      <c r="I30" s="28">
        <f t="shared" si="1"/>
        <v>0</v>
      </c>
    </row>
    <row r="31" spans="1:9" ht="12.75">
      <c r="A31" s="11" t="s">
        <v>191</v>
      </c>
      <c r="B31" s="11" t="s">
        <v>32</v>
      </c>
      <c r="C31" s="87" t="s">
        <v>589</v>
      </c>
      <c r="D31" s="28">
        <f>SUM('Výkaz výměr'!H299)</f>
        <v>0</v>
      </c>
      <c r="E31" s="28">
        <f>SUM('Výkaz výměr'!I299)</f>
        <v>0</v>
      </c>
      <c r="F31" s="28">
        <f t="shared" si="0"/>
        <v>0</v>
      </c>
      <c r="G31" s="28">
        <f>SUM('Výkaz výměr'!L299)</f>
        <v>30.231400799999996</v>
      </c>
      <c r="H31" s="28" t="s">
        <v>687</v>
      </c>
      <c r="I31" s="28">
        <f t="shared" si="1"/>
        <v>0</v>
      </c>
    </row>
    <row r="32" spans="1:9" ht="12.75">
      <c r="A32" s="11" t="s">
        <v>191</v>
      </c>
      <c r="B32" s="11" t="s">
        <v>55</v>
      </c>
      <c r="C32" s="87" t="s">
        <v>403</v>
      </c>
      <c r="D32" s="28">
        <f>SUM('Výkaz výměr'!H306)</f>
        <v>0</v>
      </c>
      <c r="E32" s="28">
        <f>SUM('Výkaz výměr'!I306)</f>
        <v>0</v>
      </c>
      <c r="F32" s="28">
        <f t="shared" si="0"/>
        <v>0</v>
      </c>
      <c r="G32" s="28">
        <f>SUM('Výkaz výměr'!L306)</f>
        <v>108.26496</v>
      </c>
      <c r="H32" s="28" t="s">
        <v>687</v>
      </c>
      <c r="I32" s="28">
        <f t="shared" si="1"/>
        <v>0</v>
      </c>
    </row>
    <row r="33" spans="1:9" ht="12.75">
      <c r="A33" s="11" t="s">
        <v>191</v>
      </c>
      <c r="B33" s="11" t="s">
        <v>347</v>
      </c>
      <c r="C33" s="87" t="s">
        <v>597</v>
      </c>
      <c r="D33" s="28">
        <f>SUM('Výkaz výměr'!H318)</f>
        <v>0</v>
      </c>
      <c r="E33" s="28">
        <f>SUM('Výkaz výměr'!I318)</f>
        <v>0</v>
      </c>
      <c r="F33" s="28">
        <f t="shared" si="0"/>
        <v>0</v>
      </c>
      <c r="G33" s="28">
        <v>0</v>
      </c>
      <c r="H33" s="28" t="s">
        <v>687</v>
      </c>
      <c r="I33" s="28">
        <f t="shared" si="1"/>
        <v>0</v>
      </c>
    </row>
    <row r="34" spans="1:9" ht="12.75">
      <c r="A34" s="11" t="s">
        <v>191</v>
      </c>
      <c r="B34" s="11" t="s">
        <v>104</v>
      </c>
      <c r="C34" s="87" t="s">
        <v>525</v>
      </c>
      <c r="D34" s="28">
        <f>SUM('Výkaz výměr'!H327)</f>
        <v>0</v>
      </c>
      <c r="E34" s="28">
        <f>SUM('Výkaz výměr'!I327)</f>
        <v>0</v>
      </c>
      <c r="F34" s="28">
        <f t="shared" si="0"/>
        <v>0</v>
      </c>
      <c r="G34" s="28">
        <v>0</v>
      </c>
      <c r="H34" s="28" t="s">
        <v>687</v>
      </c>
      <c r="I34" s="28">
        <f t="shared" si="1"/>
        <v>0</v>
      </c>
    </row>
    <row r="35" spans="1:9" s="83" customFormat="1" ht="12.75">
      <c r="A35" s="84" t="s">
        <v>192</v>
      </c>
      <c r="B35" s="84"/>
      <c r="C35" s="88" t="s">
        <v>605</v>
      </c>
      <c r="D35" s="82">
        <f>SUM(D36)</f>
        <v>0</v>
      </c>
      <c r="E35" s="82">
        <f>SUM(E36)</f>
        <v>0</v>
      </c>
      <c r="F35" s="82">
        <f t="shared" si="0"/>
        <v>0</v>
      </c>
      <c r="G35" s="82">
        <v>0</v>
      </c>
      <c r="H35" s="82" t="s">
        <v>619</v>
      </c>
      <c r="I35" s="82">
        <f t="shared" si="1"/>
        <v>0</v>
      </c>
    </row>
    <row r="36" spans="1:9" ht="12.75">
      <c r="A36" s="11" t="s">
        <v>192</v>
      </c>
      <c r="B36" s="11" t="s">
        <v>6</v>
      </c>
      <c r="C36" s="87" t="s">
        <v>359</v>
      </c>
      <c r="D36" s="28">
        <f>SUM('Výkaz výměr'!H330)</f>
        <v>0</v>
      </c>
      <c r="E36" s="28">
        <f>SUM('Výkaz výměr'!I330)</f>
        <v>0</v>
      </c>
      <c r="F36" s="28">
        <f t="shared" si="0"/>
        <v>0</v>
      </c>
      <c r="G36" s="28">
        <v>0</v>
      </c>
      <c r="H36" s="28" t="s">
        <v>687</v>
      </c>
      <c r="I36" s="28">
        <f t="shared" si="1"/>
        <v>0</v>
      </c>
    </row>
    <row r="37" spans="1:9" s="83" customFormat="1" ht="12.75">
      <c r="A37" s="84" t="s">
        <v>193</v>
      </c>
      <c r="B37" s="84"/>
      <c r="C37" s="88" t="s">
        <v>607</v>
      </c>
      <c r="D37" s="82">
        <f>SUM(D38)</f>
        <v>0</v>
      </c>
      <c r="E37" s="82">
        <f>SUM(E38)</f>
        <v>0</v>
      </c>
      <c r="F37" s="82">
        <f t="shared" si="0"/>
        <v>0</v>
      </c>
      <c r="G37" s="82">
        <v>0</v>
      </c>
      <c r="H37" s="82" t="s">
        <v>619</v>
      </c>
      <c r="I37" s="82">
        <f t="shared" si="1"/>
        <v>0</v>
      </c>
    </row>
    <row r="38" spans="1:9" ht="12.75">
      <c r="A38" s="11" t="s">
        <v>193</v>
      </c>
      <c r="B38" s="11" t="s">
        <v>6</v>
      </c>
      <c r="C38" s="87" t="s">
        <v>359</v>
      </c>
      <c r="D38" s="28">
        <f>SUM('Výkaz výměr'!H338)</f>
        <v>0</v>
      </c>
      <c r="E38" s="28">
        <f>SUM('Výkaz výměr'!I338)</f>
        <v>0</v>
      </c>
      <c r="F38" s="28">
        <f t="shared" si="0"/>
        <v>0</v>
      </c>
      <c r="G38" s="28">
        <v>0</v>
      </c>
      <c r="H38" s="28" t="s">
        <v>687</v>
      </c>
      <c r="I38" s="28">
        <f t="shared" si="1"/>
        <v>0</v>
      </c>
    </row>
    <row r="40" spans="5:6" ht="12.75">
      <c r="E40" s="36" t="s">
        <v>630</v>
      </c>
      <c r="F40" s="32">
        <f>SUM(I11:I38)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F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5.14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23" t="s">
        <v>774</v>
      </c>
      <c r="B1" s="124"/>
      <c r="C1" s="124"/>
      <c r="D1" s="124"/>
      <c r="E1" s="124"/>
      <c r="F1" s="124"/>
      <c r="G1" s="124"/>
      <c r="H1" s="124"/>
      <c r="I1" s="124"/>
    </row>
    <row r="2" spans="1:10" ht="12.75">
      <c r="A2" s="99" t="s">
        <v>0</v>
      </c>
      <c r="B2" s="100"/>
      <c r="C2" s="102" t="s">
        <v>354</v>
      </c>
      <c r="D2" s="121"/>
      <c r="E2" s="105" t="s">
        <v>631</v>
      </c>
      <c r="F2" s="105" t="s">
        <v>635</v>
      </c>
      <c r="G2" s="100"/>
      <c r="H2" s="105" t="s">
        <v>727</v>
      </c>
      <c r="I2" s="125"/>
      <c r="J2" s="26"/>
    </row>
    <row r="3" spans="1:10" ht="12.75">
      <c r="A3" s="101"/>
      <c r="B3" s="95"/>
      <c r="C3" s="122"/>
      <c r="D3" s="122"/>
      <c r="E3" s="95"/>
      <c r="F3" s="95"/>
      <c r="G3" s="95"/>
      <c r="H3" s="95"/>
      <c r="I3" s="96"/>
      <c r="J3" s="26"/>
    </row>
    <row r="4" spans="1:10" ht="12.75">
      <c r="A4" s="107" t="s">
        <v>1</v>
      </c>
      <c r="B4" s="95"/>
      <c r="C4" s="94"/>
      <c r="D4" s="95"/>
      <c r="E4" s="94" t="s">
        <v>632</v>
      </c>
      <c r="F4" s="94" t="s">
        <v>636</v>
      </c>
      <c r="G4" s="95"/>
      <c r="H4" s="94" t="s">
        <v>727</v>
      </c>
      <c r="I4" s="126" t="s">
        <v>731</v>
      </c>
      <c r="J4" s="26"/>
    </row>
    <row r="5" spans="1:10" ht="12.75">
      <c r="A5" s="101"/>
      <c r="B5" s="95"/>
      <c r="C5" s="95"/>
      <c r="D5" s="95"/>
      <c r="E5" s="95"/>
      <c r="F5" s="95"/>
      <c r="G5" s="95"/>
      <c r="H5" s="95"/>
      <c r="I5" s="96"/>
      <c r="J5" s="26"/>
    </row>
    <row r="6" spans="1:10" ht="12.75">
      <c r="A6" s="107" t="s">
        <v>2</v>
      </c>
      <c r="B6" s="95"/>
      <c r="C6" s="94" t="s">
        <v>355</v>
      </c>
      <c r="D6" s="95"/>
      <c r="E6" s="94" t="s">
        <v>633</v>
      </c>
      <c r="F6" s="94"/>
      <c r="G6" s="95"/>
      <c r="H6" s="94" t="s">
        <v>727</v>
      </c>
      <c r="I6" s="126"/>
      <c r="J6" s="26"/>
    </row>
    <row r="7" spans="1:10" ht="12.75">
      <c r="A7" s="101"/>
      <c r="B7" s="95"/>
      <c r="C7" s="95"/>
      <c r="D7" s="95"/>
      <c r="E7" s="95"/>
      <c r="F7" s="95"/>
      <c r="G7" s="95"/>
      <c r="H7" s="95"/>
      <c r="I7" s="96"/>
      <c r="J7" s="26"/>
    </row>
    <row r="8" spans="1:10" ht="12.75">
      <c r="A8" s="107" t="s">
        <v>609</v>
      </c>
      <c r="B8" s="95"/>
      <c r="C8" s="108" t="s">
        <v>5</v>
      </c>
      <c r="D8" s="95"/>
      <c r="E8" s="94" t="s">
        <v>610</v>
      </c>
      <c r="F8" s="95"/>
      <c r="G8" s="95"/>
      <c r="H8" s="108" t="s">
        <v>728</v>
      </c>
      <c r="I8" s="126" t="s">
        <v>185</v>
      </c>
      <c r="J8" s="26"/>
    </row>
    <row r="9" spans="1:10" ht="12.75">
      <c r="A9" s="101"/>
      <c r="B9" s="95"/>
      <c r="C9" s="95"/>
      <c r="D9" s="95"/>
      <c r="E9" s="95"/>
      <c r="F9" s="95"/>
      <c r="G9" s="95"/>
      <c r="H9" s="95"/>
      <c r="I9" s="96"/>
      <c r="J9" s="26"/>
    </row>
    <row r="10" spans="1:10" ht="12.75">
      <c r="A10" s="107" t="s">
        <v>3</v>
      </c>
      <c r="B10" s="95"/>
      <c r="C10" s="94"/>
      <c r="D10" s="95"/>
      <c r="E10" s="94" t="s">
        <v>634</v>
      </c>
      <c r="F10" s="94"/>
      <c r="G10" s="95"/>
      <c r="H10" s="108" t="s">
        <v>729</v>
      </c>
      <c r="I10" s="127" t="s">
        <v>780</v>
      </c>
      <c r="J10" s="26"/>
    </row>
    <row r="11" spans="1:10" ht="12.75">
      <c r="A11" s="131"/>
      <c r="B11" s="132"/>
      <c r="C11" s="132"/>
      <c r="D11" s="132"/>
      <c r="E11" s="132"/>
      <c r="F11" s="132"/>
      <c r="G11" s="132"/>
      <c r="H11" s="132"/>
      <c r="I11" s="128"/>
      <c r="J11" s="26"/>
    </row>
    <row r="12" spans="1:9" ht="23.25" customHeight="1">
      <c r="A12" s="133" t="s">
        <v>688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39" t="s">
        <v>689</v>
      </c>
      <c r="B13" s="135" t="s">
        <v>701</v>
      </c>
      <c r="C13" s="136"/>
      <c r="D13" s="39" t="s">
        <v>703</v>
      </c>
      <c r="E13" s="135" t="s">
        <v>712</v>
      </c>
      <c r="F13" s="136"/>
      <c r="G13" s="39" t="s">
        <v>713</v>
      </c>
      <c r="H13" s="135" t="s">
        <v>730</v>
      </c>
      <c r="I13" s="136"/>
      <c r="J13" s="26"/>
    </row>
    <row r="14" spans="1:10" ht="15" customHeight="1">
      <c r="A14" s="40" t="s">
        <v>690</v>
      </c>
      <c r="B14" s="44" t="s">
        <v>702</v>
      </c>
      <c r="C14" s="48">
        <f>SUM('Výkaz výměr'!R12:R344)</f>
        <v>0</v>
      </c>
      <c r="D14" s="129" t="s">
        <v>704</v>
      </c>
      <c r="E14" s="130"/>
      <c r="F14" s="48">
        <f>VORN!I15</f>
        <v>0</v>
      </c>
      <c r="G14" s="129" t="s">
        <v>714</v>
      </c>
      <c r="H14" s="130"/>
      <c r="I14" s="48">
        <f>VORN!I21</f>
        <v>0</v>
      </c>
      <c r="J14" s="26"/>
    </row>
    <row r="15" spans="1:10" ht="15" customHeight="1">
      <c r="A15" s="41"/>
      <c r="B15" s="44" t="s">
        <v>602</v>
      </c>
      <c r="C15" s="48">
        <f>SUM('Výkaz výměr'!S12:S344)</f>
        <v>0</v>
      </c>
      <c r="D15" s="129" t="s">
        <v>705</v>
      </c>
      <c r="E15" s="130"/>
      <c r="F15" s="48">
        <f>VORN!I16</f>
        <v>0</v>
      </c>
      <c r="G15" s="129" t="s">
        <v>715</v>
      </c>
      <c r="H15" s="130"/>
      <c r="I15" s="48">
        <f>VORN!I22</f>
        <v>0</v>
      </c>
      <c r="J15" s="26"/>
    </row>
    <row r="16" spans="1:10" ht="15" customHeight="1">
      <c r="A16" s="40" t="s">
        <v>691</v>
      </c>
      <c r="B16" s="44" t="s">
        <v>702</v>
      </c>
      <c r="C16" s="48">
        <f>SUM('Výkaz výměr'!T12:T344)</f>
        <v>0</v>
      </c>
      <c r="D16" s="129" t="s">
        <v>706</v>
      </c>
      <c r="E16" s="130"/>
      <c r="F16" s="48">
        <f>VORN!I17</f>
        <v>0</v>
      </c>
      <c r="G16" s="129" t="s">
        <v>716</v>
      </c>
      <c r="H16" s="130"/>
      <c r="I16" s="48">
        <f>VORN!I23</f>
        <v>0</v>
      </c>
      <c r="J16" s="26"/>
    </row>
    <row r="17" spans="1:10" ht="15" customHeight="1">
      <c r="A17" s="41"/>
      <c r="B17" s="44" t="s">
        <v>602</v>
      </c>
      <c r="C17" s="48">
        <f>SUM('Výkaz výměr'!U12:U344)</f>
        <v>0</v>
      </c>
      <c r="D17" s="129"/>
      <c r="E17" s="130"/>
      <c r="F17" s="49"/>
      <c r="G17" s="129" t="s">
        <v>717</v>
      </c>
      <c r="H17" s="130"/>
      <c r="I17" s="48">
        <f>VORN!I24</f>
        <v>0</v>
      </c>
      <c r="J17" s="26"/>
    </row>
    <row r="18" spans="1:10" ht="15" customHeight="1">
      <c r="A18" s="40" t="s">
        <v>692</v>
      </c>
      <c r="B18" s="44" t="s">
        <v>702</v>
      </c>
      <c r="C18" s="48">
        <f>SUM('Výkaz výměr'!V12:V344)</f>
        <v>0</v>
      </c>
      <c r="D18" s="129"/>
      <c r="E18" s="130"/>
      <c r="F18" s="49"/>
      <c r="G18" s="129" t="s">
        <v>718</v>
      </c>
      <c r="H18" s="130"/>
      <c r="I18" s="48">
        <f>VORN!I25</f>
        <v>0</v>
      </c>
      <c r="J18" s="26"/>
    </row>
    <row r="19" spans="1:10" ht="15" customHeight="1">
      <c r="A19" s="41"/>
      <c r="B19" s="44" t="s">
        <v>602</v>
      </c>
      <c r="C19" s="48">
        <f>SUM('Výkaz výměr'!W12:W344)</f>
        <v>0</v>
      </c>
      <c r="D19" s="129"/>
      <c r="E19" s="130"/>
      <c r="F19" s="49"/>
      <c r="G19" s="129" t="s">
        <v>719</v>
      </c>
      <c r="H19" s="130"/>
      <c r="I19" s="48">
        <f>VORN!I26</f>
        <v>0</v>
      </c>
      <c r="J19" s="26"/>
    </row>
    <row r="20" spans="1:10" ht="15" customHeight="1">
      <c r="A20" s="137" t="s">
        <v>693</v>
      </c>
      <c r="B20" s="138"/>
      <c r="C20" s="48">
        <f>SUM('Výkaz výměr'!X12:X344)</f>
        <v>0</v>
      </c>
      <c r="D20" s="129"/>
      <c r="E20" s="130"/>
      <c r="F20" s="49"/>
      <c r="G20" s="129"/>
      <c r="H20" s="130"/>
      <c r="I20" s="49"/>
      <c r="J20" s="26"/>
    </row>
    <row r="21" spans="1:10" ht="15" customHeight="1">
      <c r="A21" s="137" t="s">
        <v>694</v>
      </c>
      <c r="B21" s="138"/>
      <c r="C21" s="48">
        <f>SUM('Výkaz výměr'!P12:P344)</f>
        <v>0</v>
      </c>
      <c r="D21" s="129"/>
      <c r="E21" s="130"/>
      <c r="F21" s="49"/>
      <c r="G21" s="129"/>
      <c r="H21" s="130"/>
      <c r="I21" s="49"/>
      <c r="J21" s="26"/>
    </row>
    <row r="22" spans="1:10" ht="16.5" customHeight="1">
      <c r="A22" s="137" t="s">
        <v>695</v>
      </c>
      <c r="B22" s="138"/>
      <c r="C22" s="48">
        <f>SUM(C14:C21)</f>
        <v>0</v>
      </c>
      <c r="D22" s="137" t="s">
        <v>707</v>
      </c>
      <c r="E22" s="138"/>
      <c r="F22" s="48">
        <f>SUM(F14:F21)</f>
        <v>0</v>
      </c>
      <c r="G22" s="137" t="s">
        <v>720</v>
      </c>
      <c r="H22" s="138"/>
      <c r="I22" s="48">
        <f>SUM(I14:I21)</f>
        <v>0</v>
      </c>
      <c r="J22" s="26"/>
    </row>
    <row r="23" spans="1:10" ht="15" customHeight="1">
      <c r="A23" s="6"/>
      <c r="B23" s="6"/>
      <c r="C23" s="46"/>
      <c r="D23" s="137" t="s">
        <v>708</v>
      </c>
      <c r="E23" s="138"/>
      <c r="F23" s="50">
        <v>0</v>
      </c>
      <c r="G23" s="137" t="s">
        <v>721</v>
      </c>
      <c r="H23" s="138"/>
      <c r="I23" s="48">
        <v>0</v>
      </c>
      <c r="J23" s="26"/>
    </row>
    <row r="24" spans="4:10" ht="15" customHeight="1">
      <c r="D24" s="6"/>
      <c r="E24" s="6"/>
      <c r="F24" s="51"/>
      <c r="G24" s="137" t="s">
        <v>722</v>
      </c>
      <c r="H24" s="138"/>
      <c r="I24" s="48">
        <f>vorn_sum</f>
        <v>0</v>
      </c>
      <c r="J24" s="26"/>
    </row>
    <row r="25" spans="6:10" ht="15" customHeight="1">
      <c r="F25" s="52"/>
      <c r="G25" s="137" t="s">
        <v>723</v>
      </c>
      <c r="H25" s="138"/>
      <c r="I25" s="48">
        <v>0</v>
      </c>
      <c r="J25" s="26"/>
    </row>
    <row r="26" spans="1:9" ht="12.75">
      <c r="A26" s="37"/>
      <c r="B26" s="37"/>
      <c r="C26" s="37"/>
      <c r="G26" s="6"/>
      <c r="H26" s="6"/>
      <c r="I26" s="6"/>
    </row>
    <row r="27" spans="1:9" ht="15" customHeight="1">
      <c r="A27" s="139" t="s">
        <v>696</v>
      </c>
      <c r="B27" s="140"/>
      <c r="C27" s="53">
        <f>SUM('Výkaz výměr'!Z12:Z344)</f>
        <v>0</v>
      </c>
      <c r="D27" s="47"/>
      <c r="E27" s="37"/>
      <c r="F27" s="37"/>
      <c r="G27" s="37"/>
      <c r="H27" s="37"/>
      <c r="I27" s="37"/>
    </row>
    <row r="28" spans="1:10" ht="15" customHeight="1">
      <c r="A28" s="139" t="s">
        <v>697</v>
      </c>
      <c r="B28" s="140"/>
      <c r="C28" s="53">
        <f>SUM('Výkaz výměr'!AA12:AA344)</f>
        <v>0</v>
      </c>
      <c r="D28" s="139" t="s">
        <v>709</v>
      </c>
      <c r="E28" s="140"/>
      <c r="F28" s="53">
        <f>ROUND(C28*(15/100),2)</f>
        <v>0</v>
      </c>
      <c r="G28" s="139" t="s">
        <v>724</v>
      </c>
      <c r="H28" s="140"/>
      <c r="I28" s="53">
        <f>SUM(C27:C29)</f>
        <v>0</v>
      </c>
      <c r="J28" s="26"/>
    </row>
    <row r="29" spans="1:10" ht="15" customHeight="1">
      <c r="A29" s="139" t="s">
        <v>698</v>
      </c>
      <c r="B29" s="140"/>
      <c r="C29" s="53">
        <f>SUM('Výkaz výměr'!AB12:AB344)+(F22+I22+F23+I23+I24+I25)</f>
        <v>0</v>
      </c>
      <c r="D29" s="139" t="s">
        <v>710</v>
      </c>
      <c r="E29" s="140"/>
      <c r="F29" s="53">
        <f>ROUND(C29*(21/100),2)</f>
        <v>0</v>
      </c>
      <c r="G29" s="139" t="s">
        <v>725</v>
      </c>
      <c r="H29" s="140"/>
      <c r="I29" s="53">
        <f>SUM(F28:F29)+I28</f>
        <v>0</v>
      </c>
      <c r="J29" s="26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141" t="s">
        <v>699</v>
      </c>
      <c r="B31" s="142"/>
      <c r="C31" s="143"/>
      <c r="D31" s="141" t="s">
        <v>711</v>
      </c>
      <c r="E31" s="142"/>
      <c r="F31" s="143"/>
      <c r="G31" s="141" t="s">
        <v>726</v>
      </c>
      <c r="H31" s="142"/>
      <c r="I31" s="143"/>
      <c r="J31" s="27"/>
    </row>
    <row r="32" spans="1:10" ht="14.25" customHeight="1">
      <c r="A32" s="144"/>
      <c r="B32" s="145"/>
      <c r="C32" s="146"/>
      <c r="D32" s="144"/>
      <c r="E32" s="145"/>
      <c r="F32" s="146"/>
      <c r="G32" s="144"/>
      <c r="H32" s="145"/>
      <c r="I32" s="146"/>
      <c r="J32" s="27"/>
    </row>
    <row r="33" spans="1:10" ht="14.25" customHeight="1">
      <c r="A33" s="144"/>
      <c r="B33" s="145"/>
      <c r="C33" s="146"/>
      <c r="D33" s="144"/>
      <c r="E33" s="145"/>
      <c r="F33" s="146"/>
      <c r="G33" s="144"/>
      <c r="H33" s="145"/>
      <c r="I33" s="146"/>
      <c r="J33" s="27"/>
    </row>
    <row r="34" spans="1:10" ht="14.25" customHeight="1">
      <c r="A34" s="144"/>
      <c r="B34" s="145"/>
      <c r="C34" s="146"/>
      <c r="D34" s="144"/>
      <c r="E34" s="145"/>
      <c r="F34" s="146"/>
      <c r="G34" s="144"/>
      <c r="H34" s="145"/>
      <c r="I34" s="146"/>
      <c r="J34" s="27"/>
    </row>
    <row r="35" spans="1:10" ht="14.25" customHeight="1">
      <c r="A35" s="147" t="s">
        <v>700</v>
      </c>
      <c r="B35" s="148"/>
      <c r="C35" s="149"/>
      <c r="D35" s="147" t="s">
        <v>700</v>
      </c>
      <c r="E35" s="148"/>
      <c r="F35" s="149"/>
      <c r="G35" s="147" t="s">
        <v>700</v>
      </c>
      <c r="H35" s="148"/>
      <c r="I35" s="149"/>
      <c r="J35" s="27"/>
    </row>
    <row r="36" spans="1:9" ht="11.25" customHeight="1">
      <c r="A36" s="43" t="s">
        <v>186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94"/>
      <c r="B37" s="95"/>
      <c r="C37" s="95"/>
      <c r="D37" s="95"/>
      <c r="E37" s="95"/>
      <c r="F37" s="95"/>
      <c r="G37" s="95"/>
      <c r="H37" s="95"/>
      <c r="I37" s="9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6.281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8.5" customHeight="1">
      <c r="A1" s="123" t="s">
        <v>732</v>
      </c>
      <c r="B1" s="124"/>
      <c r="C1" s="124"/>
      <c r="D1" s="124"/>
      <c r="E1" s="124"/>
      <c r="F1" s="124"/>
      <c r="G1" s="124"/>
      <c r="H1" s="124"/>
      <c r="I1" s="124"/>
    </row>
    <row r="2" spans="1:10" ht="12.75">
      <c r="A2" s="99" t="s">
        <v>0</v>
      </c>
      <c r="B2" s="100"/>
      <c r="C2" s="102" t="s">
        <v>354</v>
      </c>
      <c r="D2" s="121"/>
      <c r="E2" s="105" t="s">
        <v>631</v>
      </c>
      <c r="F2" s="105" t="s">
        <v>635</v>
      </c>
      <c r="G2" s="100"/>
      <c r="H2" s="105" t="s">
        <v>727</v>
      </c>
      <c r="I2" s="125"/>
      <c r="J2" s="26"/>
    </row>
    <row r="3" spans="1:10" ht="12.75">
      <c r="A3" s="101"/>
      <c r="B3" s="95"/>
      <c r="C3" s="122"/>
      <c r="D3" s="122"/>
      <c r="E3" s="95"/>
      <c r="F3" s="95"/>
      <c r="G3" s="95"/>
      <c r="H3" s="95"/>
      <c r="I3" s="96"/>
      <c r="J3" s="26"/>
    </row>
    <row r="4" spans="1:10" ht="12.75">
      <c r="A4" s="107" t="s">
        <v>1</v>
      </c>
      <c r="B4" s="95"/>
      <c r="C4" s="94"/>
      <c r="D4" s="95"/>
      <c r="E4" s="94" t="s">
        <v>632</v>
      </c>
      <c r="F4" s="94" t="s">
        <v>636</v>
      </c>
      <c r="G4" s="95"/>
      <c r="H4" s="94" t="s">
        <v>727</v>
      </c>
      <c r="I4" s="126" t="s">
        <v>731</v>
      </c>
      <c r="J4" s="26"/>
    </row>
    <row r="5" spans="1:10" ht="12.75">
      <c r="A5" s="101"/>
      <c r="B5" s="95"/>
      <c r="C5" s="95"/>
      <c r="D5" s="95"/>
      <c r="E5" s="95"/>
      <c r="F5" s="95"/>
      <c r="G5" s="95"/>
      <c r="H5" s="95"/>
      <c r="I5" s="96"/>
      <c r="J5" s="26"/>
    </row>
    <row r="6" spans="1:10" ht="12.75">
      <c r="A6" s="107" t="s">
        <v>2</v>
      </c>
      <c r="B6" s="95"/>
      <c r="C6" s="94" t="s">
        <v>355</v>
      </c>
      <c r="D6" s="95"/>
      <c r="E6" s="94" t="s">
        <v>633</v>
      </c>
      <c r="F6" s="94"/>
      <c r="G6" s="95"/>
      <c r="H6" s="94" t="s">
        <v>727</v>
      </c>
      <c r="I6" s="126"/>
      <c r="J6" s="26"/>
    </row>
    <row r="7" spans="1:10" ht="12.75">
      <c r="A7" s="101"/>
      <c r="B7" s="95"/>
      <c r="C7" s="95"/>
      <c r="D7" s="95"/>
      <c r="E7" s="95"/>
      <c r="F7" s="95"/>
      <c r="G7" s="95"/>
      <c r="H7" s="95"/>
      <c r="I7" s="96"/>
      <c r="J7" s="26"/>
    </row>
    <row r="8" spans="1:10" ht="12.75">
      <c r="A8" s="107" t="s">
        <v>609</v>
      </c>
      <c r="B8" s="95"/>
      <c r="C8" s="108" t="s">
        <v>5</v>
      </c>
      <c r="D8" s="95"/>
      <c r="E8" s="94" t="s">
        <v>610</v>
      </c>
      <c r="F8" s="95"/>
      <c r="G8" s="95"/>
      <c r="H8" s="108" t="s">
        <v>728</v>
      </c>
      <c r="I8" s="126" t="s">
        <v>185</v>
      </c>
      <c r="J8" s="26"/>
    </row>
    <row r="9" spans="1:10" ht="12.75">
      <c r="A9" s="101"/>
      <c r="B9" s="95"/>
      <c r="C9" s="95"/>
      <c r="D9" s="95"/>
      <c r="E9" s="95"/>
      <c r="F9" s="95"/>
      <c r="G9" s="95"/>
      <c r="H9" s="95"/>
      <c r="I9" s="96"/>
      <c r="J9" s="26"/>
    </row>
    <row r="10" spans="1:10" ht="12.75">
      <c r="A10" s="107" t="s">
        <v>3</v>
      </c>
      <c r="B10" s="95"/>
      <c r="C10" s="94"/>
      <c r="D10" s="95"/>
      <c r="E10" s="94" t="s">
        <v>634</v>
      </c>
      <c r="F10" s="94"/>
      <c r="G10" s="95"/>
      <c r="H10" s="108" t="s">
        <v>729</v>
      </c>
      <c r="I10" s="127">
        <v>41870</v>
      </c>
      <c r="J10" s="26"/>
    </row>
    <row r="11" spans="1:10" ht="12.75">
      <c r="A11" s="131"/>
      <c r="B11" s="132"/>
      <c r="C11" s="132"/>
      <c r="D11" s="132"/>
      <c r="E11" s="132"/>
      <c r="F11" s="132"/>
      <c r="G11" s="132"/>
      <c r="H11" s="132"/>
      <c r="I11" s="128"/>
      <c r="J11" s="2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5" customHeight="1">
      <c r="A13" s="156" t="s">
        <v>733</v>
      </c>
      <c r="B13" s="157"/>
      <c r="C13" s="157"/>
      <c r="D13" s="157"/>
      <c r="E13" s="157"/>
      <c r="F13" s="55"/>
      <c r="G13" s="55"/>
      <c r="H13" s="55"/>
      <c r="I13" s="55"/>
    </row>
    <row r="14" spans="1:10" ht="12.75">
      <c r="A14" s="158" t="s">
        <v>734</v>
      </c>
      <c r="B14" s="159"/>
      <c r="C14" s="159"/>
      <c r="D14" s="159"/>
      <c r="E14" s="160"/>
      <c r="F14" s="56" t="s">
        <v>741</v>
      </c>
      <c r="G14" s="56" t="s">
        <v>742</v>
      </c>
      <c r="H14" s="56" t="s">
        <v>743</v>
      </c>
      <c r="I14" s="56" t="s">
        <v>741</v>
      </c>
      <c r="J14" s="27"/>
    </row>
    <row r="15" spans="1:10" ht="12.75">
      <c r="A15" s="161" t="s">
        <v>704</v>
      </c>
      <c r="B15" s="162"/>
      <c r="C15" s="162"/>
      <c r="D15" s="162"/>
      <c r="E15" s="163"/>
      <c r="F15" s="57">
        <v>0</v>
      </c>
      <c r="G15" s="60"/>
      <c r="H15" s="60"/>
      <c r="I15" s="57">
        <f>F15</f>
        <v>0</v>
      </c>
      <c r="J15" s="26"/>
    </row>
    <row r="16" spans="1:10" ht="12.75">
      <c r="A16" s="161" t="s">
        <v>705</v>
      </c>
      <c r="B16" s="162"/>
      <c r="C16" s="162"/>
      <c r="D16" s="162"/>
      <c r="E16" s="163"/>
      <c r="F16" s="57">
        <v>0</v>
      </c>
      <c r="G16" s="60"/>
      <c r="H16" s="60"/>
      <c r="I16" s="57">
        <f>F16</f>
        <v>0</v>
      </c>
      <c r="J16" s="26"/>
    </row>
    <row r="17" spans="1:10" ht="12.75">
      <c r="A17" s="150" t="s">
        <v>706</v>
      </c>
      <c r="B17" s="151"/>
      <c r="C17" s="151"/>
      <c r="D17" s="151"/>
      <c r="E17" s="152"/>
      <c r="F17" s="58">
        <v>0</v>
      </c>
      <c r="G17" s="61"/>
      <c r="H17" s="61"/>
      <c r="I17" s="58">
        <f>F17</f>
        <v>0</v>
      </c>
      <c r="J17" s="26"/>
    </row>
    <row r="18" spans="1:10" ht="12.75">
      <c r="A18" s="153" t="s">
        <v>735</v>
      </c>
      <c r="B18" s="154"/>
      <c r="C18" s="154"/>
      <c r="D18" s="154"/>
      <c r="E18" s="155"/>
      <c r="F18" s="59"/>
      <c r="G18" s="62"/>
      <c r="H18" s="62"/>
      <c r="I18" s="63">
        <f>SUM(I15:I17)</f>
        <v>0</v>
      </c>
      <c r="J18" s="27"/>
    </row>
    <row r="19" spans="1:9" ht="12.75">
      <c r="A19" s="54"/>
      <c r="B19" s="54"/>
      <c r="C19" s="54"/>
      <c r="D19" s="54"/>
      <c r="E19" s="54"/>
      <c r="F19" s="54"/>
      <c r="G19" s="54"/>
      <c r="H19" s="54"/>
      <c r="I19" s="54"/>
    </row>
    <row r="20" spans="1:10" ht="12.75">
      <c r="A20" s="158" t="s">
        <v>730</v>
      </c>
      <c r="B20" s="159"/>
      <c r="C20" s="159"/>
      <c r="D20" s="159"/>
      <c r="E20" s="160"/>
      <c r="F20" s="56" t="s">
        <v>741</v>
      </c>
      <c r="G20" s="56" t="s">
        <v>742</v>
      </c>
      <c r="H20" s="56" t="s">
        <v>743</v>
      </c>
      <c r="I20" s="56" t="s">
        <v>741</v>
      </c>
      <c r="J20" s="27"/>
    </row>
    <row r="21" spans="1:10" ht="12.75">
      <c r="A21" s="161" t="s">
        <v>714</v>
      </c>
      <c r="B21" s="162"/>
      <c r="C21" s="162"/>
      <c r="D21" s="162"/>
      <c r="E21" s="163"/>
      <c r="F21" s="60"/>
      <c r="G21" s="57">
        <v>0</v>
      </c>
      <c r="H21" s="57">
        <f>'Krycí list výkazu výměr'!C22</f>
        <v>0</v>
      </c>
      <c r="I21" s="57">
        <f>(G21/100)*H21</f>
        <v>0</v>
      </c>
      <c r="J21" s="26"/>
    </row>
    <row r="22" spans="1:10" ht="12.75">
      <c r="A22" s="161" t="s">
        <v>715</v>
      </c>
      <c r="B22" s="162"/>
      <c r="C22" s="162"/>
      <c r="D22" s="162"/>
      <c r="E22" s="163"/>
      <c r="F22" s="57">
        <v>0</v>
      </c>
      <c r="G22" s="60"/>
      <c r="H22" s="60"/>
      <c r="I22" s="57">
        <f>F22</f>
        <v>0</v>
      </c>
      <c r="J22" s="26"/>
    </row>
    <row r="23" spans="1:10" ht="12.75">
      <c r="A23" s="161" t="s">
        <v>716</v>
      </c>
      <c r="B23" s="162"/>
      <c r="C23" s="162"/>
      <c r="D23" s="162"/>
      <c r="E23" s="163"/>
      <c r="F23" s="57">
        <v>0</v>
      </c>
      <c r="G23" s="60"/>
      <c r="H23" s="60"/>
      <c r="I23" s="57">
        <f>F23</f>
        <v>0</v>
      </c>
      <c r="J23" s="26"/>
    </row>
    <row r="24" spans="1:10" ht="12.75">
      <c r="A24" s="161" t="s">
        <v>717</v>
      </c>
      <c r="B24" s="162"/>
      <c r="C24" s="162"/>
      <c r="D24" s="162"/>
      <c r="E24" s="163"/>
      <c r="F24" s="57">
        <v>0</v>
      </c>
      <c r="G24" s="60"/>
      <c r="H24" s="60"/>
      <c r="I24" s="57">
        <f>F24</f>
        <v>0</v>
      </c>
      <c r="J24" s="26"/>
    </row>
    <row r="25" spans="1:10" ht="12.75">
      <c r="A25" s="161" t="s">
        <v>718</v>
      </c>
      <c r="B25" s="162"/>
      <c r="C25" s="162"/>
      <c r="D25" s="162"/>
      <c r="E25" s="163"/>
      <c r="F25" s="57">
        <v>0</v>
      </c>
      <c r="G25" s="60"/>
      <c r="H25" s="60"/>
      <c r="I25" s="57">
        <f>F25</f>
        <v>0</v>
      </c>
      <c r="J25" s="26"/>
    </row>
    <row r="26" spans="1:10" ht="12.75">
      <c r="A26" s="150" t="s">
        <v>719</v>
      </c>
      <c r="B26" s="151"/>
      <c r="C26" s="151"/>
      <c r="D26" s="151"/>
      <c r="E26" s="152"/>
      <c r="F26" s="58">
        <v>0</v>
      </c>
      <c r="G26" s="61"/>
      <c r="H26" s="61"/>
      <c r="I26" s="58">
        <f>F26</f>
        <v>0</v>
      </c>
      <c r="J26" s="26"/>
    </row>
    <row r="27" spans="1:10" ht="12.75">
      <c r="A27" s="153" t="s">
        <v>736</v>
      </c>
      <c r="B27" s="154"/>
      <c r="C27" s="154"/>
      <c r="D27" s="154"/>
      <c r="E27" s="155"/>
      <c r="F27" s="59"/>
      <c r="G27" s="62"/>
      <c r="H27" s="62"/>
      <c r="I27" s="63">
        <f>SUM(I21:I26)</f>
        <v>0</v>
      </c>
      <c r="J27" s="27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" customHeight="1">
      <c r="A29" s="167" t="s">
        <v>737</v>
      </c>
      <c r="B29" s="168"/>
      <c r="C29" s="168"/>
      <c r="D29" s="168"/>
      <c r="E29" s="169"/>
      <c r="F29" s="164">
        <f>I18+I27</f>
        <v>0</v>
      </c>
      <c r="G29" s="165"/>
      <c r="H29" s="165"/>
      <c r="I29" s="166"/>
      <c r="J29" s="27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3" spans="1:9" ht="15" customHeight="1">
      <c r="A33" s="156" t="s">
        <v>738</v>
      </c>
      <c r="B33" s="157"/>
      <c r="C33" s="157"/>
      <c r="D33" s="157"/>
      <c r="E33" s="157"/>
      <c r="F33" s="55"/>
      <c r="G33" s="55"/>
      <c r="H33" s="55"/>
      <c r="I33" s="55"/>
    </row>
    <row r="34" spans="1:10" ht="12.75">
      <c r="A34" s="158" t="s">
        <v>739</v>
      </c>
      <c r="B34" s="159"/>
      <c r="C34" s="159"/>
      <c r="D34" s="159"/>
      <c r="E34" s="160"/>
      <c r="F34" s="56" t="s">
        <v>741</v>
      </c>
      <c r="G34" s="56" t="s">
        <v>742</v>
      </c>
      <c r="H34" s="56" t="s">
        <v>743</v>
      </c>
      <c r="I34" s="56" t="s">
        <v>741</v>
      </c>
      <c r="J34" s="27"/>
    </row>
    <row r="35" spans="1:10" ht="12.75">
      <c r="A35" s="150"/>
      <c r="B35" s="151"/>
      <c r="C35" s="151"/>
      <c r="D35" s="151"/>
      <c r="E35" s="152"/>
      <c r="F35" s="58">
        <v>0</v>
      </c>
      <c r="G35" s="61"/>
      <c r="H35" s="61"/>
      <c r="I35" s="58">
        <f>F35</f>
        <v>0</v>
      </c>
      <c r="J35" s="26"/>
    </row>
    <row r="36" spans="1:10" ht="12.75">
      <c r="A36" s="153" t="s">
        <v>740</v>
      </c>
      <c r="B36" s="154"/>
      <c r="C36" s="154"/>
      <c r="D36" s="154"/>
      <c r="E36" s="155"/>
      <c r="F36" s="59"/>
      <c r="G36" s="62"/>
      <c r="H36" s="62"/>
      <c r="I36" s="63">
        <f>SUM(I35:I35)</f>
        <v>0</v>
      </c>
      <c r="J36" s="27"/>
    </row>
    <row r="37" spans="1:9" ht="12.75">
      <c r="A37" s="45"/>
      <c r="B37" s="45"/>
      <c r="C37" s="45"/>
      <c r="D37" s="45"/>
      <c r="E37" s="45"/>
      <c r="F37" s="45"/>
      <c r="G37" s="45"/>
      <c r="H37" s="45"/>
      <c r="I37" s="45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7:E17"/>
    <mergeCell ref="A18:E18"/>
    <mergeCell ref="A10:B11"/>
    <mergeCell ref="C10:D11"/>
    <mergeCell ref="E10:E11"/>
    <mergeCell ref="A13:E13"/>
    <mergeCell ref="A14:E14"/>
    <mergeCell ref="A15:E15"/>
    <mergeCell ref="A16:E16"/>
    <mergeCell ref="I10:I11"/>
    <mergeCell ref="A8:B9"/>
    <mergeCell ref="C8:D9"/>
    <mergeCell ref="E8:E9"/>
    <mergeCell ref="F8:G9"/>
    <mergeCell ref="H8:H9"/>
    <mergeCell ref="I8:I9"/>
    <mergeCell ref="E6:E7"/>
    <mergeCell ref="F6:G7"/>
    <mergeCell ref="F10:G11"/>
    <mergeCell ref="H10:H11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Strakova Lenka</dc:creator>
  <cp:keywords/>
  <dc:description/>
  <cp:lastModifiedBy>bittnerova</cp:lastModifiedBy>
  <cp:lastPrinted>2014-08-19T09:23:53Z</cp:lastPrinted>
  <dcterms:created xsi:type="dcterms:W3CDTF">2014-08-06T13:27:06Z</dcterms:created>
  <dcterms:modified xsi:type="dcterms:W3CDTF">2014-08-19T12:08:03Z</dcterms:modified>
  <cp:category/>
  <cp:version/>
  <cp:contentType/>
  <cp:contentStatus/>
</cp:coreProperties>
</file>