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Rekapitulace SO-01" sheetId="1" r:id="rId1"/>
    <sheet name="Stavební rozpočet SO-01" sheetId="2" r:id="rId2"/>
  </sheets>
  <definedNames/>
  <calcPr fullCalcOnLoad="1"/>
</workbook>
</file>

<file path=xl/sharedStrings.xml><?xml version="1.0" encoding="utf-8"?>
<sst xmlns="http://schemas.openxmlformats.org/spreadsheetml/2006/main" count="5730" uniqueCount="2098">
  <si>
    <t>Název stavby:</t>
  </si>
  <si>
    <t>Druh stavby:</t>
  </si>
  <si>
    <t>Lokalita:</t>
  </si>
  <si>
    <t>JKSO:</t>
  </si>
  <si>
    <t xml:space="preserve"> </t>
  </si>
  <si>
    <t>Poznámka:</t>
  </si>
  <si>
    <t>Kód</t>
  </si>
  <si>
    <t>0</t>
  </si>
  <si>
    <t>13</t>
  </si>
  <si>
    <t>16</t>
  </si>
  <si>
    <t>17</t>
  </si>
  <si>
    <t>21</t>
  </si>
  <si>
    <t>22</t>
  </si>
  <si>
    <t>27</t>
  </si>
  <si>
    <t>28</t>
  </si>
  <si>
    <t>31</t>
  </si>
  <si>
    <t>34</t>
  </si>
  <si>
    <t>38</t>
  </si>
  <si>
    <t>41</t>
  </si>
  <si>
    <t>43</t>
  </si>
  <si>
    <t>61</t>
  </si>
  <si>
    <t>62</t>
  </si>
  <si>
    <t>63</t>
  </si>
  <si>
    <t>64</t>
  </si>
  <si>
    <t>711</t>
  </si>
  <si>
    <t>713</t>
  </si>
  <si>
    <t>762</t>
  </si>
  <si>
    <t>764</t>
  </si>
  <si>
    <t>765</t>
  </si>
  <si>
    <t>766</t>
  </si>
  <si>
    <t>766VD</t>
  </si>
  <si>
    <t>767</t>
  </si>
  <si>
    <t>771</t>
  </si>
  <si>
    <t>773</t>
  </si>
  <si>
    <t>775</t>
  </si>
  <si>
    <t>776</t>
  </si>
  <si>
    <t>781</t>
  </si>
  <si>
    <t>782</t>
  </si>
  <si>
    <t>783</t>
  </si>
  <si>
    <t>784</t>
  </si>
  <si>
    <t>787</t>
  </si>
  <si>
    <t>796VD</t>
  </si>
  <si>
    <t>90</t>
  </si>
  <si>
    <t>94</t>
  </si>
  <si>
    <t>95</t>
  </si>
  <si>
    <t>96</t>
  </si>
  <si>
    <t>97</t>
  </si>
  <si>
    <t>H01</t>
  </si>
  <si>
    <t>M</t>
  </si>
  <si>
    <t>M33</t>
  </si>
  <si>
    <t>M43</t>
  </si>
  <si>
    <t>M46</t>
  </si>
  <si>
    <t>S</t>
  </si>
  <si>
    <t>Zkrácený popis</t>
  </si>
  <si>
    <t>Všeobecné konstrukce a práce</t>
  </si>
  <si>
    <t>Hloubené vykopávky</t>
  </si>
  <si>
    <t>Přemístění výkopku</t>
  </si>
  <si>
    <t>Konstrukce ze zemin</t>
  </si>
  <si>
    <t>Úprava podloží a základové spáry</t>
  </si>
  <si>
    <t>Piloty</t>
  </si>
  <si>
    <t>Základy</t>
  </si>
  <si>
    <t>Zpevňování hornin a konstrukcí</t>
  </si>
  <si>
    <t>Zdi podpěrné a volné</t>
  </si>
  <si>
    <t>Stěny a příčky</t>
  </si>
  <si>
    <t>Různé kompletní konstrukce nedělitelné do stav. dílů</t>
  </si>
  <si>
    <t>Stropy a stropní konstrukce (pro pozemní stavby)</t>
  </si>
  <si>
    <t>Schodiště</t>
  </si>
  <si>
    <t>Úprava povrchů vnitřní</t>
  </si>
  <si>
    <t>Úprava povrchů vnější</t>
  </si>
  <si>
    <t>Podlahy a podlahové konstrukce</t>
  </si>
  <si>
    <t>Výplně otvorů</t>
  </si>
  <si>
    <t>Izolace proti vodě a vlhkosti</t>
  </si>
  <si>
    <t>Izolace tepelné</t>
  </si>
  <si>
    <t>Konstrukce tesařské</t>
  </si>
  <si>
    <t>Konstrukce klempířské</t>
  </si>
  <si>
    <t>Krytina tvrdá</t>
  </si>
  <si>
    <t>Konstrukce truhlářské</t>
  </si>
  <si>
    <t>Konstrukce doplňkové stavební (zámečnické)</t>
  </si>
  <si>
    <t>Podlahy z dlaždic</t>
  </si>
  <si>
    <t>Podlahy z litého teraca</t>
  </si>
  <si>
    <t>Podlahy vlysové a parketové</t>
  </si>
  <si>
    <t>Podlahy povlakové</t>
  </si>
  <si>
    <t>Obklady (keramické)</t>
  </si>
  <si>
    <t>Obklady z přírodního a konglomerovaného kamene</t>
  </si>
  <si>
    <t>Nátěry</t>
  </si>
  <si>
    <t>Malby</t>
  </si>
  <si>
    <t>Zasklívání</t>
  </si>
  <si>
    <t>Protipožární a bezpečnostní zařízení</t>
  </si>
  <si>
    <t>Hodinové zúčtovací sazby (HZS)</t>
  </si>
  <si>
    <t>Lešení a stavební výtahy</t>
  </si>
  <si>
    <t>Různé dokončovací konstrukce a práce pozemních staveb</t>
  </si>
  <si>
    <t>Bourání konstrukcí</t>
  </si>
  <si>
    <t>Prorážení otvorů a ostatní bourací práce</t>
  </si>
  <si>
    <t>Budovy občanské výstavby</t>
  </si>
  <si>
    <t>Zednické výpomoci</t>
  </si>
  <si>
    <t>Montáže dopravních zařízení a vah</t>
  </si>
  <si>
    <t>Montáže ocelových konstrukcí</t>
  </si>
  <si>
    <t>Zemní práce při montážích</t>
  </si>
  <si>
    <t>Přesuny sutí</t>
  </si>
  <si>
    <t>SO-01 Stavební úpravy budovy 28.října 1 pro městskou knihovnu</t>
  </si>
  <si>
    <t>Stavební úpravy se změnou v užívání</t>
  </si>
  <si>
    <t>Šumperk</t>
  </si>
  <si>
    <t>Doba výstavby:</t>
  </si>
  <si>
    <t>Začátek výstavby:</t>
  </si>
  <si>
    <t>Konec výstavby:</t>
  </si>
  <si>
    <t>Zpracováno dne: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</si>
  <si>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</si>
  <si>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</si>
  <si>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</si>
  <si>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</si>
  <si>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</si>
  <si>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</si>
  <si>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</si>
  <si>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Město Šumperk</t>
  </si>
  <si>
    <t>Ladislav Trčka - PROINK</t>
  </si>
  <si>
    <t>Dle výběrového řízení</t>
  </si>
  <si>
    <t>Montáž</t>
  </si>
  <si>
    <t>Celkem</t>
  </si>
  <si>
    <t>Hmotnost (t)</t>
  </si>
  <si>
    <t>F</t>
  </si>
  <si>
    <t>Slepý stavební rozpočet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</si>
  <si>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</si>
  <si>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</si>
  <si>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</si>
  <si>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</si>
  <si>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</si>
  <si>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</si>
  <si>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</si>
  <si>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</si>
  <si>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</si>
  <si>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</si>
  <si>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</si>
  <si>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</si>
  <si>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</si>
  <si>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</si>
  <si>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</si>
  <si>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18</t>
  </si>
  <si>
    <t>19</t>
  </si>
  <si>
    <t>20</t>
  </si>
  <si>
    <t>23</t>
  </si>
  <si>
    <t>24</t>
  </si>
  <si>
    <t>25</t>
  </si>
  <si>
    <t>26</t>
  </si>
  <si>
    <t>29</t>
  </si>
  <si>
    <t>30</t>
  </si>
  <si>
    <t>32</t>
  </si>
  <si>
    <t>33</t>
  </si>
  <si>
    <t>35</t>
  </si>
  <si>
    <t>36</t>
  </si>
  <si>
    <t>37</t>
  </si>
  <si>
    <t>39</t>
  </si>
  <si>
    <t>40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</si>
  <si>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</si>
  <si>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</si>
  <si>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</si>
  <si>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</si>
  <si>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</si>
  <si>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</si>
  <si>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</si>
  <si>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</si>
  <si>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</si>
  <si>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</si>
  <si>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</si>
  <si>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</si>
  <si>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</si>
  <si>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</si>
  <si>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</si>
  <si>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</si>
  <si>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</si>
  <si>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</si>
  <si>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</si>
  <si>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</si>
  <si>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</si>
  <si>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</si>
  <si>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</si>
  <si>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</si>
  <si>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</si>
  <si>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</si>
  <si>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</si>
  <si>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</si>
  <si>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</si>
  <si>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</si>
  <si>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</si>
  <si>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</si>
  <si>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</si>
  <si>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</si>
  <si>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</si>
  <si>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</si>
  <si>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</si>
  <si>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</si>
  <si>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</si>
  <si>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</si>
  <si>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</si>
  <si>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</si>
  <si>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</si>
  <si>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</si>
  <si>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</si>
  <si>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</si>
  <si>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</si>
  <si>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</si>
  <si>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</si>
  <si>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</si>
  <si>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</si>
  <si>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</si>
  <si>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</si>
  <si>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</si>
  <si>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</si>
  <si>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</si>
  <si>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</si>
  <si>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</si>
  <si>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</si>
  <si>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</si>
  <si>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</si>
  <si>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</si>
  <si>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</si>
  <si>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</si>
  <si>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</si>
  <si>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</si>
  <si>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</si>
  <si>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</si>
  <si>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</si>
  <si>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</si>
  <si>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</si>
  <si>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</si>
  <si>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</si>
  <si>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</si>
  <si>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</si>
  <si>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</si>
  <si>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</si>
  <si>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</si>
  <si>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</si>
  <si>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</si>
  <si>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</si>
  <si>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</si>
  <si>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</si>
  <si>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</si>
  <si>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</si>
  <si>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</si>
  <si>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</si>
  <si>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</si>
  <si>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</si>
  <si>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</si>
  <si>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</si>
  <si>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</si>
  <si>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</si>
  <si>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</si>
  <si>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</si>
  <si>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</si>
  <si>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</si>
  <si>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</si>
  <si>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</si>
  <si>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</si>
  <si>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</si>
  <si>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</si>
  <si>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</si>
  <si>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</si>
  <si>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</si>
  <si>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</si>
  <si>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</si>
  <si>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</si>
  <si>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</si>
  <si>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</si>
  <si>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</si>
  <si>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</si>
  <si>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</si>
  <si>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</si>
  <si>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</si>
  <si>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</si>
  <si>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</si>
  <si>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</si>
  <si>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</si>
  <si>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</si>
  <si>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</si>
  <si>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</si>
  <si>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</si>
  <si>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</si>
  <si>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</si>
  <si>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</si>
  <si>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</si>
  <si>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</si>
  <si>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</si>
  <si>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</si>
  <si>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</si>
  <si>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</si>
  <si>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</si>
  <si>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</si>
  <si>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</si>
  <si>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</si>
  <si>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</si>
  <si>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</si>
  <si>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</si>
  <si>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</si>
  <si>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</si>
  <si>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</si>
  <si>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</si>
  <si>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</si>
  <si>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</si>
  <si>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</si>
  <si>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</si>
  <si>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</si>
  <si>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</si>
  <si>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</si>
  <si>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</si>
  <si>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</si>
  <si>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</si>
  <si>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</si>
  <si>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</si>
  <si>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</si>
  <si>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</si>
  <si>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</si>
  <si>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</si>
  <si>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</si>
  <si>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</si>
  <si>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</si>
  <si>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</si>
  <si>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</si>
  <si>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</si>
  <si>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</si>
  <si>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</si>
  <si>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</si>
  <si>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</si>
  <si>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</si>
  <si>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</si>
  <si>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</si>
  <si>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</si>
  <si>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</si>
  <si>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</si>
  <si>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</si>
  <si>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</si>
  <si>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</si>
  <si>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</si>
  <si>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</si>
  <si>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</si>
  <si>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</si>
  <si>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</si>
  <si>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</si>
  <si>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</si>
  <si>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</si>
  <si>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</si>
  <si>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</si>
  <si>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</si>
  <si>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</si>
  <si>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</si>
  <si>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</si>
  <si>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</si>
  <si>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</si>
  <si>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</si>
  <si>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</si>
  <si>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</si>
  <si>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</si>
  <si>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</si>
  <si>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</si>
  <si>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</si>
  <si>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</si>
  <si>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</si>
  <si>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</si>
  <si>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</si>
  <si>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</si>
  <si>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</si>
  <si>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</si>
  <si>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</si>
  <si>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</si>
  <si>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</si>
  <si>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</si>
  <si>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</si>
  <si>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</si>
  <si>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</si>
  <si>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</si>
  <si>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</si>
  <si>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</si>
  <si>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</si>
  <si>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</si>
  <si>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</si>
  <si>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</si>
  <si>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</si>
  <si>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</si>
  <si>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</si>
  <si>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</si>
  <si>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</si>
  <si>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</si>
  <si>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</si>
  <si>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</si>
  <si>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</si>
  <si>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</si>
  <si>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</si>
  <si>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</si>
  <si>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</si>
  <si>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</si>
  <si>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</si>
  <si>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</si>
  <si>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</si>
  <si>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</si>
  <si>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</si>
  <si>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</si>
  <si>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</si>
  <si>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</si>
  <si>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</si>
  <si>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</si>
  <si>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</si>
  <si>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</si>
  <si>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</si>
  <si>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</si>
  <si>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</si>
  <si>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</si>
  <si>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</si>
  <si>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</si>
  <si>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</si>
  <si>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</si>
  <si>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</si>
  <si>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</si>
  <si>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</si>
  <si>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</si>
  <si>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</si>
  <si>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</si>
  <si>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</si>
  <si>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</si>
  <si>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</si>
  <si>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</si>
  <si>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</si>
  <si>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</si>
  <si>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</si>
  <si>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</si>
  <si>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</si>
  <si>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</si>
  <si>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</si>
  <si>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</si>
  <si>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</si>
  <si>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</si>
  <si>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</si>
  <si>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</si>
  <si>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</si>
  <si>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</si>
  <si>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</si>
  <si>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</si>
  <si>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</si>
  <si>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</si>
  <si>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</si>
  <si>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</si>
  <si>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</si>
  <si>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</si>
  <si>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</si>
  <si>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</si>
  <si>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</si>
  <si>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</si>
  <si>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</si>
  <si>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</si>
  <si>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</si>
  <si>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</si>
  <si>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</si>
  <si>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</si>
  <si>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</si>
  <si>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</si>
  <si>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</si>
  <si>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</si>
  <si>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</si>
  <si>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</si>
  <si>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</si>
  <si>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</si>
  <si>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</si>
  <si>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</si>
  <si>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</si>
  <si>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</si>
  <si>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</si>
  <si>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</si>
  <si>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</si>
  <si>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</si>
  <si>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</si>
  <si>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</si>
  <si>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</si>
  <si>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</si>
  <si>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</si>
  <si>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</si>
  <si>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</si>
  <si>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</si>
  <si>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</si>
  <si>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</si>
  <si>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</si>
  <si>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</si>
  <si>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</si>
  <si>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</si>
  <si>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</si>
  <si>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</si>
  <si>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</si>
  <si>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</si>
  <si>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</si>
  <si>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</si>
  <si>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</si>
  <si>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</si>
  <si>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</si>
  <si>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</si>
  <si>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</si>
  <si>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</si>
  <si>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</si>
  <si>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</si>
  <si>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</si>
  <si>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</si>
  <si>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</si>
  <si>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</si>
  <si>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</si>
  <si>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</si>
  <si>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</si>
  <si>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</si>
  <si>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</si>
  <si>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</si>
  <si>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</si>
  <si>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</si>
  <si>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</si>
  <si>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</si>
  <si>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</si>
  <si>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</si>
  <si>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</si>
  <si>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</si>
  <si>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</si>
  <si>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</si>
  <si>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</si>
  <si>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</si>
  <si>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</si>
  <si>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</si>
  <si>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</si>
  <si>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</si>
  <si>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</si>
  <si>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</si>
  <si>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</si>
  <si>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</si>
  <si>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</si>
  <si>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</si>
  <si>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</si>
  <si>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</si>
  <si>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</si>
  <si>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</si>
  <si>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</si>
  <si>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</si>
  <si>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</si>
  <si>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</si>
  <si>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</si>
  <si>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</si>
  <si>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</si>
  <si>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</si>
  <si>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</si>
  <si>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</si>
  <si>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</si>
  <si>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</si>
  <si>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</si>
  <si>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</si>
  <si>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</si>
  <si>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</si>
  <si>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</si>
  <si>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</si>
  <si>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</si>
  <si>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</si>
  <si>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</si>
  <si>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</si>
  <si>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</si>
  <si>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</si>
  <si>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</si>
  <si>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</si>
  <si>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</si>
  <si>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</si>
  <si>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</si>
  <si>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</si>
  <si>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</si>
  <si>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</si>
  <si>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</si>
  <si>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</si>
  <si>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</si>
  <si>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</si>
  <si>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</si>
  <si>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</si>
  <si>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</si>
  <si>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</si>
  <si>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</si>
  <si>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</si>
  <si>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</si>
  <si>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</si>
  <si>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</si>
  <si>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</si>
  <si>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</si>
  <si>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</si>
  <si>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</si>
  <si>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</si>
  <si>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</si>
  <si>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</si>
  <si>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</si>
  <si>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</si>
  <si>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</si>
  <si>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</si>
  <si>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</si>
  <si>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</si>
  <si>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</si>
  <si>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</si>
  <si>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</si>
  <si>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</si>
  <si>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</si>
  <si>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</si>
  <si>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</si>
  <si>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</si>
  <si>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</si>
  <si>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</si>
  <si>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</si>
  <si>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</si>
  <si>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</si>
  <si>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</si>
  <si>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</si>
  <si>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</si>
  <si>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</si>
  <si>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</si>
  <si>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</si>
  <si>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</si>
  <si>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</si>
  <si>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</si>
  <si>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</si>
  <si>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</si>
  <si>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</si>
  <si>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</si>
  <si>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</si>
  <si>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</si>
  <si>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</si>
  <si>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</si>
  <si>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</si>
  <si>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</si>
  <si>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</si>
  <si>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</si>
  <si>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</si>
  <si>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</si>
  <si>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</si>
  <si>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</si>
  <si>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</si>
  <si>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</si>
  <si>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</si>
  <si>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</si>
  <si>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</si>
  <si>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</si>
  <si>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</si>
  <si>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</si>
  <si>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</si>
  <si>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</si>
  <si>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</si>
  <si>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</si>
  <si>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</si>
  <si>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</si>
  <si>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</si>
  <si>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</si>
  <si>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</si>
  <si>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</si>
  <si>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</si>
  <si>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</si>
  <si>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</si>
  <si>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</si>
  <si>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</si>
  <si>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</si>
  <si>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</si>
  <si>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</si>
  <si>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</si>
  <si>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</si>
  <si>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</si>
  <si>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</si>
  <si>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</si>
  <si>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</si>
  <si>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073860511.1</t>
  </si>
  <si>
    <t>130001101R00</t>
  </si>
  <si>
    <t>130901121RT3</t>
  </si>
  <si>
    <t>131201112R00</t>
  </si>
  <si>
    <t>131301112R00</t>
  </si>
  <si>
    <t>139711101R00</t>
  </si>
  <si>
    <t>161101101R00</t>
  </si>
  <si>
    <t>162207112R00</t>
  </si>
  <si>
    <t>162701105R00</t>
  </si>
  <si>
    <t>162702199R00</t>
  </si>
  <si>
    <t>167101102R00</t>
  </si>
  <si>
    <t>171201201R00</t>
  </si>
  <si>
    <t>174100050RA0</t>
  </si>
  <si>
    <t>174101101R00</t>
  </si>
  <si>
    <t>211971110R00IM</t>
  </si>
  <si>
    <t>212312111R00</t>
  </si>
  <si>
    <t>212532111R00</t>
  </si>
  <si>
    <t>212572121R00</t>
  </si>
  <si>
    <t>212755114RX1</t>
  </si>
  <si>
    <t>212759010IM</t>
  </si>
  <si>
    <t>216904391R00</t>
  </si>
  <si>
    <t>28611211</t>
  </si>
  <si>
    <t>69366198</t>
  </si>
  <si>
    <t>894431222.1</t>
  </si>
  <si>
    <t>229942112.1</t>
  </si>
  <si>
    <t>229942122.2</t>
  </si>
  <si>
    <t>229946112R00</t>
  </si>
  <si>
    <t>273320130.1</t>
  </si>
  <si>
    <t>274313611R00</t>
  </si>
  <si>
    <t>274320030.1</t>
  </si>
  <si>
    <t>275320020.1</t>
  </si>
  <si>
    <t>281606214.1</t>
  </si>
  <si>
    <t>281606214.2</t>
  </si>
  <si>
    <t>13380625</t>
  </si>
  <si>
    <t>13480910</t>
  </si>
  <si>
    <t>13480925</t>
  </si>
  <si>
    <t>13480940</t>
  </si>
  <si>
    <t>28375931</t>
  </si>
  <si>
    <t>310239211R00</t>
  </si>
  <si>
    <t>311112125RT2</t>
  </si>
  <si>
    <t>311238130R00</t>
  </si>
  <si>
    <t>311238138R00</t>
  </si>
  <si>
    <t>311361821R00</t>
  </si>
  <si>
    <t>314231114R00</t>
  </si>
  <si>
    <t>314232521.1</t>
  </si>
  <si>
    <t>314266511.1</t>
  </si>
  <si>
    <t>317121022R00</t>
  </si>
  <si>
    <t>317121023R00</t>
  </si>
  <si>
    <t>317121251R00</t>
  </si>
  <si>
    <t>317121351R00</t>
  </si>
  <si>
    <t>317321311R00</t>
  </si>
  <si>
    <t>317351107R00</t>
  </si>
  <si>
    <t>317351108R00</t>
  </si>
  <si>
    <t>317941123R00</t>
  </si>
  <si>
    <t>317941123RT5</t>
  </si>
  <si>
    <t>317941125R00</t>
  </si>
  <si>
    <t>319201311R00</t>
  </si>
  <si>
    <t>319202321R00</t>
  </si>
  <si>
    <t>319300010R00</t>
  </si>
  <si>
    <t>319300017</t>
  </si>
  <si>
    <t>349231811R00</t>
  </si>
  <si>
    <t>59321100</t>
  </si>
  <si>
    <t>59321101</t>
  </si>
  <si>
    <t>59321102</t>
  </si>
  <si>
    <t>59321103</t>
  </si>
  <si>
    <t>59321104</t>
  </si>
  <si>
    <t>59321105</t>
  </si>
  <si>
    <t>59340713.A</t>
  </si>
  <si>
    <t>59340714.A</t>
  </si>
  <si>
    <t>59340715.A</t>
  </si>
  <si>
    <t>59340718.A</t>
  </si>
  <si>
    <t>59340728.A</t>
  </si>
  <si>
    <t>59512829.A</t>
  </si>
  <si>
    <t>622323153RV1</t>
  </si>
  <si>
    <t>622323154RV1</t>
  </si>
  <si>
    <t>631342531R00</t>
  </si>
  <si>
    <t>953802325R00</t>
  </si>
  <si>
    <t>342111322.1</t>
  </si>
  <si>
    <t>342111322.2</t>
  </si>
  <si>
    <t>342112322.3</t>
  </si>
  <si>
    <t>34211322.4</t>
  </si>
  <si>
    <t>342248109R00</t>
  </si>
  <si>
    <t>342248112R00</t>
  </si>
  <si>
    <t>342248114R00</t>
  </si>
  <si>
    <t>342248120109</t>
  </si>
  <si>
    <t>342248120R00</t>
  </si>
  <si>
    <t>343291.1</t>
  </si>
  <si>
    <t>343291.2</t>
  </si>
  <si>
    <t>346234341R00</t>
  </si>
  <si>
    <t>347016113R00</t>
  </si>
  <si>
    <t>713131130.1</t>
  </si>
  <si>
    <t>713134211RK3</t>
  </si>
  <si>
    <t>766-050</t>
  </si>
  <si>
    <t>766-051</t>
  </si>
  <si>
    <t>766-052</t>
  </si>
  <si>
    <t>766-053</t>
  </si>
  <si>
    <t>766-054</t>
  </si>
  <si>
    <t>766-055</t>
  </si>
  <si>
    <t>766-056</t>
  </si>
  <si>
    <t>766-057</t>
  </si>
  <si>
    <t>766-058</t>
  </si>
  <si>
    <t>389381009</t>
  </si>
  <si>
    <t>389381009.1</t>
  </si>
  <si>
    <t>13331788</t>
  </si>
  <si>
    <t>13380630</t>
  </si>
  <si>
    <t>13480930</t>
  </si>
  <si>
    <t>13480935</t>
  </si>
  <si>
    <t>13486335</t>
  </si>
  <si>
    <t>411321414R00</t>
  </si>
  <si>
    <t>411351101RT4</t>
  </si>
  <si>
    <t>411351102R00</t>
  </si>
  <si>
    <t>411354231R00</t>
  </si>
  <si>
    <t>411361821R00</t>
  </si>
  <si>
    <t>411361921RT8</t>
  </si>
  <si>
    <t>411900001RAA</t>
  </si>
  <si>
    <t>413200011.1</t>
  </si>
  <si>
    <t>413200011RA0</t>
  </si>
  <si>
    <t>413231221R00</t>
  </si>
  <si>
    <t>413321414R00</t>
  </si>
  <si>
    <t>413351107R00</t>
  </si>
  <si>
    <t>413351108R00</t>
  </si>
  <si>
    <t>413351213R00</t>
  </si>
  <si>
    <t>413351214R00</t>
  </si>
  <si>
    <t>413361821R00</t>
  </si>
  <si>
    <t>416021121R00</t>
  </si>
  <si>
    <t>416021123R00</t>
  </si>
  <si>
    <t>416021126R00</t>
  </si>
  <si>
    <t>430321313R00</t>
  </si>
  <si>
    <t>430321414R00</t>
  </si>
  <si>
    <t>430361921RT9</t>
  </si>
  <si>
    <t>430998</t>
  </si>
  <si>
    <t>434200001RA0</t>
  </si>
  <si>
    <t>434200002.1</t>
  </si>
  <si>
    <t>434351141R00</t>
  </si>
  <si>
    <t>434351142R00</t>
  </si>
  <si>
    <t>602011122RT1IM</t>
  </si>
  <si>
    <t>602011124R00IM</t>
  </si>
  <si>
    <t>602011151RT0IM</t>
  </si>
  <si>
    <t>602016103RT3IM</t>
  </si>
  <si>
    <t>610411129R00</t>
  </si>
  <si>
    <t>611421411R00</t>
  </si>
  <si>
    <t>611471411R00</t>
  </si>
  <si>
    <t>612403399R00</t>
  </si>
  <si>
    <t>612421411R00</t>
  </si>
  <si>
    <t>612421615R00</t>
  </si>
  <si>
    <t>612421626R00</t>
  </si>
  <si>
    <t>612471411R00</t>
  </si>
  <si>
    <t>615481111R00</t>
  </si>
  <si>
    <t>617421232R00</t>
  </si>
  <si>
    <t>619500001</t>
  </si>
  <si>
    <t>622903111R00</t>
  </si>
  <si>
    <t>622312334RT1</t>
  </si>
  <si>
    <t>622312334RV1</t>
  </si>
  <si>
    <t>622312353RT1</t>
  </si>
  <si>
    <t>622312353RV1</t>
  </si>
  <si>
    <t>622423321R00</t>
  </si>
  <si>
    <t>622431351R00</t>
  </si>
  <si>
    <t>622471566R00</t>
  </si>
  <si>
    <t>622903111.1</t>
  </si>
  <si>
    <t>627452111R00</t>
  </si>
  <si>
    <t>631312411R00</t>
  </si>
  <si>
    <t>631312611R00</t>
  </si>
  <si>
    <t>631312711R00</t>
  </si>
  <si>
    <t>631313611R00</t>
  </si>
  <si>
    <t>631313711R00</t>
  </si>
  <si>
    <t>631316211.1</t>
  </si>
  <si>
    <t>631317105R00</t>
  </si>
  <si>
    <t>631361921RT1</t>
  </si>
  <si>
    <t>631361921RT5</t>
  </si>
  <si>
    <t>631591115.1</t>
  </si>
  <si>
    <t>632419104.1</t>
  </si>
  <si>
    <t>634601111R00</t>
  </si>
  <si>
    <t>5533300099</t>
  </si>
  <si>
    <t>5533300100</t>
  </si>
  <si>
    <t>5533300110</t>
  </si>
  <si>
    <t>5533300120</t>
  </si>
  <si>
    <t>5533300130</t>
  </si>
  <si>
    <t>5533300131</t>
  </si>
  <si>
    <t>5533300141</t>
  </si>
  <si>
    <t>5533300185</t>
  </si>
  <si>
    <t>5533300400</t>
  </si>
  <si>
    <t>5533300410</t>
  </si>
  <si>
    <t>5533300420</t>
  </si>
  <si>
    <t>5533300421</t>
  </si>
  <si>
    <t>5533300430</t>
  </si>
  <si>
    <t>5533300440</t>
  </si>
  <si>
    <t>5533300441</t>
  </si>
  <si>
    <t>5533309001</t>
  </si>
  <si>
    <t>5533309004</t>
  </si>
  <si>
    <t>5533309011</t>
  </si>
  <si>
    <t>642941111RT3</t>
  </si>
  <si>
    <t>642942111R00</t>
  </si>
  <si>
    <t>642942221R00</t>
  </si>
  <si>
    <t>642944129</t>
  </si>
  <si>
    <t>900      R01</t>
  </si>
  <si>
    <t>941941042R00</t>
  </si>
  <si>
    <t>941941292R00</t>
  </si>
  <si>
    <t>941941842R00</t>
  </si>
  <si>
    <t>941955001R00</t>
  </si>
  <si>
    <t>941955002R00</t>
  </si>
  <si>
    <t>941955004R00</t>
  </si>
  <si>
    <t>952901111R00</t>
  </si>
  <si>
    <t>954124000.1</t>
  </si>
  <si>
    <t>954124206.1</t>
  </si>
  <si>
    <t>954125202.1</t>
  </si>
  <si>
    <t>954125206.1</t>
  </si>
  <si>
    <t>909      R01</t>
  </si>
  <si>
    <t>961044111R00</t>
  </si>
  <si>
    <t>962023391R00</t>
  </si>
  <si>
    <t>962031132R00</t>
  </si>
  <si>
    <t>962031133R00</t>
  </si>
  <si>
    <t>962031135R00</t>
  </si>
  <si>
    <t>962032231R00</t>
  </si>
  <si>
    <t>962042321R00</t>
  </si>
  <si>
    <t>962081141R00</t>
  </si>
  <si>
    <t>962300012RA0</t>
  </si>
  <si>
    <t>963042819R00</t>
  </si>
  <si>
    <t>963053936R00</t>
  </si>
  <si>
    <t>965041341RT3</t>
  </si>
  <si>
    <t>965042141RT3</t>
  </si>
  <si>
    <t>965043321.1</t>
  </si>
  <si>
    <t>965043341RT3</t>
  </si>
  <si>
    <t>965081112R00</t>
  </si>
  <si>
    <t>965081713RT2</t>
  </si>
  <si>
    <t>965081813RT2</t>
  </si>
  <si>
    <t>965082923R00</t>
  </si>
  <si>
    <t>965082933R00</t>
  </si>
  <si>
    <t>966077121R00</t>
  </si>
  <si>
    <t>967031733R00</t>
  </si>
  <si>
    <t>968061112R00</t>
  </si>
  <si>
    <t>968061113R00</t>
  </si>
  <si>
    <t>968061125R00</t>
  </si>
  <si>
    <t>968061126R00</t>
  </si>
  <si>
    <t>968062244R00</t>
  </si>
  <si>
    <t>968062354R00</t>
  </si>
  <si>
    <t>968062355R00</t>
  </si>
  <si>
    <t>968062356R00</t>
  </si>
  <si>
    <t>968062357R00</t>
  </si>
  <si>
    <t>968062455R00</t>
  </si>
  <si>
    <t>968062456R00</t>
  </si>
  <si>
    <t>968071112R00</t>
  </si>
  <si>
    <t>968071125R00</t>
  </si>
  <si>
    <t>968071126R00</t>
  </si>
  <si>
    <t>968072455R00</t>
  </si>
  <si>
    <t>968072456R00</t>
  </si>
  <si>
    <t>971033441R00</t>
  </si>
  <si>
    <t>971033681R00</t>
  </si>
  <si>
    <t>971100021RAA</t>
  </si>
  <si>
    <t>972054611R00</t>
  </si>
  <si>
    <t>972054691R00</t>
  </si>
  <si>
    <t>972086391.1</t>
  </si>
  <si>
    <t>973031151R00</t>
  </si>
  <si>
    <t>973031325R00</t>
  </si>
  <si>
    <t>973031842R00</t>
  </si>
  <si>
    <t>973031843R00</t>
  </si>
  <si>
    <t>973031844R00</t>
  </si>
  <si>
    <t>973031846R00</t>
  </si>
  <si>
    <t>974031389R00</t>
  </si>
  <si>
    <t>974031489R00</t>
  </si>
  <si>
    <t>974031664R00</t>
  </si>
  <si>
    <t>974031666R00</t>
  </si>
  <si>
    <t>974031668R00</t>
  </si>
  <si>
    <t>974031669R00</t>
  </si>
  <si>
    <t>978013161R00</t>
  </si>
  <si>
    <t>978013191R00</t>
  </si>
  <si>
    <t>978015241R00</t>
  </si>
  <si>
    <t>978059511.1</t>
  </si>
  <si>
    <t>978059531R00</t>
  </si>
  <si>
    <t>979011311R00</t>
  </si>
  <si>
    <t>979011321R00</t>
  </si>
  <si>
    <t>979011329R00</t>
  </si>
  <si>
    <t>979017111R00</t>
  </si>
  <si>
    <t>979017112R00</t>
  </si>
  <si>
    <t>979017192R00</t>
  </si>
  <si>
    <t>979081111R00</t>
  </si>
  <si>
    <t>979081121R00</t>
  </si>
  <si>
    <t>979082111R00</t>
  </si>
  <si>
    <t>979082121R00</t>
  </si>
  <si>
    <t>979990001R00IM</t>
  </si>
  <si>
    <t>11163160</t>
  </si>
  <si>
    <t>62852264</t>
  </si>
  <si>
    <t>711141559RT2</t>
  </si>
  <si>
    <t>711142559RT2</t>
  </si>
  <si>
    <t>711212001RT2</t>
  </si>
  <si>
    <t>711212002.1</t>
  </si>
  <si>
    <t>711212002RT3</t>
  </si>
  <si>
    <t>711212601RT2</t>
  </si>
  <si>
    <t>711411002R00</t>
  </si>
  <si>
    <t>711412002R00</t>
  </si>
  <si>
    <t>711502020R00</t>
  </si>
  <si>
    <t>711823129RT2</t>
  </si>
  <si>
    <t>911999002IM</t>
  </si>
  <si>
    <t>28375111</t>
  </si>
  <si>
    <t>28375768.A</t>
  </si>
  <si>
    <t>283758904</t>
  </si>
  <si>
    <t>28375973</t>
  </si>
  <si>
    <t>28376072</t>
  </si>
  <si>
    <t>28376073</t>
  </si>
  <si>
    <t>6315083950</t>
  </si>
  <si>
    <t>6315083953</t>
  </si>
  <si>
    <t>6315083955</t>
  </si>
  <si>
    <t>6315083956</t>
  </si>
  <si>
    <t>713111130.1</t>
  </si>
  <si>
    <t>713111221RK3</t>
  </si>
  <si>
    <t>713121111RT1</t>
  </si>
  <si>
    <t>713121118RT1</t>
  </si>
  <si>
    <t>713121121R00</t>
  </si>
  <si>
    <t>713131130R00</t>
  </si>
  <si>
    <t>713191100RT9</t>
  </si>
  <si>
    <t>713191123R00</t>
  </si>
  <si>
    <t>605126981</t>
  </si>
  <si>
    <t>60515501</t>
  </si>
  <si>
    <t>60596002</t>
  </si>
  <si>
    <t>60726017.A</t>
  </si>
  <si>
    <t>762111811R00</t>
  </si>
  <si>
    <t>762331812R00</t>
  </si>
  <si>
    <t>762512115.1</t>
  </si>
  <si>
    <t>762521108R00</t>
  </si>
  <si>
    <t>762522811R00</t>
  </si>
  <si>
    <t>762524910.1</t>
  </si>
  <si>
    <t>762524911R00</t>
  </si>
  <si>
    <t>762595000R00</t>
  </si>
  <si>
    <t>762812811R00</t>
  </si>
  <si>
    <t>762812934RT3</t>
  </si>
  <si>
    <t>762822120R00</t>
  </si>
  <si>
    <t>762822120RT2</t>
  </si>
  <si>
    <t>762900020RA0</t>
  </si>
  <si>
    <t>764252491.1</t>
  </si>
  <si>
    <t>764311352.9</t>
  </si>
  <si>
    <t>764311352R00</t>
  </si>
  <si>
    <t>764321820R00</t>
  </si>
  <si>
    <t>764321840R00</t>
  </si>
  <si>
    <t>764331250.1</t>
  </si>
  <si>
    <t>764339330R00</t>
  </si>
  <si>
    <t>764421250.1</t>
  </si>
  <si>
    <t>764421270.1</t>
  </si>
  <si>
    <t>764421290.1</t>
  </si>
  <si>
    <t>764454803.1</t>
  </si>
  <si>
    <t>764554403.1</t>
  </si>
  <si>
    <t>764554493.1</t>
  </si>
  <si>
    <t>764701021.1</t>
  </si>
  <si>
    <t>764775314R00</t>
  </si>
  <si>
    <t>764881125.1</t>
  </si>
  <si>
    <t>764900035.1</t>
  </si>
  <si>
    <t>765375111R00</t>
  </si>
  <si>
    <t>765376211R00</t>
  </si>
  <si>
    <t>766-019</t>
  </si>
  <si>
    <t>766-040</t>
  </si>
  <si>
    <t>766-041</t>
  </si>
  <si>
    <t>766-042</t>
  </si>
  <si>
    <t>766-100</t>
  </si>
  <si>
    <t>766-118</t>
  </si>
  <si>
    <t>766-120</t>
  </si>
  <si>
    <t>766-121</t>
  </si>
  <si>
    <t>766-122</t>
  </si>
  <si>
    <t>766-123</t>
  </si>
  <si>
    <t>766-124</t>
  </si>
  <si>
    <t>766-125</t>
  </si>
  <si>
    <t>766-147</t>
  </si>
  <si>
    <t>766-219</t>
  </si>
  <si>
    <t>766-334</t>
  </si>
  <si>
    <t>766-339</t>
  </si>
  <si>
    <t>766-600</t>
  </si>
  <si>
    <t>766-601</t>
  </si>
  <si>
    <t>766-603</t>
  </si>
  <si>
    <t>766-700</t>
  </si>
  <si>
    <t>766-701</t>
  </si>
  <si>
    <t>766-702</t>
  </si>
  <si>
    <t>766-800</t>
  </si>
  <si>
    <t>766-810</t>
  </si>
  <si>
    <t>766-900</t>
  </si>
  <si>
    <t>766-909</t>
  </si>
  <si>
    <t>766-910</t>
  </si>
  <si>
    <t>766-911</t>
  </si>
  <si>
    <t>766-9110</t>
  </si>
  <si>
    <t>766-9112</t>
  </si>
  <si>
    <t>766-9113</t>
  </si>
  <si>
    <t>766-9114</t>
  </si>
  <si>
    <t>766111820R00</t>
  </si>
  <si>
    <t>766621912.1</t>
  </si>
  <si>
    <t>766661112R00</t>
  </si>
  <si>
    <t>766661122R00</t>
  </si>
  <si>
    <t>766661142R00</t>
  </si>
  <si>
    <t>766661821R00</t>
  </si>
  <si>
    <t>766666112R00</t>
  </si>
  <si>
    <t>766666114R00</t>
  </si>
  <si>
    <t>766900010RAB</t>
  </si>
  <si>
    <t>766900020RAB</t>
  </si>
  <si>
    <t>767649198</t>
  </si>
  <si>
    <t>766-001</t>
  </si>
  <si>
    <t>766-002</t>
  </si>
  <si>
    <t>766-003</t>
  </si>
  <si>
    <t>766-004</t>
  </si>
  <si>
    <t>766-005</t>
  </si>
  <si>
    <t>766-006</t>
  </si>
  <si>
    <t>766-007</t>
  </si>
  <si>
    <t>766-008</t>
  </si>
  <si>
    <t>766-009</t>
  </si>
  <si>
    <t>766-010</t>
  </si>
  <si>
    <t>766-011</t>
  </si>
  <si>
    <t>766-101</t>
  </si>
  <si>
    <t>766-102</t>
  </si>
  <si>
    <t>766-103</t>
  </si>
  <si>
    <t>766-104</t>
  </si>
  <si>
    <t>766-105</t>
  </si>
  <si>
    <t>766-106</t>
  </si>
  <si>
    <t>766-107</t>
  </si>
  <si>
    <t>766-108</t>
  </si>
  <si>
    <t>766-109</t>
  </si>
  <si>
    <t>766-110</t>
  </si>
  <si>
    <t>766-111</t>
  </si>
  <si>
    <t>766-112</t>
  </si>
  <si>
    <t>766-113</t>
  </si>
  <si>
    <t>766-114</t>
  </si>
  <si>
    <t>766-115</t>
  </si>
  <si>
    <t>766-116</t>
  </si>
  <si>
    <t>766-117</t>
  </si>
  <si>
    <t>766-201</t>
  </si>
  <si>
    <t>766-202</t>
  </si>
  <si>
    <t>766-203</t>
  </si>
  <si>
    <t>766-204</t>
  </si>
  <si>
    <t>766-205</t>
  </si>
  <si>
    <t>766-206</t>
  </si>
  <si>
    <t>766-207</t>
  </si>
  <si>
    <t>766-208</t>
  </si>
  <si>
    <t>766-209</t>
  </si>
  <si>
    <t>766-210</t>
  </si>
  <si>
    <t>766-301</t>
  </si>
  <si>
    <t>766-302</t>
  </si>
  <si>
    <t>766-303</t>
  </si>
  <si>
    <t>766-304</t>
  </si>
  <si>
    <t>766-305</t>
  </si>
  <si>
    <t>766-306</t>
  </si>
  <si>
    <t>766-307</t>
  </si>
  <si>
    <t>766-308</t>
  </si>
  <si>
    <t>766-309</t>
  </si>
  <si>
    <t>766-310</t>
  </si>
  <si>
    <t>767137801R00</t>
  </si>
  <si>
    <t>767137803R00</t>
  </si>
  <si>
    <t>767221230.1</t>
  </si>
  <si>
    <t>767392803R00</t>
  </si>
  <si>
    <t>767450.1</t>
  </si>
  <si>
    <t>767450.2</t>
  </si>
  <si>
    <t>767450.3</t>
  </si>
  <si>
    <t>767550.1</t>
  </si>
  <si>
    <t>767550.2</t>
  </si>
  <si>
    <t>767712811R00</t>
  </si>
  <si>
    <t>767995102R00</t>
  </si>
  <si>
    <t>767995103.1</t>
  </si>
  <si>
    <t>767995104.1</t>
  </si>
  <si>
    <t>767995104.3</t>
  </si>
  <si>
    <t>767995104.4</t>
  </si>
  <si>
    <t>767995106.1</t>
  </si>
  <si>
    <t>767995106.2</t>
  </si>
  <si>
    <t>767996803R00</t>
  </si>
  <si>
    <t>597642240</t>
  </si>
  <si>
    <t>771101111.1</t>
  </si>
  <si>
    <t>771212117R00</t>
  </si>
  <si>
    <t>771475014R00</t>
  </si>
  <si>
    <t>771578011R00</t>
  </si>
  <si>
    <t>773211213.1</t>
  </si>
  <si>
    <t>775521800R00</t>
  </si>
  <si>
    <t>28410105</t>
  </si>
  <si>
    <t>28410175</t>
  </si>
  <si>
    <t>776431100.1</t>
  </si>
  <si>
    <t>776511810RT1</t>
  </si>
  <si>
    <t>776521110R00</t>
  </si>
  <si>
    <t>776521330R00</t>
  </si>
  <si>
    <t>776551830RT1</t>
  </si>
  <si>
    <t>776981121RT2</t>
  </si>
  <si>
    <t>596900013</t>
  </si>
  <si>
    <t>597813747</t>
  </si>
  <si>
    <t>781310119</t>
  </si>
  <si>
    <t>781475120R00</t>
  </si>
  <si>
    <t>781479705RT3</t>
  </si>
  <si>
    <t>781675116R00</t>
  </si>
  <si>
    <t>781775008RT3</t>
  </si>
  <si>
    <t>781779705R00</t>
  </si>
  <si>
    <t>58387166</t>
  </si>
  <si>
    <t>782131140.1</t>
  </si>
  <si>
    <t>713511369.2</t>
  </si>
  <si>
    <t>713511379.2</t>
  </si>
  <si>
    <t>713511389.2</t>
  </si>
  <si>
    <t>783124520R00</t>
  </si>
  <si>
    <t>783201831.1</t>
  </si>
  <si>
    <t>783222100.1</t>
  </si>
  <si>
    <t>783293203R00</t>
  </si>
  <si>
    <t>783601815R00</t>
  </si>
  <si>
    <t>783601832.1</t>
  </si>
  <si>
    <t>783626211R00</t>
  </si>
  <si>
    <t>783682141.1</t>
  </si>
  <si>
    <t>783780010RAC</t>
  </si>
  <si>
    <t>783782205R00</t>
  </si>
  <si>
    <t>783851225RT5</t>
  </si>
  <si>
    <t>783851226.1</t>
  </si>
  <si>
    <t>783903811R00</t>
  </si>
  <si>
    <t>784111701R00</t>
  </si>
  <si>
    <t>784195212R00</t>
  </si>
  <si>
    <t>784195222R00</t>
  </si>
  <si>
    <t>784402801R00</t>
  </si>
  <si>
    <t>787172562R00</t>
  </si>
  <si>
    <t>44984114</t>
  </si>
  <si>
    <t>44984142</t>
  </si>
  <si>
    <t>796001VD</t>
  </si>
  <si>
    <t>796005VD</t>
  </si>
  <si>
    <t>796006VD</t>
  </si>
  <si>
    <t>796007VD</t>
  </si>
  <si>
    <t>796008.1VD</t>
  </si>
  <si>
    <t>796008.2VD</t>
  </si>
  <si>
    <t>796008VD</t>
  </si>
  <si>
    <t>796009VD</t>
  </si>
  <si>
    <t>796011VD</t>
  </si>
  <si>
    <t>796012VD</t>
  </si>
  <si>
    <t>796022VD</t>
  </si>
  <si>
    <t>796023VD</t>
  </si>
  <si>
    <t>796024VD</t>
  </si>
  <si>
    <t>796025VD</t>
  </si>
  <si>
    <t>72001</t>
  </si>
  <si>
    <t>72002</t>
  </si>
  <si>
    <t>72003</t>
  </si>
  <si>
    <t>73001</t>
  </si>
  <si>
    <t>74001</t>
  </si>
  <si>
    <t>330001</t>
  </si>
  <si>
    <t>330030120RAD</t>
  </si>
  <si>
    <t>15945060</t>
  </si>
  <si>
    <t>28318163</t>
  </si>
  <si>
    <t>4307130011</t>
  </si>
  <si>
    <t>4307130012</t>
  </si>
  <si>
    <t>4307130021</t>
  </si>
  <si>
    <t>4307130022</t>
  </si>
  <si>
    <t>430827101R00</t>
  </si>
  <si>
    <t>430999</t>
  </si>
  <si>
    <t>953981105R00</t>
  </si>
  <si>
    <t>953981304.1</t>
  </si>
  <si>
    <t>460030061RT3</t>
  </si>
  <si>
    <t>998011003R00</t>
  </si>
  <si>
    <t>Zkrácený popis / Varianta</t>
  </si>
  <si>
    <t>Rozměry</t>
  </si>
  <si>
    <t>Obsyp nerez komínové vložky liaporem fr.4-8mm</t>
  </si>
  <si>
    <t>vč dodávky liaporu (nový komín)</t>
  </si>
  <si>
    <t>Příplatek za ztížené hloubení v blízkosti vedení (10% kubatury výkopu)</t>
  </si>
  <si>
    <t>obkopání objektu pro drenáže</t>
  </si>
  <si>
    <t>Bourání konstrukcí z betonu prostého ve vykopávkách</t>
  </si>
  <si>
    <t>Hloubení nezapaž. jam hor.3 do 1000 m3, STROJNĚ</t>
  </si>
  <si>
    <t>Hloubení nezapaž. jam hor.4 do 1000 m3, STROJNĚ</t>
  </si>
  <si>
    <t>Vykopávka v uzavřených prostorách v hor.1-4</t>
  </si>
  <si>
    <t>základy, výtahová šachta, podlahy 1PP a 1NP</t>
  </si>
  <si>
    <t>Svislé přemístění výkopku z hor.1-4 do 2,5 m</t>
  </si>
  <si>
    <t>Vodorovné přemístění výkopku hor. 1-4 do 100 m</t>
  </si>
  <si>
    <t>Vodorovné přemístění výkopku z hor.1-4 do 10000 m</t>
  </si>
  <si>
    <t>Poplatek za skládku zeminy</t>
  </si>
  <si>
    <t>Nakládání výkopku z hor.1-4 v množství nad 100 m3</t>
  </si>
  <si>
    <t>Uložení sypaniny na skládku</t>
  </si>
  <si>
    <t>Zásyp jam,rýh a šachet štěrkopískem</t>
  </si>
  <si>
    <t>výtahová šachta</t>
  </si>
  <si>
    <t>Zásyp jam, rýh, šachet se zhutněním  na 96% PS</t>
  </si>
  <si>
    <t>hutnění max.po vrstvách tl.20 cm; obkopání objektu pro drenáže</t>
  </si>
  <si>
    <t>Ochrana drenáží a nopové fólie  z geotextilie 30g/m2 o sklonu do 1 : 2,5.montáž</t>
  </si>
  <si>
    <t>materiál ve specifikaci</t>
  </si>
  <si>
    <t>Lože trativodu z betonu prostého C12/15</t>
  </si>
  <si>
    <t>včetně vyčištění dna rýh, urovnání lože a prohození výkopku.</t>
  </si>
  <si>
    <t>Zásyp  trativodu z kameniva hrub.drceného,16-32 mm</t>
  </si>
  <si>
    <t>vč dodávky štěrkodrti</t>
  </si>
  <si>
    <t>Zásyp trativodu z kameniva drobného drceného 8-16mm</t>
  </si>
  <si>
    <t>Trativody z drenážních trubek DN 10 cm bez lože-montáž</t>
  </si>
  <si>
    <t>Napojení drenážního systému na  kanalizaci</t>
  </si>
  <si>
    <t>2x dešťová kanalizace</t>
  </si>
  <si>
    <t>Příplatek za ruční dočištění ocelovými kartáči</t>
  </si>
  <si>
    <t>Dočištění zdiva ve výkopu pro těsnící úpravu v trase dodatečných izolací. V pásu výšky 30cm a pod rubovou izolaci.</t>
  </si>
  <si>
    <t>Trubka PVC-U drenážní perforovaná DN100, s pevným dnem(trubka tunelového tvaru, perforace 220°) vč. tvarovek</t>
  </si>
  <si>
    <t>Geotextilie 300 g/m2 š. 200cm 100% PP</t>
  </si>
  <si>
    <t>Dod.+mont. šachta drenážní  D 400 mm, dl.šach.roury do 2,0, vč. poklopu</t>
  </si>
  <si>
    <t>Plastové dno, šachta z korugované trouby, těsnění, šachtová roura teleskopická, čtvercový rám do teleskopické trouby, poklop litinový B125.(3x koncová, 9x rohová, odbočení 90°, 1x přímá s lapačem písku a s napojením na dešť.kanal, 1x rohová s lapačem písku a s napojením na dešť.kanal.)</t>
  </si>
  <si>
    <t>Trubkové mikropiloty z oc.11 523, hladké D 105 mm</t>
  </si>
  <si>
    <t>vč.vrtů</t>
  </si>
  <si>
    <t>Trubkové mikropiloty z oc.11 523, manžet.D 105 mm</t>
  </si>
  <si>
    <t>Hlavy mikropilot tlakových D do 105 mm</t>
  </si>
  <si>
    <t>Základová deska tl.200mm ŽB z betonu C 16/20, vč.bednění-výtahová šachta</t>
  </si>
  <si>
    <t>výztuž R 10505-120 kg/m3</t>
  </si>
  <si>
    <t>Beton základových pasů prostý C 16/20 (B 20)</t>
  </si>
  <si>
    <t>Základový pas ŽB z betonu C 16/20, vč. bednění-rozšírení stávajících základů</t>
  </si>
  <si>
    <t>výztuž R 10505- 120 kg/m3</t>
  </si>
  <si>
    <t>Základová patka ŽB z betonu C 16/20, vč.bednění</t>
  </si>
  <si>
    <t>výztuž R 10505-150 kg/m3</t>
  </si>
  <si>
    <t>Tlaková chemická injektáž zdiva akrylátovými gely horizontální, vrty průměru 12mm do 10cm</t>
  </si>
  <si>
    <t>Vyvrtání otvorů, vyčištění vrtu od hrubých nečistot, osazení pakrů, tlaková aplikce injektážním zařízením.Množství injektážního prostředku dle předpisu výrobce</t>
  </si>
  <si>
    <t>Tlaková chemická injektáž zdiva akrylátovými gely plošná, rastr 15x15cm, hl.30cm</t>
  </si>
  <si>
    <t xml:space="preserve">Vyvrtání otvorů, vyčištění vrtu od hrubých nečistot, osazení pakrů, tlaková aplikce injektážním zařízením.Množství injektážního prostředku dle předpisu výrobce
</t>
  </si>
  <si>
    <t>Tyč průřezu I 140, střední, jakost oceli S235-dodatečné překlady</t>
  </si>
  <si>
    <t>Tyč průřezu I 180, hrubé, jakost oceli S235-dodatečné překlady</t>
  </si>
  <si>
    <t>Tyč průřezu I 240, hrubé, jakost oceli S235-dodatečné překlady</t>
  </si>
  <si>
    <t>Tyč průřezu I 300, hrubé, jakost oceli S235-dodatečné překlady</t>
  </si>
  <si>
    <t>Deska  polystyrenová EPS 70 F tl. 30mm -mezi překlady</t>
  </si>
  <si>
    <t>Zazdívka otvorů a dozdívky va stěnách cihlami plnými 290x140x65mm na MVC</t>
  </si>
  <si>
    <t>Stěna z tvárnic ztraceného bednění, tl. 25 cm</t>
  </si>
  <si>
    <t>zalití tvárnic betonem C 16/20</t>
  </si>
  <si>
    <t>Zdivo POROTHERM 19 AKU P+D P15 na MC 10, tl.190 mm</t>
  </si>
  <si>
    <t>Zdivo z cihelných bloků 25 AKU Z P15 na MC 10, tl.250 mm</t>
  </si>
  <si>
    <t>Výztuž zdí ze ztraceného bednění z betonářské oceli 10505 (R) prům 12,0mm</t>
  </si>
  <si>
    <t xml:space="preserve">váha 0,89 kg/m, celkem 265m
</t>
  </si>
  <si>
    <t>Zdivo komínů z CP 29 P15 na MVC pod omítku</t>
  </si>
  <si>
    <t>obezdívka komínové vložky v půdním prostoru</t>
  </si>
  <si>
    <t>Zdivo komín. těles nad střechou jednostranně lícované režné z cihel Klinker plných 29 cm na MC 10</t>
  </si>
  <si>
    <t>Dod.+mont komín krycí deska 0,6x0,6m,  tl.75mm jednoprůdochový komín DN 200</t>
  </si>
  <si>
    <t>beton C25/50, kari síť 4,0mm 100/100mm,</t>
  </si>
  <si>
    <t>Osazení překladu keram. plochého, světl. do 180 cm</t>
  </si>
  <si>
    <t>Osazení překladu keram. plochého, světl. do 375 cm</t>
  </si>
  <si>
    <t>Montáž ŽB překladů do 180 cm dodatečně do rýh</t>
  </si>
  <si>
    <t>Montáž ŽB překladů nad 180 cm dodatečně do rýh</t>
  </si>
  <si>
    <t>Beton překladů železový  C 16/20</t>
  </si>
  <si>
    <t>příčky tl.do 100mm</t>
  </si>
  <si>
    <t>Bednění překladů - zřízení</t>
  </si>
  <si>
    <t>Bednění překladů - odstranění</t>
  </si>
  <si>
    <t>Osazení ocelových válcovaných nosníků  č.14-22</t>
  </si>
  <si>
    <t>dodatečné překlady,  vč. provizorního statického zajištění okolních kcí</t>
  </si>
  <si>
    <t>Osazení ocelových válcovaných nosníků  č.14-22-pódium velký sál</t>
  </si>
  <si>
    <t>včetně dodávky profilu I č.20 a podpěr z trubek 127/4,5mm</t>
  </si>
  <si>
    <t>Osazení ocelových válcovaných nosníků č.22 a vyšší</t>
  </si>
  <si>
    <t>dodatečné překlady, vč. provizorního statického zajištění okolních kcí</t>
  </si>
  <si>
    <t>Vyrovnání povrchu zdiva maltou tl.do 3 cm</t>
  </si>
  <si>
    <t>vyrovnání stáv zdiva pod rubovou izolaci a hydroizol stěrku pro navázání izlolace zdiva mechanickým podřezáním a injektáží</t>
  </si>
  <si>
    <t>Vyrovnání zalomeného vnitřního ostění po vybourání výplní otvorů plentováním do tl. 8 cm</t>
  </si>
  <si>
    <t>Dodatečné vložení izolace podřezáním strojem,fólie</t>
  </si>
  <si>
    <t>zdivo cihelné , pila řetězová, izolace PeHD (alt.sklolaminát)</t>
  </si>
  <si>
    <t>Dodatečné vložení izolace podřezáním strojně,fólie -zdivo tloušťky do 90 cm</t>
  </si>
  <si>
    <t>zdivo kamenné, smíšené nebo betonové, pila lanová, izolace PeHD (alt.sklolaminát)</t>
  </si>
  <si>
    <t>Přizdívka  vnitřního ostění s ozubem z cihel, ve vybouraných otvorech do 15 cm</t>
  </si>
  <si>
    <t>vč. vysekání kapes pro zavázání</t>
  </si>
  <si>
    <t>Překlad železobetonový RZP 1/10 119/14/14</t>
  </si>
  <si>
    <t>Překlad železobetonový RZP 2/10 149/14/14</t>
  </si>
  <si>
    <t>Překlad železobetonový RZP 3/10 179/14/14</t>
  </si>
  <si>
    <t>Překlad železobetonový RZP 4/10 239/14/14</t>
  </si>
  <si>
    <t>Překlad železobetonový RZP 5/10 254/14/14</t>
  </si>
  <si>
    <t>Překlad železobetonový RZP 6/10 284/14/14</t>
  </si>
  <si>
    <t>Překlad keramický plochý PKP 11,5 - 100x11,5x7,1 cm</t>
  </si>
  <si>
    <t>Překlad keramický plochý PKP 11,5 - 125x11,5x7,1 cm</t>
  </si>
  <si>
    <t>Překlad keramický plochý PKP 11,5 - 150x11,5x7,1 cm</t>
  </si>
  <si>
    <t>Překlad keramický plochý PKP 11,5 - 225x11,5x7,1 cm</t>
  </si>
  <si>
    <t>Překlad keramický plochý PKP 14,5 - 150x14,5x7,1 cm</t>
  </si>
  <si>
    <t>Překlad z Liaporbetonu PS 115x240-3490/3000 mm</t>
  </si>
  <si>
    <t>Dod.+mont. doplnění  vnitřního nadpraží otvorů polystyrénem, EPS F tl. 30 mm s přestěrkování a výztužnou tkaninou</t>
  </si>
  <si>
    <t>vč kovových rohových profilů, kotvení lepením a mechanicky hmoždinkou</t>
  </si>
  <si>
    <t>Dod.+mont. doplnění  vnitřního nadpraží otvorů polystyrénem, EPS F tl. 80 mm s přestěrkování a výztužnou tkaninou</t>
  </si>
  <si>
    <t>Mazanina z betonu keramzitového LC 8/9 tl. 5-10 cm</t>
  </si>
  <si>
    <t>vyrovnání vnitřních parapetů</t>
  </si>
  <si>
    <t>Dod.+montáž komínové vložky nerez DN 200 mm (plyn)</t>
  </si>
  <si>
    <t>vč.tvarovek revizní Tkus s kontrolním víčkem, napojení plynových kotlů, kondenzační jímka s odvodem kondenzátu, komínová hlavice</t>
  </si>
  <si>
    <t>Příčka SDVK tl.100 mm,ocel.kce,oplášť tl.12,5 mm - příčka SV1 (viz.půdorys 3NP)</t>
  </si>
  <si>
    <t>izolace miner.tl. 60 mm, objem. hmotnost 35 kg/m3</t>
  </si>
  <si>
    <t>Příčka  SDVK+SDK  tl.125 mm,ocel.kce,oplášť 2x12,5 -příčka SDV 2 (viz.půdorys 3NP)</t>
  </si>
  <si>
    <t>1X SDK, 1x SDVK (vnější opláštění)</t>
  </si>
  <si>
    <t>Příčka SDVK+SDK tl.225 mm,ocel.kce,oplášť SDVK 12,5,střed deska SDV+12,5 mm - příčka SDV3 (viz.půdorys 3NP)</t>
  </si>
  <si>
    <t>Příčka SDVK+SDV  tl.250 mm,ocel.kce,2xoplášť 2x12,5 mm + předstěna - příčka SDV4 (viz půdorys 3NP)</t>
  </si>
  <si>
    <t>Příčky z cihelných bloků P+D na MVC 5 tl. 8 cm</t>
  </si>
  <si>
    <t>Příčky z cihelných bloků P+D na MVC 5 tl. 11,5 cm</t>
  </si>
  <si>
    <t>Příčky z cihelných bloků 14 P+D na MVC 5, tl. 140 mm</t>
  </si>
  <si>
    <t>Příčky dvojitá z cihelných bloků 2x 11,5 AKU na MVC 5 tl; izolace minerál.vlna tl.50mm</t>
  </si>
  <si>
    <t>Příčky z cihelných bloků 11,5 AKU na MVC 5, tl. 115 mm</t>
  </si>
  <si>
    <t>Dod.+mont posuvné přemístilelné příčky 6,45x 3,75m - T17</t>
  </si>
  <si>
    <t>přesná specifikace viz výpis truhlář.výrobků</t>
  </si>
  <si>
    <t>Dod.+mont posuvné přemístilelné příčky 6,20x 3,35m - T18</t>
  </si>
  <si>
    <t>Zazdívka rýh 45 x 30 cm a vytvoření průduchu</t>
  </si>
  <si>
    <t>nový komín</t>
  </si>
  <si>
    <t>Předstěna SDK, tl.65mm,ocel. kce CW, 1x RBI 12,5mm</t>
  </si>
  <si>
    <t>vedení instalací, opláštění splach modlu WC</t>
  </si>
  <si>
    <t>Dod.+mont.izolace tepelná stěn vložením do konstrukce</t>
  </si>
  <si>
    <t>minerální plst tl.40mm</t>
  </si>
  <si>
    <t>Dod.+mont.parozábrany na stěny s přelepením spojů</t>
  </si>
  <si>
    <t>parotěsná zábrana Jutafol N 110 standard</t>
  </si>
  <si>
    <t>Dod.+mont lehké sanitární příčky, výška 2,05m (0,15+1,90m) -T5</t>
  </si>
  <si>
    <t>Dod.+mont lehké sanitární příčky, výška 2,05m (0,15+1,90m) -T6</t>
  </si>
  <si>
    <t>Dod.+mont lehké sanitární příčky, výška 2,05m (0,15+1,90m) -T7,T8,T12,T13</t>
  </si>
  <si>
    <t>Dod.+mont lehké sanitární příčky, výška 2,05m (0,15+1,90m) -T9</t>
  </si>
  <si>
    <t>Dod.+mont lehké sanitární příčky, výška 2,05m (0,15+1,90m) -T10</t>
  </si>
  <si>
    <t>Dod.+mont lehké sanitární příčky, výška 2,05m (0,15+1,90m) -T11</t>
  </si>
  <si>
    <t>Dod.+mont lehké sanitární příčky, výška 2,05m (0,15+1,90m) -T14</t>
  </si>
  <si>
    <t>Dod.+mont lehké sanitární příčky, výška 2,05m (0,15+1,90m) -T15</t>
  </si>
  <si>
    <t>Dod.+mont lehké sanitární příčky, výška 2,05m (0,15+1,90m) -T16</t>
  </si>
  <si>
    <t>Dobetonování šikmin přechodu rozšíření základu a zdiva</t>
  </si>
  <si>
    <t>sešikmení min 45 °, přesah základu 10-20cm</t>
  </si>
  <si>
    <t>Obetonování prostupů potrubí VZT v půdním prostoru (prostup VZT3.2)</t>
  </si>
  <si>
    <t>2x potrubí  400/600mm v šířce 150mm, v=120mm,betonem třídy C 16/20</t>
  </si>
  <si>
    <t>Úhelník rovnoramenný L jakost S235   80x 80x10 mm</t>
  </si>
  <si>
    <t>Tyč průřezu I 160, střední, jakost oceli S235</t>
  </si>
  <si>
    <t>Tyč průřezu I 240, hrubé, jakost oceli S235</t>
  </si>
  <si>
    <t>Tyč průřezu I 260, hrubé, jakost oceli S235</t>
  </si>
  <si>
    <t>Tyč průřezu I 280, hrubé, jakost oceli S235</t>
  </si>
  <si>
    <t>Tyč průřezu I 300, hrubé, jakost oceli S235-PŘEDPOKLAD</t>
  </si>
  <si>
    <t>Tyč průřezu HEA 280, hrubé, jakost oceli S235</t>
  </si>
  <si>
    <t>Stropy deskové ze železobetonu C 25/30  (B 30)</t>
  </si>
  <si>
    <t>- pódium míst. č.335</t>
  </si>
  <si>
    <t>Stropy deskové ze železobetonu C 25/30 desky  D1-D7</t>
  </si>
  <si>
    <t>Bednění stropů deskových, bednění vlastní -zřízení (D1-D7)</t>
  </si>
  <si>
    <t>včetně podepření</t>
  </si>
  <si>
    <t>Bednění stropů deskových, vlastní - odstranění  (D1-D7)</t>
  </si>
  <si>
    <t>Ztracené bednění trapézový plech tl. 0,8 mm</t>
  </si>
  <si>
    <t>Dod.+mont.ztracené bednění trapézový plech tl. 0,8 mm</t>
  </si>
  <si>
    <t>- schodišť deska (místn.č.143)</t>
  </si>
  <si>
    <t>Výztuž ŽB desek z betonářské oceli 10505  (D1-D7)</t>
  </si>
  <si>
    <t>množství výztuže 120 kg/m3 betonu</t>
  </si>
  <si>
    <t>Výztuž stropů svařovanou sítí z drátů tažených</t>
  </si>
  <si>
    <t>svařovaná síť - drát 8,0 mm, oka 100 / 100 mm
- pódium míst. č.335</t>
  </si>
  <si>
    <t>Demontáž dř. trámového stropu</t>
  </si>
  <si>
    <t>včetně podhledu - strop nad 2.NP</t>
  </si>
  <si>
    <t>Dodatečné osazení válcovaných nosníků-průvlaky</t>
  </si>
  <si>
    <t>vč zazdívky zhlaví, ocelové nosníky ve specifikaci</t>
  </si>
  <si>
    <t>Dodatečné osazení válcovaných nosníků-průvlaky PŘEDPOKLAD</t>
  </si>
  <si>
    <t>1NP-JZ křídlo; bude upřesněno po odkrytí konstrukcí, ocelové nosníky ve specifikaci</t>
  </si>
  <si>
    <t>Zazdívka zhlaví dřev.strop.trámů průřezu do 400 cm2</t>
  </si>
  <si>
    <t>dřevěné trámy stropu nad 2NP</t>
  </si>
  <si>
    <t>Nosníky z betonu železového C 25/30, trámy T1--T4</t>
  </si>
  <si>
    <t>Bednění nosníků - zřízení  (T1-T4)</t>
  </si>
  <si>
    <t>Bednění nosníků - odstranění  (T1-T4)</t>
  </si>
  <si>
    <t>Podpěrná konstr.nosníků do 4 m,do 10 kPa - zřízení  (T1-T4)</t>
  </si>
  <si>
    <t>Podpěrná konstr.nosníků do 4 m,10 kPa - odstranění  (T1-T4)</t>
  </si>
  <si>
    <t>Výztuž nosníků z betonářské oceli 10505(R)  (T1-T4)</t>
  </si>
  <si>
    <t xml:space="preserve">množství výztuže 150kg/m3 betonu
</t>
  </si>
  <si>
    <t>Podhledy SDK, kovová.kce CD. 1x deska RB 12,5 mm</t>
  </si>
  <si>
    <t>Podhledy SDK, kovová.kce CD. 1x deska RBI 12,5 mm</t>
  </si>
  <si>
    <t>Podhledy SDK, kovová.kce CD. 1x deska protipožární  RF 15 mm</t>
  </si>
  <si>
    <t>vč.minerál.tepel.izolace tl.40mm a parozábrany; požární odolnost 30min</t>
  </si>
  <si>
    <t>Bednění schodišť. desky -zřízení (místn.č.143)</t>
  </si>
  <si>
    <t>Bednění schodišť. desky -odstranění (místn.č.143)</t>
  </si>
  <si>
    <t>Schodišťové konstrukce, železobeton C 16/20</t>
  </si>
  <si>
    <t>schodišť deska tl.120mm (místn.č.143)</t>
  </si>
  <si>
    <t>Nabetonování schodišťováích stupňů beton C 25/30-přímě schodiště</t>
  </si>
  <si>
    <t>profilované stupně (místn.č.104, 143)</t>
  </si>
  <si>
    <t>Výztuž schodišťových konstrukcí svařovanou sítí -schodišť.desla místn.č.143</t>
  </si>
  <si>
    <t>průměr drátu  8,0, oka 150/150 mm</t>
  </si>
  <si>
    <t>Výrobní dokumentace - ocelové schodiště 3NP-půda</t>
  </si>
  <si>
    <t>Schodiště z oceli včetně zábradlí, stupně z poroštů, konečná povrchová úprava žárovým zinkováním</t>
  </si>
  <si>
    <t>Hmotnost schodnic - 313kg
hmotnost pororoštů (stupně, podesty) - 207kg
hmotnost zábradlí - 66kg
11% přirážka spojovací materiál 63,4kg</t>
  </si>
  <si>
    <t>Schodiště na pódium 4st.150/250mm,ocel. nosná konstrukceí, dřev.stupnice a podstupnice (délka výstupní čáry 0,90m)</t>
  </si>
  <si>
    <t>schodiště na pódium</t>
  </si>
  <si>
    <t>Bednění stupňů přímočarých - zřízení</t>
  </si>
  <si>
    <t xml:space="preserve">profilováné stupně  (místn.č.104, 143)
</t>
  </si>
  <si>
    <t>Bednění stupňů přímočarých - odstranění</t>
  </si>
  <si>
    <t xml:space="preserve"> (místn.č.104, 143)</t>
  </si>
  <si>
    <t>Omítka sanační s minerálním lehkým plnivem, tloušťka vrstvy do 20 mm</t>
  </si>
  <si>
    <t>stěny 1PP</t>
  </si>
  <si>
    <t>Jádrová  sanační omítka  tl. do 20 mm s následným rozčesáním</t>
  </si>
  <si>
    <t>Štuk na stěnách sanační, ručně, tloušťka vrstvy do 3,0mm</t>
  </si>
  <si>
    <t>Plošný kotvící minerální postřik stěn sanační, síťovitě, 50-60 % pokrytí plochy</t>
  </si>
  <si>
    <t>postřik do tl.max 5mm, stěny 1PP</t>
  </si>
  <si>
    <t>Nástřik odsolovacím roztokem  (např." Esco - Fluat ")</t>
  </si>
  <si>
    <t>protisolná úprava, stěny 1PP</t>
  </si>
  <si>
    <t>Oprava váp.omítek stropů do 50% plochy - hrubých</t>
  </si>
  <si>
    <t>ŽB trámové stropy, podhledy schodišť ramen a podest</t>
  </si>
  <si>
    <t>Úprava stropů aktivovaným štukem tl. 2 - 3 mm</t>
  </si>
  <si>
    <t>Hrubá výplň rýh ve stěnách maltou-PŘEDPOKLAD</t>
  </si>
  <si>
    <t>vnitřní instalace samostatně - zednické výpomoci</t>
  </si>
  <si>
    <t>Oprava vápen.omítek stěn do 50 % pl. - hrubých</t>
  </si>
  <si>
    <t>stávající zdivo</t>
  </si>
  <si>
    <t>Omítka vnitřní zdiva, MVC, hrubá</t>
  </si>
  <si>
    <t>nová zdivo</t>
  </si>
  <si>
    <t>Omítka vnitřní zdiva, MVC, hladká</t>
  </si>
  <si>
    <t>obklady stávající a nové zdivo</t>
  </si>
  <si>
    <t>Úprava vnitřních stěn aktivovaným štukem</t>
  </si>
  <si>
    <t>stávající a nové omítky</t>
  </si>
  <si>
    <t>Potažení válc.nosníků rabic.pletivem a postřik MC</t>
  </si>
  <si>
    <t>Omítka vnitřní výtahové šachty, MVC, štuková</t>
  </si>
  <si>
    <t>Řezání cihelného zdiva hl. řezu 50 mm-nuta v horní a spodní úrovni obkladů stávajících stěn 1PP</t>
  </si>
  <si>
    <t>Očištění zdí  rýžovým kartáčem po aplikaci odsolení</t>
  </si>
  <si>
    <t>Dod.+mont. zatepl.syst.ETICS, komplet vč.kovových profilů výztužné tkaniny  a povrchové úpravy omítkou silikonovou</t>
  </si>
  <si>
    <t>tepel. izol.- šedý polystyren s grafitem EPS NEO tl.140 mm; povrchová úprava-probarvená pastovitá silikonová omítka slož.3-4 (velikost zrna 1,5mm) (odstíny barev dle stávajících)</t>
  </si>
  <si>
    <t>Dod.+mont.zatepl.syst.ETICS, komplet vč.kovových profilů zakončený stěrkou s výztužnou tkaninou</t>
  </si>
  <si>
    <t>tepel. izol.- šedý polystyren s grafitem EPS NEO tl.140 mm</t>
  </si>
  <si>
    <t>Dod.+mont. zatepl.syst.ETICS, komplet vč.kovových profilů výztužné tkaniny  a povrchové úpravy omítkou silikonovou  - ostění</t>
  </si>
  <si>
    <t>tepel. izol.- šedý polystyren s grafitem EPS NEO tl. 30 mm</t>
  </si>
  <si>
    <t>Dod.+mont.zatepl.syst.ETICS, komplet vč.kovových profilů zakončený stěrkou s výztužnou tkanino - ostění</t>
  </si>
  <si>
    <t>Oprava vnějších omítek štukových, čl. III, do 30 %</t>
  </si>
  <si>
    <t>Oprava omítek z uměl. kamene,opracovaných do 30 %</t>
  </si>
  <si>
    <t>říms, parapety</t>
  </si>
  <si>
    <t>Omítka vněj. stěn tenkovrstvou probarvenou pastovitou silikonovou omítkou slož.3-4 (velikost zrna 1,5mm)</t>
  </si>
  <si>
    <t>vč penetrace; dvě barvy dle stávajících odstínů fasády</t>
  </si>
  <si>
    <t>Očištění fasády před opravou, ručně</t>
  </si>
  <si>
    <t>Spárování maltou MCs zapuštěné rovné, zdí z cihel</t>
  </si>
  <si>
    <t>nadstřešní část nového komín</t>
  </si>
  <si>
    <t>Mazanina betonová tl. 5 - 8 cm C 8/10</t>
  </si>
  <si>
    <t xml:space="preserve">jalový beton pod základy a podkladní betonovou mazaninu - tl.50mm
</t>
  </si>
  <si>
    <t>Mazanina betonová tl. 5 - 8 cm C 16/20</t>
  </si>
  <si>
    <t>vyrovnávací beton.mazaniny, kari síť 4,0mm, 100/100mm ve specifikaci</t>
  </si>
  <si>
    <t>Mazanina betonová tl. 5 - 8 cm C 25/30</t>
  </si>
  <si>
    <t>zasílení stropů kari síť 6,0mm, 150/150mm ve specifikaci</t>
  </si>
  <si>
    <t>Mazanina betonová tl. 8 - 12 cm C 16/20</t>
  </si>
  <si>
    <t>podkladní betonová mazanina tl.100mm, kari síť 6,0mm, 150/150mm ve specifikaci</t>
  </si>
  <si>
    <t>Mazanina betonová tl. 8 - 12 cm C 25/30</t>
  </si>
  <si>
    <t>zesíkení stropů, kari síť 6,0mm, 150/150mm ve specifikaci</t>
  </si>
  <si>
    <t>Povrchový vsyp na betonové podlahy strojně hlazený</t>
  </si>
  <si>
    <t>vč dodávky vsypu (podlahy opatřené epoxidovým nátěrem)</t>
  </si>
  <si>
    <t>Řezání dilatační spáry hl.do 50 mm, šířka do 5,0mm</t>
  </si>
  <si>
    <t>Výztuž mazanin svařovanou sítí - vyrovnávací beton.mazaniny</t>
  </si>
  <si>
    <t>průměr drátu  4,0, oka 100/100 mm</t>
  </si>
  <si>
    <t>Výztuž mazanin svařovanou sítí - podkl.beton mazanina, zasílení strop.desky</t>
  </si>
  <si>
    <t>průměr drátu  6,0, oka 150/150 mm</t>
  </si>
  <si>
    <t>Násyp pod podlahy z Liaporu 4-8mm</t>
  </si>
  <si>
    <t>Dod.+mont. samonivelač. stěrka tl.4 mm</t>
  </si>
  <si>
    <t>včetně přebroušení</t>
  </si>
  <si>
    <t>Zaplnění dilatačních spár mazanin, šířka do 10 mm</t>
  </si>
  <si>
    <t>Zárubeň ocelová ZH 110/1250/900 L, P - atyp (světlá výška dveří 1250mm)</t>
  </si>
  <si>
    <t>Zárubeň ocelová 110/1970/800  - posuvné dveře do pouzdra</t>
  </si>
  <si>
    <t>Zárubeň ocelová ZH 110/1970/600 L, P</t>
  </si>
  <si>
    <t>Zárubeň ocelová ZH 110/1970/700 L, P</t>
  </si>
  <si>
    <t>Zárubeň ocelová ZH 110/1970/800 L, P</t>
  </si>
  <si>
    <t>Zárubeň ocelová ZH 110/1970/900 L, P</t>
  </si>
  <si>
    <t>Zárubeň ocelová ZH 110/1970/900 L, P, EI, EW 30</t>
  </si>
  <si>
    <t>Zárubeň ocelová ZH 110/1970/1100 L, P, EI, EW 30</t>
  </si>
  <si>
    <t>Zárubeň ocelová ATYP 110/1970/1800 D</t>
  </si>
  <si>
    <t>Zárubeň ocelová ZH 145/1970/600 L, P</t>
  </si>
  <si>
    <t>Zárubeň ocelová ZH 145/1970/700 L, P</t>
  </si>
  <si>
    <t>Zárubeň ocelová ZH 145/1970/800 L, P</t>
  </si>
  <si>
    <t>Zárubeň ocelová ZH 145/1970/800 L, P, EI, EW 30</t>
  </si>
  <si>
    <t>Zárubeň ocelová ZH 145/1970/900 L, P</t>
  </si>
  <si>
    <t>Zárubeň ocelová ZH 145/1970/1100 L, P</t>
  </si>
  <si>
    <t>Zárubeň ocelová ZH 145/1970/1100 L, P, EI, EW 30</t>
  </si>
  <si>
    <t>Zárubeň ocelová pro posuvné dveře 110/1970/600 l, P vč.vodící kolejnice, dorazů, krycí garnýže , posuvných vozíků a vodícího čepu</t>
  </si>
  <si>
    <t>Zárubeň ocelová pro posuvné dveře 110/1970/900 l, P vč.vodící kolejnice, dorazů, krycí garnýže , posuvných vozíků a vodícího čepu</t>
  </si>
  <si>
    <t>Zárubeň ocelová pro posuvné dveře 110/1970/1600 l, P vč.vodící kolejnice, dorazů, krycí garnýže , posuvných vozíků a vodícího čepu</t>
  </si>
  <si>
    <t>Dod.+mont. pouzdro pro posuvné dveře jednostranné, do zdiva</t>
  </si>
  <si>
    <t>jednostranné pouzdro 800/1970 mm</t>
  </si>
  <si>
    <t>Osazení zárubní dveřních ocelových, pl. do 2,5 m2</t>
  </si>
  <si>
    <t>dveře otočné a posuvné na stěnu</t>
  </si>
  <si>
    <t>Osazení zárubní dveřních ocelových, pl. do 4,5 m2</t>
  </si>
  <si>
    <t>Osazení ocelových zárubní   dveří do pouzdra do 2,5 m2</t>
  </si>
  <si>
    <t>HZS -stavební práce  - skutečně provedené práce nutno odsouhlasit investorem ve stavebním deníku</t>
  </si>
  <si>
    <t>skryté konstrukce, neměřitelné práce spojené se stavebními úpravami</t>
  </si>
  <si>
    <t>Montáž lešení leh.řad.s podlahami,š.1,2 m, H 30 m</t>
  </si>
  <si>
    <t>Příplatek za každý měsíc použití lešení k pol.1042</t>
  </si>
  <si>
    <t>celkem 2 měsíce</t>
  </si>
  <si>
    <t>Demontáž lešení leh.řad.s podlahami,š.1,2 m,H 30 m</t>
  </si>
  <si>
    <t>Lešení lehké pomocné, výška podlahy do 1,2 m</t>
  </si>
  <si>
    <t>Lešení lehké pomocné, výška podlahy do 1,9 m</t>
  </si>
  <si>
    <t>Lešení lehké pomocné, výška podlahy do 3,5 m</t>
  </si>
  <si>
    <t>Vyčištění budov o výšce podlaží do 4 m</t>
  </si>
  <si>
    <t>Dod.+mont obklad VZT potrubí ,3str., 1x RF tl.15</t>
  </si>
  <si>
    <t>deska protipožární, vč.minerální izolace tl.40mm; 2NP-m.č.304</t>
  </si>
  <si>
    <t>Dod.+mont obklad ocel.nosníků ,3str., 1x RF tl.15 (R30)</t>
  </si>
  <si>
    <t>deska protipožární, vč.minerální izolace tl.40mm; 3NP- průvkak 2xUč.16 průřezu 545x160mm,</t>
  </si>
  <si>
    <t>Dod.+mont obklad ocel.nosníků, 2x RF tl.12,5 (R45)</t>
  </si>
  <si>
    <t>protipožární desky, vč.minerální izolace tl.40mm (objemová hmotnost izolace 40kg/m3)</t>
  </si>
  <si>
    <t>Dod.+mont.protipožární obklad ocel.nosníků,3str.a 2str ,2x RF tl.15 mm (R60) -obklad ocel nosníků 1PP-depozitář</t>
  </si>
  <si>
    <t>protipožární desky, vč.minerální izolace tl.40mm  (objemová hmotnost izolace 40kg/m3)</t>
  </si>
  <si>
    <t>HZS - skutečně provedené práce nutno odsouhlasit investorem ve stavebním deníku</t>
  </si>
  <si>
    <t>Bourání drobných beton, žel.bet. a kovových konstrukcí a ostatní neměřitelné práce spojené s bouráním a přípravou konstrukcí pro nový stav</t>
  </si>
  <si>
    <t>Bourání základů z betonu prostého</t>
  </si>
  <si>
    <t>Bourání zdiva nadzákladového smíšeného na MVC</t>
  </si>
  <si>
    <t>Bourání příček cihelných tl. 10 cm</t>
  </si>
  <si>
    <t>Bourání příček cihelných tl. 15 cm</t>
  </si>
  <si>
    <t>Bourání příček z tvárnic tl. 5 cm</t>
  </si>
  <si>
    <t>Bourání zdiva z cihel pálených na MVC</t>
  </si>
  <si>
    <t>Bourání zdiva nadzákladového z betonu prostého</t>
  </si>
  <si>
    <t>Bourání výplní otvorů ze skleněných tvárnic tl. do15 cm</t>
  </si>
  <si>
    <t>Bourání komínů z cihel se dvěma průduchy</t>
  </si>
  <si>
    <t>Bourání schodišťových stupňů betonových</t>
  </si>
  <si>
    <t>schodiště 3NP-půda</t>
  </si>
  <si>
    <t>Bourání ŽB schodišťových ramen samonosných</t>
  </si>
  <si>
    <t>Bourání mazanin škvárobet.tl. do 10 cm, nad 4 m2</t>
  </si>
  <si>
    <t>sbíječka</t>
  </si>
  <si>
    <t>Bourání mazanin betonových tl. do 10 cm, nad 4 m2 (vyrovnávací beton.mazanina tl.60mm</t>
  </si>
  <si>
    <t>sbíječka , vyrovnávací beton.mazaniny tl.60mm</t>
  </si>
  <si>
    <t>Bourání mazanin betonových tl. do 10 cm, nad 4 m2</t>
  </si>
  <si>
    <t>sbíječka ,podkladní beton.mazanina tl.80mm</t>
  </si>
  <si>
    <t>Bourání podkladů bet.+lité teraco, tl, 10 cm, pl. 1 m2</t>
  </si>
  <si>
    <t>mazanina tl. 5 - 8 cm s teracem</t>
  </si>
  <si>
    <t>Bourání podkladů bet.,+ potěr tl. do 10 cm, nad 4 m2</t>
  </si>
  <si>
    <t>sbíječka; vyrovnávací beton. mazanina + potěr tl.80mm</t>
  </si>
  <si>
    <t>Bourání dlažeb z dlaždic půdních plochy do 1 m2</t>
  </si>
  <si>
    <t>trámky pod VZT jednotky na půdě</t>
  </si>
  <si>
    <t>Bourání dlaždic keramických tl. do 1 cm, nad 1 m2</t>
  </si>
  <si>
    <t>sbíječka dlaždice keramické vč. maltového lože</t>
  </si>
  <si>
    <t>Bourání dlaždic teracových, betonových a keramických tl. nad 1 cm, nad 1 m2</t>
  </si>
  <si>
    <t>Odstranění násypu tl. do 10 cm, plocha nad 2 m2</t>
  </si>
  <si>
    <t>Odstranění násypu tl. do 20 cm, plocha nad 2 m2</t>
  </si>
  <si>
    <t>Odstranění doplňkových konstrukcí do 50 kg</t>
  </si>
  <si>
    <t>ochranné mříže oken 1PP</t>
  </si>
  <si>
    <t>Přisekání plošné zdiva cihelného na MVC tl. do 15 cm</t>
  </si>
  <si>
    <t>Vyvěšení dřevěných okenních křídel pl. do 1,5 m2</t>
  </si>
  <si>
    <t>Vyvěšení dřevěných okenních křídel pl. nad 1,5 m2</t>
  </si>
  <si>
    <t>Vyvěšení dřevěných dveřních křídel pl. do 2 m2, vč. odstr. prahu</t>
  </si>
  <si>
    <t>Vyvěšení dřevěných dveřních křídel pl. nad 2 m2, vč. odstr. prahu</t>
  </si>
  <si>
    <t>Vyvěšení dřevěných dveřních křídel pl. nad 2 m2</t>
  </si>
  <si>
    <t>Vybourání dřevěných rámů oken jednoduch. pl. 1 m2</t>
  </si>
  <si>
    <t>Vybourání dřevěných rámů oken dvojitých pl. 1 m2</t>
  </si>
  <si>
    <t>Vybourání dřevěných rámů oken dvojitých pl. 2 m2</t>
  </si>
  <si>
    <t>Vybourání dřevěných rámů oken dvojitých pl. 4 m2</t>
  </si>
  <si>
    <t>Vybourání dřevěných rámů oken dvojitých nad  4 m2</t>
  </si>
  <si>
    <t>Vybourání dřevěných dveřních zárubní pl. do 2 m2</t>
  </si>
  <si>
    <t>Vybourání dřevěných dveřních zárubní pl. nad 2 m2 vč. bočních světlíků</t>
  </si>
  <si>
    <t>Vybourání dřevěných dveřních zárubní pl. nad 2 m2</t>
  </si>
  <si>
    <t>Vyvěšení, zavěšení kovových křídel oken pl. do 1,5 m2</t>
  </si>
  <si>
    <t>Vyvěšení, zavěšení kovových křídel dveří pl. do 2 m2</t>
  </si>
  <si>
    <t>Vyvěšení,  kovových křídel dveří pl. do 2 m2</t>
  </si>
  <si>
    <t>Vyvěšení, zavěšení kovových křídel dveří nad 2 m2</t>
  </si>
  <si>
    <t>Vyvěšení, kovových křídel dveří nad 2 m2</t>
  </si>
  <si>
    <t>Vybourání kovových dveřních zárubní pl. do 2 m2</t>
  </si>
  <si>
    <t>Vybourání kovových dveřních zárubní pl. nad 2 m2</t>
  </si>
  <si>
    <t>Vybourání otv. zeď cihel. pl.0,25 m2, tl.do 30cm, MVC</t>
  </si>
  <si>
    <t>otvory pro zaústění  potrubí VZT jednotek do stávajících komínů (Z-1-4ks, Z-2 -2ks)</t>
  </si>
  <si>
    <t>Vybourání otv. zeď cihel. pl.4 m2, tl. do 90 cm, MVC</t>
  </si>
  <si>
    <t>Vybourání otvorů ve zdivu cihelném</t>
  </si>
  <si>
    <t>tloušťka 30 cm</t>
  </si>
  <si>
    <t>Vybourání otv. stropy ŽB pl. nad 4 m2, do tl. 8 cm</t>
  </si>
  <si>
    <t xml:space="preserve">-pro výtahovou šachtu nad 1.NP
</t>
  </si>
  <si>
    <t>Vybourání otv. stropy ŽB pl. nad 4 m2, tl. nad 8 cm</t>
  </si>
  <si>
    <t xml:space="preserve">-pro výtahovou šachtu nad 1.PP
</t>
  </si>
  <si>
    <t>Vybourání otvoru  430/630 mm v dřevěném stropu  nad 3NP -VZT3.2</t>
  </si>
  <si>
    <t>vč likvidace siti, (cihelné půdovky, násyo, dř.záklop, dřevěné podbití, vápenná omítka)</t>
  </si>
  <si>
    <t>Vysekání výklenků zeď cihel. MVC, pl. nad 0,25 m2</t>
  </si>
  <si>
    <t>- pro podomítnové závěsné WC nádrže</t>
  </si>
  <si>
    <t>Vysekání kapes zeď cihel. MVC, pl. do 0,1m2, hl. do 30cm</t>
  </si>
  <si>
    <t>-</t>
  </si>
  <si>
    <t>Vysekání kapes pro zavázání příček tl. do 10 cm, MVC</t>
  </si>
  <si>
    <t>Vysekání kapes pro zavázání příček tl. do 15 cm, MVC</t>
  </si>
  <si>
    <t>Vysekání kapes pro zavázání zdí tl. do 30 cm, MVC</t>
  </si>
  <si>
    <t>Vysekání kapes pro zavázání zdí tl. nad 60 cm, MVC</t>
  </si>
  <si>
    <t>Vysekání rýh zeď cihelná průduchy 30 x 45 cm</t>
  </si>
  <si>
    <t>Vysekání rýh zeď cihel. průduchy přes strop 30 x 45 cm</t>
  </si>
  <si>
    <t>Vysekání rýh zeď cihelná vtah. nosníků a překladů 15 x 15 cm</t>
  </si>
  <si>
    <t>Vysekání rýh zeď cihelná vtah. nosníků a překladů 15 x 25 cm</t>
  </si>
  <si>
    <t>Vysekání rýh zeď cihelná vtah. nosníků a překladů15 x 35 cm</t>
  </si>
  <si>
    <t>Vysekání rýh zeď cihelná vtah. nosníků a překladů 15 x 45 cm</t>
  </si>
  <si>
    <t>Otlučení omítek vnitřních stěn v rozsahu do 50 %</t>
  </si>
  <si>
    <t>Otlučení omítek vnitřních stěn v rozsahu do 100 %</t>
  </si>
  <si>
    <t>Otlučení omítek vnějších MVC v složit.1-4 do 30 %</t>
  </si>
  <si>
    <t>Odsekání stáv mramor obkladů stěn k dalšímu použití</t>
  </si>
  <si>
    <t>vstupní prostory</t>
  </si>
  <si>
    <t>Odsekání vnitřních obkladů stěn nad 2 m2</t>
  </si>
  <si>
    <t>Svislá doprava suti a vybouraných hmot shozem</t>
  </si>
  <si>
    <t>Montáž a demontáž shozu za 2.NP</t>
  </si>
  <si>
    <t>Přípl. k mont.a dem. shozu za 3.NP</t>
  </si>
  <si>
    <t>Svislé přemístění suti nošením na H do 3,5 m</t>
  </si>
  <si>
    <t>Svislé přemístění vyb. hmot nošením na H do 3,5 m</t>
  </si>
  <si>
    <t>Příplatek k přemístění vyb.hmot za dalších H 3,5 m</t>
  </si>
  <si>
    <t>Odvoz suti a vybour. hmot na skládku do 1 km</t>
  </si>
  <si>
    <t>Včetně naložení na dopravní prostředek a složení na skládce, bez poplatku za skládku.</t>
  </si>
  <si>
    <t>Příplatek k odvozu za každý další 1 km 7x, celkem 8km</t>
  </si>
  <si>
    <t>Vnitrostaveništní doprava suti do 10 m</t>
  </si>
  <si>
    <t>Příplatek k vnitrost. dopravě suti za dalších 5 m (8x)</t>
  </si>
  <si>
    <t>celkem do 50m</t>
  </si>
  <si>
    <t>Poplatek za skládku stavební suti</t>
  </si>
  <si>
    <t>Lak asfaltový izolační ALP-M/S sud nevratný</t>
  </si>
  <si>
    <t>Těžký hydroizolační asfalt pás z modifikovaného asfaltu SBS s vložkou ze skelné tkaniny- min.tl. pásu 4,mm (ztratné 15%)</t>
  </si>
  <si>
    <t>Izolace proti vlhkosti. vodorovná pásy přitavením</t>
  </si>
  <si>
    <t>2 vrstvy - materiál ve specifikaci</t>
  </si>
  <si>
    <t>Izolace proti vlhkosti svislá pásy přitavením</t>
  </si>
  <si>
    <t>Dod.+mont.stěrkové hydroizolační těsnící hmoty proti vlhkosti -svislá; min.tl.izolace 2mm</t>
  </si>
  <si>
    <t>zhotovení hydroizolační vrstvy na stěně sprch. koutů , aplikace pomocí válečku nebo hladké stěrky</t>
  </si>
  <si>
    <t>Dod.+mont.stěrkové hydroizolační těsnící hmoty proti vlhkosti -vodorovná; min.tl.izolace 2mm</t>
  </si>
  <si>
    <t>podlahy sprch</t>
  </si>
  <si>
    <t>Dod.+mont.hydroizolační povlak - 2x bitumenová stěrka proti tlak.vodě,min.tl.2,5mm</t>
  </si>
  <si>
    <t>Přechodová úprava pro návaznost dodatečných asfalt.svislých a vodorovných izolací na dodatečné izolace mechanickým podřezáním, v  pásu výšky 30cm.</t>
  </si>
  <si>
    <t>Hydroizolační povlak( balkón m.č. 303) - 2x stěrka vyztužená armovací tkaninou tl.min.4,mm</t>
  </si>
  <si>
    <t>vytaženo min.100mm na svislé stěny</t>
  </si>
  <si>
    <t>Těsnící pás do spoje podlaha - stěna, stěna-stěna</t>
  </si>
  <si>
    <t>hydroizolace hygien.zařízení vč.vnitřních a vnějších rohů</t>
  </si>
  <si>
    <t>Izolace tlak. voda, vodor. za stud. nátěr asf.lak</t>
  </si>
  <si>
    <t>Izolace, tlak. voda, svis. za stud. nátěr asf. lak</t>
  </si>
  <si>
    <t>Dod.+mont nopové fólie svislá-ochrana rubové izolace</t>
  </si>
  <si>
    <t>vč dodávky nopové fólie s geotextílií a kluznou vrstvou</t>
  </si>
  <si>
    <t>Dod.+mont ukončovací lišty k nopové fólii</t>
  </si>
  <si>
    <t>včetně dodávky lišty</t>
  </si>
  <si>
    <t>HZS  - skutečně provedené práce nutno odsouhlasit investorem ve stavebním deníku</t>
  </si>
  <si>
    <t>dořešení sanačních detailů a neměřitelné práce (sanační úpravy skrytých kcí, zakrývání aj.)</t>
  </si>
  <si>
    <t>Pásek dilatační okrajový EPS nebo PE š. 80mm tl. min.8mm</t>
  </si>
  <si>
    <t>Deska polystyrén EPS 150 S tl.80mm a 50mm</t>
  </si>
  <si>
    <t>Deska izolační polystyrenová PERIMETER tl. 80 mm</t>
  </si>
  <si>
    <t>Deska polystyren. EPS 200 S  ( deklarovaný max.souč.tepel.vodivosti = 0,034W/mK)</t>
  </si>
  <si>
    <t>Deska izolační kročejová EPS max.zatížení 5,0kN/m2, tl. 30</t>
  </si>
  <si>
    <t>Deska izolační kročejová EPS max.zatížení 5,0kN/m2, tl. 40</t>
  </si>
  <si>
    <t>Izolační pás z minerální vlny tl.  50 mm</t>
  </si>
  <si>
    <t>Izolační pás z minerální vlny tl.  100 mm</t>
  </si>
  <si>
    <t>Tepel.izol.-kašírovaný  pás z minerálních vláken tl. 140mm ( deklarovaný souč.tepel.vodivosti = 0,039W/mK)</t>
  </si>
  <si>
    <t>Tepel.izol.-kašírovaný  pás z minerálních vláken tl. 160mm ( deklarovaný souč.tepel.vodivosti = 0,039W/mK)</t>
  </si>
  <si>
    <t>Izolace tepelné stropů, spodem vložené na profily SDK podhledů</t>
  </si>
  <si>
    <t>Dod.+mont parozábrany podl.půda s , přelep. spojů a napojením na půdní nadezdívku</t>
  </si>
  <si>
    <t>vč dodávky parozábrany</t>
  </si>
  <si>
    <t>Izolace tepelná podlah na sucho, jednovrstvá</t>
  </si>
  <si>
    <t>Montáž dilatačního pásku podél stěn</t>
  </si>
  <si>
    <t>Mont.izolace tepelná podlah na sucho, dvouvrstvá -podlaha půda a podlahy na terénu 1PP, 1NP</t>
  </si>
  <si>
    <t>Izolace tepelná stěn vložením do konstrukce-ochrana svislé hydroizolace</t>
  </si>
  <si>
    <t>rubová izolace obvod.stěn, výtahová šachta</t>
  </si>
  <si>
    <t>Izolace tepelná stěn vložením do konstrukce-JZ křídlo-sousední objekt (místnč.150)</t>
  </si>
  <si>
    <t>izolace tl.50a 100mm ve specifikaci</t>
  </si>
  <si>
    <t>Dod.+mont separační PE fólie</t>
  </si>
  <si>
    <t>včetně dodávky fólie PE</t>
  </si>
  <si>
    <t>Izolace tepelné překrytím asfalt.lepenkou typu V13 s nenásákavou vložkou ze skelné rohože</t>
  </si>
  <si>
    <t>vč dodávkay lepenky</t>
  </si>
  <si>
    <t>Fošna SM I.jak tl. 30 mm dl. 3-5 m š. 100-250 mm (ztratné 8%)</t>
  </si>
  <si>
    <t>Hranol SM/JD 1 10x12, 14, 16 cm (ztratné 8%)</t>
  </si>
  <si>
    <t>Řezivo - fošny, hranoly - průřezu do 288 cm2 (trámy strop nad 2NP)</t>
  </si>
  <si>
    <t>Deska dřevoštěpková OSB 3 N - 4PD tl. 25 mm</t>
  </si>
  <si>
    <t>Demontáž stěn z hranolků, fošen nebo latí</t>
  </si>
  <si>
    <t>- schodišťová stěna ,,krček´´</t>
  </si>
  <si>
    <t>Demontáž konstrukcí z hranolů do 224 cm2</t>
  </si>
  <si>
    <t>- přístřešek dvůr</t>
  </si>
  <si>
    <t>Položení desek OSB na pero a drážku</t>
  </si>
  <si>
    <t>zasílení stávajícího záklopu pod SDK příčky ve 3NP</t>
  </si>
  <si>
    <t>Položení záklopu z OSB desek na pero a drážku</t>
  </si>
  <si>
    <t>záklop nových stropů nad 2NP</t>
  </si>
  <si>
    <t>Položení podlah nehoblovaných na sraz, hrubé fošny</t>
  </si>
  <si>
    <t>pochozí lávka půda</t>
  </si>
  <si>
    <t>Demontáž podlah s polštáři z prken tl. do 32 mm</t>
  </si>
  <si>
    <t>Položení polštářů tloušťky do 100 mm vč.dodávky řeziva</t>
  </si>
  <si>
    <t>fošna 40/150mm (prahy pod SDV příčky 3NP)</t>
  </si>
  <si>
    <t>Položení polštářů tloušťky do 160 mm vč. nastavení, příložek a podkladků</t>
  </si>
  <si>
    <t>dodávka řeziva ve specifikaci (pochozí lávka půda)</t>
  </si>
  <si>
    <t>Spojovací a ochranné prostředky k položení podlah</t>
  </si>
  <si>
    <t>Demontáž dř. stupňů z hoblovaných prken</t>
  </si>
  <si>
    <t>- stupně (katedrové) ve třídách</t>
  </si>
  <si>
    <t>Demontáž záklopů z hoblovaných prken tl. do 3,2 cm</t>
  </si>
  <si>
    <t>-přístřešek dvůr</t>
  </si>
  <si>
    <t>Dod+mont. zabednění částí v záklopu z prken pl.do 4 m2</t>
  </si>
  <si>
    <t>prkna tl. 24 mm- doplnění bednění střechy po vybouraném komínu</t>
  </si>
  <si>
    <t>Montáž stropnic hraněných pl. do 288 cm2</t>
  </si>
  <si>
    <t>strop nad 2NP</t>
  </si>
  <si>
    <t>Montáž stropnic hraněných pl. do 288 cm2-roznášecí trámky pod rámy rekuperačních jednotek</t>
  </si>
  <si>
    <t>včetně dodávky řeziva, hranoly 10/14</t>
  </si>
  <si>
    <t>Demontáž dřevěného schodiště</t>
  </si>
  <si>
    <t>Zpětná montáž žlabů podokapních půlkruhových</t>
  </si>
  <si>
    <t>Dod.+mont. krytina hladká z  Al šablon do 0,5 m2, do 45°</t>
  </si>
  <si>
    <t>úprava krytivy v místě vyústění VZT vč.demontáže stávající krytiny a vytvoření prostupu střechou</t>
  </si>
  <si>
    <t>doplnění krytiny v místě bouraného komína vč demontáže stávající krytiny</t>
  </si>
  <si>
    <t>Demontáž oplechování říms, do rš 500 mm</t>
  </si>
  <si>
    <t>Demontáž oplechování balkón.zábradlí, vstup.portál, rš 500-750 mm</t>
  </si>
  <si>
    <t>balkón.zábradlí, vstup.portál</t>
  </si>
  <si>
    <t>Dod.+mont. lemování zdí vč.rohů z poplastovaného plechu tl.0,6mm , krytina z trapéz polykarbonátu, rš 500 mm -K5</t>
  </si>
  <si>
    <t>odstín antracit</t>
  </si>
  <si>
    <t>Lemování komínů z Al plechu,  na hladké krytině, v ploše</t>
  </si>
  <si>
    <t>Dod.+mont.oplechování říms vč.rohů z poplast plechu - K1, rš 300mm</t>
  </si>
  <si>
    <t>vč.pozink.podkladního plechu min.tl.0,8mm, přesná specifikace viz výpis klempířských výrobků</t>
  </si>
  <si>
    <t>Dod.+mont.oplechování říms vč.rohů z poplast plechu - K2, rš 500 mm</t>
  </si>
  <si>
    <t>Dod.+mont.oplechování vstup portálu a balkón.zábradlí vč.rohů z poplast plechu - K3, rš 700 mm</t>
  </si>
  <si>
    <t>Demontáž svodů kruhových,D 150 mm ke zpětnému použití</t>
  </si>
  <si>
    <t>vč kolen</t>
  </si>
  <si>
    <t>Zpětná montáž svodů, kruhové, D 160 mm</t>
  </si>
  <si>
    <t>Zpětná montáž kolen svodů kruhových</t>
  </si>
  <si>
    <t>Kotlík žlabový zpětná montáž</t>
  </si>
  <si>
    <t>Dod+mont - střešní výlez rozměr 600x600 mm</t>
  </si>
  <si>
    <t>dodatečná montáž vč.přípravy otvoru v bednění a oplechování výlezu</t>
  </si>
  <si>
    <t>Dod.+mont komínek odvětrávací, DN 110 mm-plast, šedá barva vč úpravy okolní krytiny</t>
  </si>
  <si>
    <t>alternativa hliníkový plech</t>
  </si>
  <si>
    <t>Demontáž podokapních žlabů půlkruhových ke zpětnému použití</t>
  </si>
  <si>
    <t>z plechu pozinkovaného</t>
  </si>
  <si>
    <t>Dod.+mont. krytina polykarbonátová, trapéz 76/18, na ocel</t>
  </si>
  <si>
    <t>odstín bronz</t>
  </si>
  <si>
    <t>Dod.+mont.profilové těsnění pro krytinu trapéz 76/18</t>
  </si>
  <si>
    <t>Dveře vnitřní,  plné s otočným křídlem 90x125cm , požární odolnost EW30 DP3 (ATYP)- T011</t>
  </si>
  <si>
    <t>přesná specifikace viz výpis výplní otvorů; vč.doplňků</t>
  </si>
  <si>
    <t>Kuchyňská linka dl. pracovní plochy2,3m+závěsné horní skříňky - T1, D+M</t>
  </si>
  <si>
    <t xml:space="preserve">přesná specifikace viz výpis truhlář.výrobků; 
cenu a typ spotřebičů uvést samostatně:
sklokeram.dvouplotýnka
mikrovlná trouba
vestavná podpultová lednice
odsavač par
nerezový dřez
</t>
  </si>
  <si>
    <t>Kuchyňská linka dl. pracovní plochy 1,8m+závěsné horní skříňky - T2, D+M</t>
  </si>
  <si>
    <t>přesná specifikace viz výpis truhlář.výrobků; 
cenu a typ spotřebičů uvést samostatně:
vestavná podpultová lednice
nerezový dřez</t>
  </si>
  <si>
    <t>Dod.+mont.schodišť.madel dřevěných - masiv dub</t>
  </si>
  <si>
    <t>vč kotevních prvků a konečné povrchové úpravy přírodními vosky a oleji</t>
  </si>
  <si>
    <t>Dveře vnitřní, posuvné do pozdra plné 80x197cm - T118</t>
  </si>
  <si>
    <t>Dod.+mont vnitřní prosklená stěna, bezrámové provedení, 1,50x3,43m  - T120</t>
  </si>
  <si>
    <t>Dod.+mont vnitřní prosklená stěna, bezrámové provedení, 1,50x3,43m  - T121</t>
  </si>
  <si>
    <t>Dod.+mont.vnitřní prosklená stěna, bezrámové provedení  3,36x 3,43m  - T122</t>
  </si>
  <si>
    <t>Dod.+mont.vnitřní prosklená stěna , bezrámové provedení, 2,47x3,28 m  - T123</t>
  </si>
  <si>
    <t>Dod.+mont.vnitřní prosklená stěna, bezrámové provedení, 2,24x3,45m - T124</t>
  </si>
  <si>
    <t>Dod.+mont.vnitřní prosklená stěna, bezrámové provedení 2,47x3,28m  - T125</t>
  </si>
  <si>
    <t>Dod.+mont vnitřní prosklená stěna, bezrámové provedení, 2,67x2,51m  - T147</t>
  </si>
  <si>
    <t>Dod.+mont.vnitřní prosklená stěna, bezrámové provedení 2,47x2,30m  - T219</t>
  </si>
  <si>
    <t>Dveře vnitřní dvoukřídl. posuvné na stěnu1600x197cm -T334</t>
  </si>
  <si>
    <t>Dveře vnitřní dvoukřídl., otočné 180x230cm -T211, T339</t>
  </si>
  <si>
    <t>Dveře vnitřní,  plné s otočným křídlem 60x197cm - T313, T330</t>
  </si>
  <si>
    <t>Dveře vnitřní,  plné s otočným křídlem 60x197cm - T119, T154, T314, T342, T343</t>
  </si>
  <si>
    <t>Dveře vnitřní posuvné na stěnu 60x197cm -T315</t>
  </si>
  <si>
    <t>Dveře vnitřní,  plné s otočným křídlem 70x197cm - T022,T026,T132, T133,T153,T155,T213-215,T221,T226,T227, T322,T328,T335,T344</t>
  </si>
  <si>
    <t>Dveře vnitřní,  plné s otočným křídlem 70x197cm - T151</t>
  </si>
  <si>
    <t>Dveře vnitřní,  plné s otočným křídlem 70x197cm - T127</t>
  </si>
  <si>
    <t>Dveře vnitřní,  plné s otočným křídlem 80x197cm- T021,T025,T126,T135,T136, T138,T139,T141,T142,T144,T146,T148,T216,T217,T220,T228,T321,T345,T346</t>
  </si>
  <si>
    <t>Dveře vnitřní,  plné s otočným křídlem 80x197cm- T152, T336,T337</t>
  </si>
  <si>
    <t>Dveře vnitřní,  plné otočné křídlo 800x197cm, protipožární (EW30 DP3) - T340, T341</t>
  </si>
  <si>
    <t>Dveře vnitřní posuvné na stěnu 90x197cm -T333</t>
  </si>
  <si>
    <t>Dveře vnitřní,  plné otočné křídlo 90x197cm, protipožární (EW30 DP3) - T012</t>
  </si>
  <si>
    <t>Dveře vnitřní,  plné otočné křídlo 90x197cm, protipožární (EW30 DP3) - T218</t>
  </si>
  <si>
    <t>přesná specifikace viz výpis výplní otvorů; vč.doplňků (el.otvírač)</t>
  </si>
  <si>
    <t>Dveře vnitřní,  plné s otočným křídlem. 110x197cm - T134</t>
  </si>
  <si>
    <t>Dveře vnitřní,  plné otočné křídlo 110x197cm, protipožární (EW30 DP3) - T016, T017, 7018, T019</t>
  </si>
  <si>
    <t>přesná specifikace viz výpis výplní otvorů; vč.doplňků.</t>
  </si>
  <si>
    <t>Dveře vnitřní,  plné otočné křídlo 110x197cm, protipožární (EW30 DP3),- T020</t>
  </si>
  <si>
    <t>Dveře vnitřní,  plné otočné křídlo 110x197cm, protipožární (EW30 DP3),zvukoizolační - T015</t>
  </si>
  <si>
    <t>Demontáž dřevěných stěn plných</t>
  </si>
  <si>
    <t>Dod.+ mont úpravy výplní vikýřů pro vyústění VZT</t>
  </si>
  <si>
    <t xml:space="preserve"> dřev. okno rozměru 0,55x 1,67m</t>
  </si>
  <si>
    <t>Montáž dveří do zárubně,otevíravých 1kř.do 0,8 m</t>
  </si>
  <si>
    <t>Montáž dveří do zárubně,otevíravých 1kř.nad 0,8 m</t>
  </si>
  <si>
    <t>Montáž dveří do zárubně,otevíravých 2kř.nad 1,45 m</t>
  </si>
  <si>
    <t>Demontáž samozavírače</t>
  </si>
  <si>
    <t>Montáž dveří posuvných na stěnu 1kř.</t>
  </si>
  <si>
    <t>Montáž dveří posuvných na stěnu, 2kř.</t>
  </si>
  <si>
    <t>Demontáž obložení stěn</t>
  </si>
  <si>
    <t>z palubek</t>
  </si>
  <si>
    <t>Demontáž obložení podhledů</t>
  </si>
  <si>
    <t>-z palubek</t>
  </si>
  <si>
    <t>Dod. +mont. doplňků a madel WC pro imobilní</t>
  </si>
  <si>
    <t>Dod.+mont. okno plast. dvoukřídl., otevíravé a sklápěcí 1,62x 1.12m  T001</t>
  </si>
  <si>
    <t>Dod.+mont. okno plast dvoukřídl., otevíravé a sklápěcí1,55x 0,60m - T002</t>
  </si>
  <si>
    <t>Dod.+mont. okno plast jdvoukřídl, otevíravé a sklápěcí1,66x 0,96m - T003</t>
  </si>
  <si>
    <t>Dod.+mont. okno plast jednokřídl., otevíravé a sklápěcí 0,68x 0,95m; - T004</t>
  </si>
  <si>
    <t>Dod.+mont. okno plast jednokřídl., otevíravé a sklápěcí 0,56x 1.12m; - T005</t>
  </si>
  <si>
    <t>Dod.+mont. okno plast. jednokřídl., 0,93x1,12m - T006</t>
  </si>
  <si>
    <t>Dod.+mont. okno plast. dvoukřídl.,1,62x 1.12m - T007</t>
  </si>
  <si>
    <t>Dod.+mont. okno hliníkové  jednokřídl., 0,93x1,12m, protipožární odolnost EI30 DP3 (C) - T008</t>
  </si>
  <si>
    <t>Dod.+mont. okno hliníkové. dvoukřídl 1,62x 1.12m protipožární odolnost EI30 DP3 (C)- T009</t>
  </si>
  <si>
    <t>Dod.+mont. okno plast jednokřídl.,0,60x 1,13m; - T010</t>
  </si>
  <si>
    <t>Dod.+mont. okno plast. dvoukřídl., 1,62x 1.12m - T011</t>
  </si>
  <si>
    <t>Dod.+mont. okno plast šestikřídl.,1,97x 2,46m - T101</t>
  </si>
  <si>
    <t>přesná specifikace viz výpis výplní otvorů; vč.doplňků a venkovní žaluzie</t>
  </si>
  <si>
    <t>Dod.+mont. okno plast šestikřídl.,1,52x 2,37m - T102</t>
  </si>
  <si>
    <t>Dod.+mont. okno plast tříkřídl., 1,79x 1,26m; T 103</t>
  </si>
  <si>
    <t>Dod.+mont. vstupní dveře 1,94x 2,54m dvouřídl., dřevěné kazetové-masiv dub (replika původních dveří) - T104</t>
  </si>
  <si>
    <t>Dod.+mont. vstupní proskl.stěny  plast. dvoukřídl. dveře s nadsvětlíkem 1,55x 2,72m T105</t>
  </si>
  <si>
    <t>Dod.+mont. okno plast tříkřídl.,  0,60x 2,75m - T106</t>
  </si>
  <si>
    <t>Dod.+mont. okno plast šestikřídl.,  1,96x 1,66m - T107</t>
  </si>
  <si>
    <t>Dod.+mont. okno plast dvoukřídl.,1,00x 1,66m - T108</t>
  </si>
  <si>
    <t>Dod.+mont. okno plast dvoukřídl., 0,60x 1,66m - T109</t>
  </si>
  <si>
    <t>Dod.+mont.vstupní dveře hliníkové dvoukřídl 1,45x 2,35m, protipožární odolnost EI30 DP3 (C) - T110</t>
  </si>
  <si>
    <t>Dod.+mont. okno hliník šestikřídl.1,96x 1,66m - protipožární odolnost EI30 DP3 (C) - T111</t>
  </si>
  <si>
    <t>Dod.+mont. okno plast dvoukřídl.,0,70x 1,66m - T112</t>
  </si>
  <si>
    <t>Dod.+mont. okno plast šestikřídl., 1,77x 1,95m - T113</t>
  </si>
  <si>
    <t>Dod.+mont. okno plast šestikřídl., 1,77x 1,95m - T114</t>
  </si>
  <si>
    <t>Dod.+mont. okno plast tříkřídl.,2,38x 1,60m - T115</t>
  </si>
  <si>
    <t>Dod.+mont.vstupních dveří 1,82x 2,25m dvouřídl., dřevěné kazetové-masiv dub,-replika původních dveří  - T116</t>
  </si>
  <si>
    <t>Dod.+mont.vstupních dveří 1,05x 2,25m jednořídl., dřevěné kazetové-masiv dub,-replika původních dveří  - T117</t>
  </si>
  <si>
    <t>Dod.+mont. okno plast šestikřídl.,1,93x 2,36m - T201</t>
  </si>
  <si>
    <t>Dod.+mont. okno plast objouk dvourřídl. s nadsvětlíkem, 1,66x 2,55 (1,57)m  - T202</t>
  </si>
  <si>
    <t>Dod.+mont. okno plast šestikřídl., 2,38x 1,75m  - T203</t>
  </si>
  <si>
    <t>Dod.+mont. okno plast tříkřídl.,0,59x 2,55m - T204</t>
  </si>
  <si>
    <t>Dod.+mont. okno plast šestikřídl.,  1,96x 1,66m - T205</t>
  </si>
  <si>
    <t>Dod.+mont. okno plast dvoukřídl.,0,99x 1,66m - T206</t>
  </si>
  <si>
    <t>Dod.+mont. okno plast dvoukřídl., 0,59x 1,66m - T207</t>
  </si>
  <si>
    <t>Dod.+mont.vstupní dveře hliníkové dvoukřídl. 1,45x 2,35m, protipožární odolnost EI30 DP3 (C) - T208</t>
  </si>
  <si>
    <t>Dod.+mont. okno hliník šestikřídl.1,96x 1,66m - protipožární odolnost EI30 DP3 (C) - T209</t>
  </si>
  <si>
    <t>Dod.+mont. okno plast tříkřídl.,0,59x 2,37m - T210</t>
  </si>
  <si>
    <t>Dod.+mont. okno plast.šestikřídl., 2,04x 2,36m - T301</t>
  </si>
  <si>
    <t>Dod.+mont. okno plast.šestikřídl., 2,01x 2,36m - T302</t>
  </si>
  <si>
    <t>Dod.+mont. okno plast dvanáctikřídl., 2,41x 3,90m - T303</t>
  </si>
  <si>
    <t>vč parapetů  (vnitřní parapet-plast, vnější parapet-hliník)</t>
  </si>
  <si>
    <t>Dod.+mont. proskl.stěna plast šestidílná, 2,40x 3,49m -T304</t>
  </si>
  <si>
    <t>Dod.+mont.okno plast šestikřídl., 2,00x 1,60m - T305</t>
  </si>
  <si>
    <t>Dod.+mont. okno plast dvoukřídl.,1,04x 1,66m - T306</t>
  </si>
  <si>
    <t>Dod.+mont. okno plast dvoukřídl., 0,59x 1,66m - T307</t>
  </si>
  <si>
    <t>Dod.+mont.vstupní dveře hliníkové dvoukřídl. 1,45x 2,35m, protipožární odolnost EI30 DP3 (C) - T 308</t>
  </si>
  <si>
    <t>Dod.+mont.okno hliník šestikřídl.,2,00x 1,60m - protipožární odolnost EI30 (C) - T309</t>
  </si>
  <si>
    <t>Dod.+mont. okno plast jednokřídl., 0,83x 1,25m - T310</t>
  </si>
  <si>
    <t>Demontáž příček sádrokartonových, roštu</t>
  </si>
  <si>
    <t>Demontáž příček sádrokartonových, desek do suti</t>
  </si>
  <si>
    <t>Dod.+mont.vnějšího nerez schodišťového zábradlí z trubek - Z17</t>
  </si>
  <si>
    <t>přesná specifikace viz výpis zámečnických výrobků</t>
  </si>
  <si>
    <t>Demontáž krytin střech z plechů falcovaných</t>
  </si>
  <si>
    <t xml:space="preserve">přístřešek dvůr
</t>
  </si>
  <si>
    <t>Venkovní čistící zóna zapuštěná - Z8 (Al.rohož s gumovou výplní v Al rámu)</t>
  </si>
  <si>
    <t>Venkovní čistící zóna zapuštěná - Z9 (Al.rohož s gumovou výplní v Al rámu)</t>
  </si>
  <si>
    <t>Venkovní čistící zóna zapuštěná - Z10 (Al.rohož s gumovou výplní v Al rámu)</t>
  </si>
  <si>
    <t>Jevištní podesta 1,0x 0,5m - Z14</t>
  </si>
  <si>
    <t>Jevištní podesta 1,0x 1,0m - Z14</t>
  </si>
  <si>
    <t>Demontáž výkladců a prosklenách stěn</t>
  </si>
  <si>
    <t>Výroba a montáž kov. atypických konstr. do 10 kg-ostatní drobné konstrukce skutečně provedené práce nutno odsouhlasit investorem ve stavebním deníku</t>
  </si>
  <si>
    <t>vč.dodávky materiálu. Skryté a neměřitelné konstrukce.</t>
  </si>
  <si>
    <t>Dod.+mont. nerezových dvířek HUP - Z18</t>
  </si>
  <si>
    <t>Výroba a montáž kov. atypických konstr. do 50 kg -dod.+mont.ochranných mříží pevných vč povrchové úpravy (okna 1PP)</t>
  </si>
  <si>
    <t>vč dodávky materiálu-viz zámečnické výrobky Z1-Z7</t>
  </si>
  <si>
    <t>Výroba a montáž kov. atypických konstr. do 50 kg vč.dodávka materiálu a povrchové úpravy</t>
  </si>
  <si>
    <t>nosný rám kodenzační jednotky pro VZT jednotku M4,5
viz výpis zámečnických výrobků Z12</t>
  </si>
  <si>
    <t>nosný rám kodenzační jednotky pro VZT jednotku M2,5
viz výpis zámečnických výrobků Z14</t>
  </si>
  <si>
    <t>Výroba a montáž kov. atypických konstr. do 250 kg vč.dodávka materiálu a povrchové úpravy</t>
  </si>
  <si>
    <t>nosný rám VZT jednotky M 4,5
viz výpis zámečnických výrobků Z11</t>
  </si>
  <si>
    <t>Výroba a montáž kov. atypických konstr. do 250 kg vč.dodávky materiálu a povrchové úpravy</t>
  </si>
  <si>
    <t>nosný rám VZT jednotky M 2,5
viz výpis zámečnických výrobků Z13</t>
  </si>
  <si>
    <t>Demontáž atypických ocelových konstr. do 250 kg</t>
  </si>
  <si>
    <t>dvorní přísřešek</t>
  </si>
  <si>
    <t>Dlažba keramická 600x600x9 mm</t>
  </si>
  <si>
    <t>Vyrovnání podkladů pod dlažby stěrkou nebo tmelem tl. do 15 mm</t>
  </si>
  <si>
    <t>Kladení dlažby keramické do TM, vel. do 600x600 mm</t>
  </si>
  <si>
    <t>vč dodávky tmele</t>
  </si>
  <si>
    <t>Obklad soklíků keram.rovných, tmel,výška 8 cm</t>
  </si>
  <si>
    <t>Spára podlaha - stěna, silikonem</t>
  </si>
  <si>
    <t>vč dodávky silikonu</t>
  </si>
  <si>
    <t>Dod.+mont.  lité teraco přírodní schodišť.stupňů profilovaných tl.do 2,0cm</t>
  </si>
  <si>
    <t>vč.přebroušení  (místn.č.104, 143)</t>
  </si>
  <si>
    <t>Demontáž podlah vlysových přibíjených včetně lišt</t>
  </si>
  <si>
    <t>Linoleum min tl. 2,5 mm, role š. 2 m ; třida zátěže 34</t>
  </si>
  <si>
    <t>Linoleum antistatické min tl. 2,5 mm, role š. 2 m ; třida zátěže 34</t>
  </si>
  <si>
    <t>Dod.+mont.podlahových soklík z pásku kinolea do lišt v=50mm (lišty lepené)</t>
  </si>
  <si>
    <t>vč dodávky lišt a linolea na soklíky</t>
  </si>
  <si>
    <t>Odstranění PVC podlah lepených bez podložky</t>
  </si>
  <si>
    <t>z ploch nad 20 m2</t>
  </si>
  <si>
    <t>Odstranění koberců lepených</t>
  </si>
  <si>
    <t>Lepení povlak.podlah z pásů přírodního linolea disperz.lepidlem</t>
  </si>
  <si>
    <t>Lepení podlah vodivých, dílce PVC</t>
  </si>
  <si>
    <t>Sejmutí koberců volně položených</t>
  </si>
  <si>
    <t>Dod.+mont. lišta nerezová přechodová, stejná výška krytin-dilatace linolea</t>
  </si>
  <si>
    <t>kartáčovaná nerez, šířky 40 mm</t>
  </si>
  <si>
    <t>Pásek obkladový pálený 290x65mm vč rohových tvarovek (ztratné 5%)</t>
  </si>
  <si>
    <t>Obkládačka keramická 300x 600mm</t>
  </si>
  <si>
    <t>Obkládání vnějších rohů s boušením hran obkladů 45° "kamenický roh"</t>
  </si>
  <si>
    <t>Obklad vnitřní stěn keramický, do tmele 30x60 cm</t>
  </si>
  <si>
    <t>Přípl.za spárovací hmotu - plošně</t>
  </si>
  <si>
    <t>malta Keracolor FF (Mapei)</t>
  </si>
  <si>
    <t>Montáž obkladů parapetů keramic. na tmel, mIn.rozměr obkladu 30x30 cm</t>
  </si>
  <si>
    <t>Montáž obklad vnější - obkladový pásek imitace původního režného zdiva,</t>
  </si>
  <si>
    <t>vč dodávky tmelu</t>
  </si>
  <si>
    <t>Příplatek za spárovací hmotu - plošně</t>
  </si>
  <si>
    <t>Obklad leštěný mramor tl. 3 cm - PŘEDPOKLAD</t>
  </si>
  <si>
    <t>Oprava stávajícího mramorového obkladu stěn kamenem tvrdým, rovným tl. 2,5 a 3 cm</t>
  </si>
  <si>
    <t>opravy po bourání otvorů-použít stávající  obklad</t>
  </si>
  <si>
    <t>Nátěr protipožární ocel.sloupů R 30</t>
  </si>
  <si>
    <t>Nátěr protipožární ocel.sloupů R 45</t>
  </si>
  <si>
    <t>Nátěr protipožární ocel.sloupů R 60</t>
  </si>
  <si>
    <t>Nátěr syntetický OK "B" 2xZ + 1x email</t>
  </si>
  <si>
    <t>konstrukce pro posílení únosnosti; postup dle zvoleného typu požárního nátěru</t>
  </si>
  <si>
    <t>Odstr. nátěrů z kovových konstr. chem.odstraňovači</t>
  </si>
  <si>
    <t>stávající schodišťové zábradlí</t>
  </si>
  <si>
    <t>Nátěr syntetický kovových konstrukcí dvojnásobný -stávající schodišťové zábradlí</t>
  </si>
  <si>
    <t>odstín RAL 9007</t>
  </si>
  <si>
    <t>Nátěr kovových konstr.disperz.vodouředitelnou akrylátovou barvou Z+2x email</t>
  </si>
  <si>
    <t>stávající střešní krytina hlavního objektu</t>
  </si>
  <si>
    <t>Odstranění nátěrů, dřevěných konstrukcí, oškrábáním, broušením</t>
  </si>
  <si>
    <t>Odstr. nátěrů ze stáv dřevěných madel oškrabáním a obroušením</t>
  </si>
  <si>
    <t>Nátěr dřevěných konstrukcí lazurovacím lakem 2x</t>
  </si>
  <si>
    <t>Nátěr dřevěných madel - tvrdý voskový olej na podlahy, bezbarvý - 2x (mat nebo polomat)</t>
  </si>
  <si>
    <t>Impregnace tesařských konstrukcí proti dřevokaznému hmyzu, houbám a plísním-konstrukce půdní lávky 2x</t>
  </si>
  <si>
    <t>Impregnace tesařských konstrukcí proti dřevokaznému hmyzu, houbám a plísním 2x</t>
  </si>
  <si>
    <t>stávající konstrukce krovu</t>
  </si>
  <si>
    <t>Nátěr epoxidový betonových podlah 2x</t>
  </si>
  <si>
    <t>Nátěr epoxidový betonových podlah -soklík v=80mm</t>
  </si>
  <si>
    <t>Odmaštění stávající krytiny systémovým odmašťovačem</t>
  </si>
  <si>
    <t>Penetrace podkladu 1x - SDK desky, štukové omítky (stropy,stěny)</t>
  </si>
  <si>
    <t>Malba SDK desek, štuk.omítek barvou tekutou, bílá, 2 x (stěny, strop)</t>
  </si>
  <si>
    <t>barva se zvýšenou otěruvzdorností (odolnost proti oděru za mokra dle ČSN EN 13300 - třída 3)</t>
  </si>
  <si>
    <t>Malba SDK desek, štuk.omítek barvou tekutou, barva, 2 x</t>
  </si>
  <si>
    <t>Odstranění malby oškrábáním v místnosti H do 3,8 m</t>
  </si>
  <si>
    <t>Dod.+mont zasklení stěn</t>
  </si>
  <si>
    <t>Výtahová šachta 1NP-protipožární sklo (EI 30)</t>
  </si>
  <si>
    <t>Přístroj hasicí práškový-hasící schopnost 21A</t>
  </si>
  <si>
    <t>Přístroj hasicí sněhový-hasící schopnost 55B</t>
  </si>
  <si>
    <t>Montáž požárních a bezpečnostních zařízení</t>
  </si>
  <si>
    <t>hasící přístroje, tabulky, značky</t>
  </si>
  <si>
    <t>Fotoluminiscenční značka - pro únikové cesty</t>
  </si>
  <si>
    <t>směr úniku, únikové schodiště apod.</t>
  </si>
  <si>
    <t>Fotoluminiscenční značka -  únikový východ</t>
  </si>
  <si>
    <t>Informační a bezpečnostní značka - hlavní uzávěr vody</t>
  </si>
  <si>
    <t>Informační a bezpečnostní - nebezpečí elektřina</t>
  </si>
  <si>
    <t>Informační a bezpečnostní - zákaz použití vody na hašení</t>
  </si>
  <si>
    <t>Informační a bezpečnostní - hlavní vypínač elektorinstalace</t>
  </si>
  <si>
    <t>Informační a bezpečnostní - hlavní uzávěr plynu</t>
  </si>
  <si>
    <t>Požární značka NE.01 hydrant</t>
  </si>
  <si>
    <t>Požární značka NE.05 hasící přístroj</t>
  </si>
  <si>
    <t>Informační značky- zákaz kouření</t>
  </si>
  <si>
    <t>Informační značky- zákaz vstupu s otevřeným ohněm</t>
  </si>
  <si>
    <t>Informační značky- zákaz vstupu nepovolaným osobám</t>
  </si>
  <si>
    <t>Informační značky- bezpečnostní značení  "Tento výtah neslouží k evakuaci osob"</t>
  </si>
  <si>
    <t>Zednické výpomoci - zdravotechnika zaplnění nebo zazdění rýh, kapes, dozdění nik, zabetonování a zalití prostupů vodorovnými konstr.;</t>
  </si>
  <si>
    <t>vysekání rýh, kapes a prostupů, upevňovací prvky instalací, osazení prvků vnitřních instalací je součástí montážních prací</t>
  </si>
  <si>
    <t>Zednické výpomoci - plynoinstalace  zaplnění nebo zazdění rýh, kapes, dozdění nik, zabetonování a zalití prostupů vodorovnými konstr.;</t>
  </si>
  <si>
    <t>Zednické výpomoci - VZT  zaplnění nebo zazdění rýh, kapes, dozdění nik, zabetonování a zalití prostupů vodorovnými konstr.;</t>
  </si>
  <si>
    <t>Zednické výpomoci - ústřední vytápění  zaplnění nebo zazdění rýh, kapes, dozdění nik, zabetonování a zalití prostupů vodorovnými konstr.;</t>
  </si>
  <si>
    <t>Výrobní dokumentace-ocelová konstrukce výtahové šachty</t>
  </si>
  <si>
    <t>Dod.+mont. výtah osobo-nákladní lanový bezstrojovnový vč nosné ocelové kce výtahové šachty (svařovaná kce z tenkostěnných uzavřených profilů)</t>
  </si>
  <si>
    <t>5 stanic,  5 nástupišť, nosnost -1000kg, rychlost 1,0m/s, zdvih 11,85m, rozměr průchozí kabiny 1100x2100x2100mm; šachetní dveře s požární odolností EW15, ocelová kce dle použitého typu výtahu a způsobu zasklení prosklené části v 1NP.</t>
  </si>
  <si>
    <t>Tahokov v základním provedení  16/8x1,6x1,0 mm (nerez 0,8x1000x2000mm,3,15kg/m2)</t>
  </si>
  <si>
    <t>Deska čirá PC š. 970 mm trapéz 183/40 tl. 1,1 mm</t>
  </si>
  <si>
    <t>Motáž vestavěné ocelové konstrukce posílení únosnosti stropů</t>
  </si>
  <si>
    <t>Váha hostrukce 38 469 kg
svary a spojovací materiál - 3% 1 040 kg
drobný materiál-8% - 2 773 kg</t>
  </si>
  <si>
    <t>Výroba vestavěné ocelové konstrukce posílení únosnosti stropů</t>
  </si>
  <si>
    <t>Motáž ocelové konstrukce požárního schodiště</t>
  </si>
  <si>
    <t xml:space="preserve">sestavení vyrobených dílů na stavbě (sloupy, průvlaky z válcovaných nosníků, podlahy z pororoštů)
</t>
  </si>
  <si>
    <t>Výroba ocelové konstrukce požárního schodiště  - vč.povrchové úpravy žárovým zinkováním</t>
  </si>
  <si>
    <t>sloupy, průvlaky z válcovaných nosníků, podlahy, stupně z pororoštů)
Váha hostrukce 4978kg (vč pororoštů stupňů a podest a zábradlí)
svary a spojovací materiál - 3% 149 kg
drobný materiál-11% - 548 kg</t>
  </si>
  <si>
    <t>Montáž opláštění z tahokovu</t>
  </si>
  <si>
    <t>Výrobní dokumentace-vestavba ocelové konstrukce</t>
  </si>
  <si>
    <t>Výrobní dokumentace-ocelové požární schodiště</t>
  </si>
  <si>
    <t>Dod.+mont chemické kotvy do betonu hl. 250 mm, závit tyč M20, chemická malta</t>
  </si>
  <si>
    <t>kotvení požárního schodiště k základům</t>
  </si>
  <si>
    <t>Dod.+mont chemické kotvy, cihelné zdivo, hl. 125 mm, závit tyč M20 nerez.dl.380mm, chemická malta</t>
  </si>
  <si>
    <t>kotvení požárního schodiště k objektu</t>
  </si>
  <si>
    <t>Dod.+mont. dlažby okapového chodníku do lože z písku tl. 10cm - okapový chodník</t>
  </si>
  <si>
    <t>včetně dodávky dlaždic 50/50/5</t>
  </si>
  <si>
    <t>Přesun hmot pro budovy zděné výšky do 24 m</t>
  </si>
  <si>
    <t>M.j.</t>
  </si>
  <si>
    <t>m3</t>
  </si>
  <si>
    <t>m2</t>
  </si>
  <si>
    <t>m</t>
  </si>
  <si>
    <t>kpl</t>
  </si>
  <si>
    <t>kus</t>
  </si>
  <si>
    <t>t</t>
  </si>
  <si>
    <t>ks.</t>
  </si>
  <si>
    <t>soub.</t>
  </si>
  <si>
    <t>soub</t>
  </si>
  <si>
    <t>kg</t>
  </si>
  <si>
    <t>hod</t>
  </si>
  <si>
    <t>ks</t>
  </si>
  <si>
    <t>T</t>
  </si>
  <si>
    <t>kompl.</t>
  </si>
  <si>
    <t>Množství</t>
  </si>
  <si>
    <t>Jednot.</t>
  </si>
  <si>
    <t>cena (Kč)</t>
  </si>
  <si>
    <t>Cenová</t>
  </si>
  <si>
    <t>soustava</t>
  </si>
  <si>
    <t>RTS I / 2016</t>
  </si>
  <si>
    <t>RTS I / 2010</t>
  </si>
  <si>
    <t>R položka</t>
  </si>
  <si>
    <t>RTS I / 2015</t>
  </si>
  <si>
    <t>RTS II / 2016</t>
  </si>
  <si>
    <t>RTS II / 2015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</si>
  <si>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</si>
  <si>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</si>
  <si>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</si>
  <si>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</si>
  <si>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</si>
  <si>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</si>
  <si>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</si>
  <si>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</si>
  <si>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</si>
  <si>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</si>
  <si>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</si>
  <si>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</si>
  <si>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</si>
  <si>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13_</t>
  </si>
  <si>
    <t>16_</t>
  </si>
  <si>
    <t>17_</t>
  </si>
  <si>
    <t>21_</t>
  </si>
  <si>
    <t>22_</t>
  </si>
  <si>
    <t>27_</t>
  </si>
  <si>
    <t>28_</t>
  </si>
  <si>
    <t>31_</t>
  </si>
  <si>
    <t>34_</t>
  </si>
  <si>
    <t>38_</t>
  </si>
  <si>
    <t>41_</t>
  </si>
  <si>
    <t>43_</t>
  </si>
  <si>
    <t>61_</t>
  </si>
  <si>
    <t>62_</t>
  </si>
  <si>
    <t>63_</t>
  </si>
  <si>
    <t>64_</t>
  </si>
  <si>
    <t>90_</t>
  </si>
  <si>
    <t>94_</t>
  </si>
  <si>
    <t>95_</t>
  </si>
  <si>
    <t>96_</t>
  </si>
  <si>
    <t>97_</t>
  </si>
  <si>
    <t>S_</t>
  </si>
  <si>
    <t>711_</t>
  </si>
  <si>
    <t>713_</t>
  </si>
  <si>
    <t>762_</t>
  </si>
  <si>
    <t>764_</t>
  </si>
  <si>
    <t>765_</t>
  </si>
  <si>
    <t>766_</t>
  </si>
  <si>
    <t>766VD_</t>
  </si>
  <si>
    <t>767_</t>
  </si>
  <si>
    <t>771_</t>
  </si>
  <si>
    <t>773_</t>
  </si>
  <si>
    <t>775_</t>
  </si>
  <si>
    <t>776_</t>
  </si>
  <si>
    <t>781_</t>
  </si>
  <si>
    <t>782_</t>
  </si>
  <si>
    <t>783_</t>
  </si>
  <si>
    <t>784_</t>
  </si>
  <si>
    <t>787_</t>
  </si>
  <si>
    <t>796VD_</t>
  </si>
  <si>
    <t>M_</t>
  </si>
  <si>
    <t>M33_</t>
  </si>
  <si>
    <t>M43_</t>
  </si>
  <si>
    <t>M46_</t>
  </si>
  <si>
    <t>H01_</t>
  </si>
  <si>
    <t>1_</t>
  </si>
  <si>
    <t>2_</t>
  </si>
  <si>
    <t>3_</t>
  </si>
  <si>
    <t>4_</t>
  </si>
  <si>
    <t>6_</t>
  </si>
  <si>
    <t>9_</t>
  </si>
  <si>
    <t>71_</t>
  </si>
  <si>
    <t>76_</t>
  </si>
  <si>
    <t>77_</t>
  </si>
  <si>
    <t>78_</t>
  </si>
  <si>
    <t>79_</t>
  </si>
  <si>
    <t>003_</t>
  </si>
  <si>
    <t>087_</t>
  </si>
  <si>
    <t>001_</t>
  </si>
  <si>
    <t>901_</t>
  </si>
  <si>
    <t>002_</t>
  </si>
  <si>
    <t>064,3_</t>
  </si>
  <si>
    <t>004.2_</t>
  </si>
  <si>
    <t>008.2_</t>
  </si>
  <si>
    <t>904_</t>
  </si>
  <si>
    <t>004_</t>
  </si>
  <si>
    <t>004.1_</t>
  </si>
  <si>
    <t>009_</t>
  </si>
  <si>
    <t>006_</t>
  </si>
  <si>
    <t>902_</t>
  </si>
  <si>
    <t>006.2_</t>
  </si>
  <si>
    <t>005_</t>
  </si>
  <si>
    <t>008_</t>
  </si>
  <si>
    <t>005.2_</t>
  </si>
  <si>
    <t>064_</t>
  </si>
  <si>
    <t>064.2_</t>
  </si>
  <si>
    <t>903_</t>
  </si>
  <si>
    <t>430_</t>
  </si>
  <si>
    <t>Stavební rozpočet - rekapitulace</t>
  </si>
  <si>
    <t>723</t>
  </si>
  <si>
    <t>730</t>
  </si>
  <si>
    <t>740,1</t>
  </si>
  <si>
    <t>740,2</t>
  </si>
  <si>
    <t>750</t>
  </si>
  <si>
    <t>720</t>
  </si>
  <si>
    <t>Zdravotechnika</t>
  </si>
  <si>
    <t>Plynoinstalace</t>
  </si>
  <si>
    <t>Vytápění</t>
  </si>
  <si>
    <t>Elektro - silnoproud</t>
  </si>
  <si>
    <t>Elektro - zařízení pro měření a regulaci</t>
  </si>
  <si>
    <t>Elektro - slaboproud</t>
  </si>
  <si>
    <t>790</t>
  </si>
  <si>
    <t>Vzduchotechnika</t>
  </si>
  <si>
    <t>Zednické výpomoci - elektro (silnoproud, MaR, slaboproud)  zaplnění nebo zazdění rýh, kapes, dozdění nik, zabetonování a zalití prostupů vodorovnými konstr</t>
  </si>
  <si>
    <t>barva se zvýšenou otěruvzdorností barva (odolnost proti oděru za mokra dle ČSN EN 13300 - třída 3)</t>
  </si>
  <si>
    <t>762-043</t>
  </si>
  <si>
    <t>přesná specifikace viz výpis truhlář.výrobků:                                                         cenu a typ spotřebičů uvést samostatně:
mikrovlná trouba
vestavná podpultová lednice
nerezový dřez</t>
  </si>
  <si>
    <t>368.1</t>
  </si>
  <si>
    <t>Kuchyňská linka dl. pracovní plochy 1,1m+závěsné horní skříňky,  - T3 D+M</t>
  </si>
  <si>
    <t>Kuchyňská linka dl. pracovní plochy 1,2m+závěsné horní skříňky,  - T4 D+M</t>
  </si>
  <si>
    <t>Dveře vnitřní,  plné s otočným křídlem. 90x197cm-T013,T014,T137,T140, T143, T145,T149,T158,T159,T311,T312,T316-320,T329,T332,T338</t>
  </si>
  <si>
    <t xml:space="preserve"> - dozdívka rýh, potrubí, kapes a nik cihlami plnými tl.6,5cm – 15,60m2 (přesun hmot-2,11t)</t>
  </si>
  <si>
    <t xml:space="preserve"> - dozdívka rýh, potrubí, kapes a nik cihlami plnými tl.14cm – 1,80m2 (přesun hmot -0,50t)</t>
  </si>
  <si>
    <t xml:space="preserve"> - dobetonování prostupů stropy tl.do 8cm beton C16/20 vč. bednění (1,9m2) – 0,08m3 (přesun hmot – 0,21t)</t>
  </si>
  <si>
    <t xml:space="preserve"> - omítka malých ploch do 0,25m2 (v místě prostupů potrubí stěnami) – 12ks (přesun hmot - 0,19t)</t>
  </si>
  <si>
    <t xml:space="preserve"> - dozdívka rýh, potrubí, kapes a nik cihlami plnými tl.14cm – 6,70m2 (přesun hmot -1,85t)</t>
  </si>
  <si>
    <t xml:space="preserve"> - omítka malých ploch do 0,25m2 MVC (zapravení omítek v místě prostupů potrubí stěnami)  - 71 ks (přesun hmot – 0,98t)</t>
  </si>
  <si>
    <t xml:space="preserve"> - těsnění prostupu potrubí parozábranou (fólie+pružná páska) – 3ks</t>
  </si>
  <si>
    <t xml:space="preserve"> - hrubá výplň rýh ve stěnách MVC – 97,10m2 (přesun hmot – 10,39t)</t>
  </si>
  <si>
    <t xml:space="preserve"> - hrubá výplň rýh ve stěnách MVC – 119,20m2 (přesun hmot – 12,76t)</t>
  </si>
  <si>
    <t xml:space="preserve"> - dobetonování prostupů stropy tl.do 8cm beton C16/20 vč. bednění (3,3m2) – 0,12m3 (přesun hmot – 0,31t)</t>
  </si>
  <si>
    <t xml:space="preserve"> - dozdívka rýh, potrubí, kapes a nik cihlami plnými tl.14cm – 5,20m2 (přesun hmot -1,44t)</t>
  </si>
  <si>
    <t xml:space="preserve"> - hrubá výplň rýh ve stěnách MVC – 198,80m2 (přesun hmot – 21,30 t)</t>
  </si>
  <si>
    <t xml:space="preserve"> - hrubá výplň rýh ve stropech MVC – 25,0m2 (přesun hmot – 2,68t)</t>
  </si>
  <si>
    <t>- těsnění prostupu potrubí parozábranou (fólie+pružná páska) – 11ks</t>
  </si>
  <si>
    <t xml:space="preserve"> - dobetonování prostupů stropy tl.do 8cm beton C16/20 vč. bednění (1,0m2) – 0,04m3 (přesun hmot – 0,10t)</t>
  </si>
  <si>
    <t xml:space="preserve">povrch úprava-kartáčovaná nerez; </t>
  </si>
  <si>
    <t xml:space="preserve"> - sklopné madlo dl.800mm (zdvojené tvar U), průměr 32mm (vč. montážního příslušenství)</t>
  </si>
  <si>
    <t xml:space="preserve"> - pevné, nástěnné vodorovné madlo se svislou částí, vodorovná část dl.650mm, svislá část dl.700mm, průměr 32mm (vč. montážního příslušenství)</t>
  </si>
  <si>
    <t xml:space="preserve"> - pevná svislé madlo k umyvadlu dl.500mm, průměr 32mm (vč. montážního příslušenství)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</si>
</sst>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5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2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right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0" fillId="0" borderId="0" xfId="1" applyNumberForma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49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0" xfId="0" applyNumberFormat="1" applyFont="1" applyFill="1" applyBorder="1" applyAlignment="1" applyProtection="1">
      <alignment horizontal="right" vertical="top" wrapText="1"/>
      <protection/>
    </xf>
    <xf numFmtId="49" fontId="8" fillId="33" borderId="0" xfId="0" applyNumberFormat="1" applyFont="1" applyFill="1" applyBorder="1" applyAlignment="1" applyProtection="1">
      <alignment horizontal="righ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" fontId="7" fillId="0" borderId="0" xfId="0" applyNumberFormat="1" applyFont="1" applyFill="1" applyBorder="1" applyAlignment="1" applyProtection="1">
      <alignment horizontal="right" vertical="top" wrapText="1"/>
      <protection/>
    </xf>
    <xf numFmtId="49" fontId="7" fillId="0" borderId="0" xfId="0" applyNumberFormat="1" applyFont="1" applyFill="1" applyBorder="1" applyAlignment="1" applyProtection="1">
      <alignment horizontal="right" vertical="top" wrapText="1"/>
      <protection/>
    </xf>
    <xf numFmtId="4" fontId="3" fillId="0" borderId="14" xfId="0" applyNumberFormat="1" applyFont="1" applyFill="1" applyBorder="1" applyAlignment="1" applyProtection="1">
      <alignment vertical="center"/>
      <protection/>
    </xf>
    <xf numFmtId="166" fontId="3" fillId="0" borderId="15" xfId="0" applyNumberFormat="1" applyFont="1" applyFill="1" applyBorder="1" applyAlignment="1" applyProtection="1">
      <alignment horizontal="center" vertical="center"/>
      <protection/>
    </xf>
    <xf numFmtId="166" fontId="3" fillId="0" borderId="18" xfId="0" applyNumberFormat="1" applyFont="1" applyFill="1" applyBorder="1" applyAlignment="1" applyProtection="1">
      <alignment horizontal="center" vertical="center"/>
      <protection/>
    </xf>
    <xf numFmtId="166" fontId="8" fillId="33" borderId="12" xfId="0" applyNumberFormat="1" applyFont="1" applyFill="1" applyBorder="1" applyAlignment="1" applyProtection="1">
      <alignment horizontal="right" vertical="center"/>
      <protection/>
    </xf>
    <xf numFmtId="166" fontId="6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Alignment="1">
      <alignment vertical="center"/>
    </xf>
    <xf numFmtId="166" fontId="8" fillId="33" borderId="0" xfId="0" applyNumberFormat="1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 horizontal="right" vertical="top" wrapText="1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166" fontId="6" fillId="0" borderId="0" xfId="0" applyNumberFormat="1" applyFont="1" applyFill="1" applyBorder="1" applyAlignment="1" applyProtection="1">
      <alignment horizontal="right" vertical="top" wrapText="1"/>
      <protection/>
    </xf>
    <xf numFmtId="166" fontId="6" fillId="0" borderId="13" xfId="0" applyNumberFormat="1" applyFont="1" applyFill="1" applyBorder="1" applyAlignment="1" applyProtection="1">
      <alignment horizontal="right" vertical="center"/>
      <protection/>
    </xf>
    <xf numFmtId="166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" fontId="6" fillId="0" borderId="0" xfId="0" applyNumberFormat="1" applyFont="1" applyFill="1" applyBorder="1" applyAlignment="1" applyProtection="1">
      <alignment horizontal="left" vertical="top" wrapText="1"/>
      <protection/>
    </xf>
    <xf numFmtId="166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8" fillId="33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66" fontId="3" fillId="0" borderId="32" xfId="0" applyNumberFormat="1" applyFont="1" applyFill="1" applyBorder="1" applyAlignment="1" applyProtection="1">
      <alignment horizontal="center" vertical="center"/>
      <protection/>
    </xf>
    <xf numFmtId="166" fontId="3" fillId="0" borderId="34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top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B47" sqref="B47:G47"/>
    </sheetView>
  </sheetViews>
  <sheetFormatPr defaultColWidth="11.57421875" defaultRowHeight="12.75"/>
  <cols>
    <col min="1" max="1" width="4.57421875" style="0" customWidth="1"/>
    <col min="2" max="2" width="13.28125" style="0" customWidth="1"/>
    <col min="3" max="3" width="34.28125" style="0" customWidth="1"/>
    <col min="4" max="4" width="4.28125" style="0" customWidth="1"/>
    <col min="5" max="5" width="10.8515625" style="0" customWidth="1"/>
    <col min="6" max="6" width="12.00390625" style="0" customWidth="1"/>
    <col min="7" max="10" width="14.28125" style="0" customWidth="1"/>
    <col min="11" max="11" width="11.7109375" style="0" customWidth="1"/>
    <col min="12" max="13" width="12.140625" style="0" hidden="1" customWidth="1"/>
  </cols>
  <sheetData>
    <row r="1" spans="1:11" ht="35.25" customHeight="1">
      <c r="A1" s="115" t="s">
        <v>2056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12.75" customHeight="1">
      <c r="A2" s="95" t="s">
        <v>0</v>
      </c>
      <c r="B2" s="95"/>
      <c r="C2" s="116" t="s">
        <v>99</v>
      </c>
      <c r="D2" s="118" t="s">
        <v>102</v>
      </c>
      <c r="E2" s="119"/>
      <c r="F2" s="118"/>
      <c r="G2" s="119"/>
      <c r="H2" s="95" t="s">
        <v>106</v>
      </c>
      <c r="I2" s="95" t="s">
        <v>113</v>
      </c>
      <c r="J2" s="119"/>
      <c r="K2" s="120"/>
      <c r="L2" s="14"/>
    </row>
    <row r="3" spans="1:12" ht="12.75">
      <c r="A3" s="96"/>
      <c r="B3" s="96"/>
      <c r="C3" s="117"/>
      <c r="D3" s="94"/>
      <c r="E3" s="94"/>
      <c r="F3" s="94"/>
      <c r="G3" s="94"/>
      <c r="H3" s="94"/>
      <c r="I3" s="94"/>
      <c r="J3" s="94"/>
      <c r="K3" s="103"/>
      <c r="L3" s="14"/>
    </row>
    <row r="4" spans="1:12" ht="12.75" customHeight="1">
      <c r="A4" s="96" t="s">
        <v>1</v>
      </c>
      <c r="B4" s="96"/>
      <c r="C4" s="96" t="s">
        <v>100</v>
      </c>
      <c r="D4" s="98" t="s">
        <v>103</v>
      </c>
      <c r="E4" s="94"/>
      <c r="F4" s="98" t="s">
        <v>4</v>
      </c>
      <c r="G4" s="94"/>
      <c r="H4" s="96" t="s">
        <v>107</v>
      </c>
      <c r="I4" s="96" t="s">
        <v>114</v>
      </c>
      <c r="J4" s="94"/>
      <c r="K4" s="103"/>
      <c r="L4" s="14"/>
    </row>
    <row r="5" spans="1:12" ht="12.75">
      <c r="A5" s="96"/>
      <c r="B5" s="96"/>
      <c r="C5" s="94"/>
      <c r="D5" s="94"/>
      <c r="E5" s="94"/>
      <c r="F5" s="94"/>
      <c r="G5" s="94"/>
      <c r="H5" s="94"/>
      <c r="I5" s="94"/>
      <c r="J5" s="94"/>
      <c r="K5" s="103"/>
      <c r="L5" s="14"/>
    </row>
    <row r="6" spans="1:12" ht="12.75" customHeight="1">
      <c r="A6" s="96" t="s">
        <v>2</v>
      </c>
      <c r="B6" s="96"/>
      <c r="C6" s="96" t="s">
        <v>101</v>
      </c>
      <c r="D6" s="98" t="s">
        <v>104</v>
      </c>
      <c r="E6" s="94"/>
      <c r="F6" s="94"/>
      <c r="G6" s="94"/>
      <c r="H6" s="96" t="s">
        <v>108</v>
      </c>
      <c r="I6" s="96" t="s">
        <v>115</v>
      </c>
      <c r="J6" s="94"/>
      <c r="K6" s="103"/>
      <c r="L6" s="14"/>
    </row>
    <row r="7" spans="1:12" ht="12.75">
      <c r="A7" s="96"/>
      <c r="B7" s="96"/>
      <c r="C7" s="94"/>
      <c r="D7" s="94"/>
      <c r="E7" s="94"/>
      <c r="F7" s="94"/>
      <c r="G7" s="94"/>
      <c r="H7" s="94"/>
      <c r="I7" s="94"/>
      <c r="J7" s="94"/>
      <c r="K7" s="103"/>
      <c r="L7" s="14"/>
    </row>
    <row r="8" spans="1:12" ht="26.25" customHeight="1">
      <c r="A8" s="97" t="s">
        <v>3</v>
      </c>
      <c r="B8" s="96"/>
      <c r="C8" s="96"/>
      <c r="D8" s="98" t="s">
        <v>105</v>
      </c>
      <c r="E8" s="94"/>
      <c r="F8" s="102">
        <v>42185</v>
      </c>
      <c r="G8" s="94"/>
      <c r="H8" s="96" t="s">
        <v>109</v>
      </c>
      <c r="I8" s="96"/>
      <c r="J8" s="94"/>
      <c r="K8" s="103"/>
      <c r="L8" s="14"/>
    </row>
    <row r="9" spans="1:12" ht="12.75" hidden="1">
      <c r="A9" s="45"/>
      <c r="B9" s="45"/>
      <c r="C9" s="101"/>
      <c r="D9" s="101"/>
      <c r="E9" s="101"/>
      <c r="F9" s="101"/>
      <c r="G9" s="101"/>
      <c r="H9" s="101"/>
      <c r="I9" s="101"/>
      <c r="J9" s="101"/>
      <c r="K9" s="104"/>
      <c r="L9" s="14"/>
    </row>
    <row r="10" spans="1:12" ht="12.75">
      <c r="A10" s="1" t="s">
        <v>4</v>
      </c>
      <c r="B10" s="105" t="s">
        <v>4</v>
      </c>
      <c r="C10" s="106"/>
      <c r="D10" s="106"/>
      <c r="E10" s="106"/>
      <c r="F10" s="106"/>
      <c r="G10" s="107"/>
      <c r="H10" s="108" t="s">
        <v>110</v>
      </c>
      <c r="I10" s="109"/>
      <c r="J10" s="110"/>
      <c r="K10" s="9" t="s">
        <v>118</v>
      </c>
      <c r="L10" s="15"/>
    </row>
    <row r="11" spans="1:12" ht="12.75">
      <c r="A11" s="2" t="s">
        <v>6</v>
      </c>
      <c r="B11" s="111" t="s">
        <v>53</v>
      </c>
      <c r="C11" s="112"/>
      <c r="D11" s="112"/>
      <c r="E11" s="112"/>
      <c r="F11" s="112"/>
      <c r="G11" s="113"/>
      <c r="H11" s="7" t="s">
        <v>111</v>
      </c>
      <c r="I11" s="8" t="s">
        <v>116</v>
      </c>
      <c r="J11" s="8" t="s">
        <v>117</v>
      </c>
      <c r="K11" s="10" t="s">
        <v>117</v>
      </c>
      <c r="L11" s="15"/>
    </row>
    <row r="12" spans="1:13" ht="12.75">
      <c r="A12" s="3" t="s">
        <v>7</v>
      </c>
      <c r="B12" s="114" t="s">
        <v>54</v>
      </c>
      <c r="C12" s="106"/>
      <c r="D12" s="106"/>
      <c r="E12" s="106"/>
      <c r="F12" s="106"/>
      <c r="G12" s="106"/>
      <c r="H12" s="42">
        <f>SUMIF('Stavební rozpočet SO-01'!AN13:AN955,"0_",'Stavební rozpočet SO-01'!AL13:AL955)</f>
        <v>0</v>
      </c>
      <c r="I12" s="42">
        <f>SUMIF('Stavební rozpočet SO-01'!AN13:AN955,"0_",'Stavební rozpočet SO-01'!AM13:AM955)</f>
        <v>0</v>
      </c>
      <c r="J12" s="11">
        <f aca="true" t="shared" si="0" ref="J12:J64">H12+I12</f>
        <v>0</v>
      </c>
      <c r="K12" s="11">
        <v>0</v>
      </c>
      <c r="L12" s="12" t="s">
        <v>119</v>
      </c>
      <c r="M12" s="12">
        <f aca="true" t="shared" si="1" ref="M12:M64">IF(L12="T",0,J12)</f>
        <v>0</v>
      </c>
    </row>
    <row r="13" spans="1:13" ht="12.75">
      <c r="A13" s="4" t="s">
        <v>8</v>
      </c>
      <c r="B13" s="98" t="s">
        <v>55</v>
      </c>
      <c r="C13" s="94"/>
      <c r="D13" s="94"/>
      <c r="E13" s="94"/>
      <c r="F13" s="94"/>
      <c r="G13" s="94"/>
      <c r="H13" s="43">
        <f>SUMIF('Stavební rozpočet SO-01'!AN13:AN955,"13_",'Stavební rozpočet SO-01'!AL13:AL955)</f>
        <v>0</v>
      </c>
      <c r="I13" s="43">
        <f>SUMIF('Stavební rozpočet SO-01'!AN13:AN955,"13_",'Stavební rozpočet SO-01'!AM13:AM955)</f>
        <v>0</v>
      </c>
      <c r="J13" s="12">
        <f t="shared" si="0"/>
        <v>0</v>
      </c>
      <c r="K13" s="12">
        <v>0</v>
      </c>
      <c r="L13" s="12" t="s">
        <v>119</v>
      </c>
      <c r="M13" s="12">
        <f t="shared" si="1"/>
        <v>0</v>
      </c>
    </row>
    <row r="14" spans="1:13" ht="12.75">
      <c r="A14" s="4" t="s">
        <v>9</v>
      </c>
      <c r="B14" s="98" t="s">
        <v>56</v>
      </c>
      <c r="C14" s="94"/>
      <c r="D14" s="94"/>
      <c r="E14" s="94"/>
      <c r="F14" s="94"/>
      <c r="G14" s="94"/>
      <c r="H14" s="43">
        <f>SUMIF('Stavební rozpočet SO-01'!AN13:AN955,"16_",'Stavební rozpočet SO-01'!AL13:AL955)</f>
        <v>0</v>
      </c>
      <c r="I14" s="43">
        <f>SUMIF('Stavební rozpočet SO-01'!AN13:AN955,"16_",'Stavební rozpočet SO-01'!AM13:AM955)</f>
        <v>0</v>
      </c>
      <c r="J14" s="12">
        <f t="shared" si="0"/>
        <v>0</v>
      </c>
      <c r="K14" s="12">
        <v>0</v>
      </c>
      <c r="L14" s="12" t="s">
        <v>119</v>
      </c>
      <c r="M14" s="12">
        <f t="shared" si="1"/>
        <v>0</v>
      </c>
    </row>
    <row r="15" spans="1:13" ht="12.75">
      <c r="A15" s="4" t="s">
        <v>10</v>
      </c>
      <c r="B15" s="98" t="s">
        <v>57</v>
      </c>
      <c r="C15" s="94"/>
      <c r="D15" s="94"/>
      <c r="E15" s="94"/>
      <c r="F15" s="94"/>
      <c r="G15" s="94"/>
      <c r="H15" s="43">
        <f>SUMIF('Stavební rozpočet SO-01'!AN13:AN955,"17_",'Stavební rozpočet SO-01'!AL13:AL955)</f>
        <v>0</v>
      </c>
      <c r="I15" s="43">
        <f>SUMIF('Stavební rozpočet SO-01'!AN13:AN955,"17_",'Stavební rozpočet SO-01'!AM13:AM955)</f>
        <v>0</v>
      </c>
      <c r="J15" s="12">
        <f t="shared" si="0"/>
        <v>0</v>
      </c>
      <c r="K15" s="12">
        <v>13.861</v>
      </c>
      <c r="L15" s="12" t="s">
        <v>119</v>
      </c>
      <c r="M15" s="12">
        <f t="shared" si="1"/>
        <v>0</v>
      </c>
    </row>
    <row r="16" spans="1:13" ht="12.75">
      <c r="A16" s="4" t="s">
        <v>11</v>
      </c>
      <c r="B16" s="98" t="s">
        <v>58</v>
      </c>
      <c r="C16" s="94"/>
      <c r="D16" s="94"/>
      <c r="E16" s="94"/>
      <c r="F16" s="94"/>
      <c r="G16" s="94"/>
      <c r="H16" s="43">
        <f>SUMIF('Stavební rozpočet SO-01'!AN13:AN955,"21_",'Stavební rozpočet SO-01'!AL13:AL955)</f>
        <v>0</v>
      </c>
      <c r="I16" s="43">
        <f>SUMIF('Stavební rozpočet SO-01'!AN13:AN955,"21_",'Stavební rozpočet SO-01'!AM13:AM955)</f>
        <v>0</v>
      </c>
      <c r="J16" s="12">
        <f t="shared" si="0"/>
        <v>0</v>
      </c>
      <c r="K16" s="12">
        <v>105.25524</v>
      </c>
      <c r="L16" s="12" t="s">
        <v>119</v>
      </c>
      <c r="M16" s="12">
        <f t="shared" si="1"/>
        <v>0</v>
      </c>
    </row>
    <row r="17" spans="1:13" ht="12.75">
      <c r="A17" s="4" t="s">
        <v>12</v>
      </c>
      <c r="B17" s="98" t="s">
        <v>59</v>
      </c>
      <c r="C17" s="94"/>
      <c r="D17" s="94"/>
      <c r="E17" s="94"/>
      <c r="F17" s="94"/>
      <c r="G17" s="94"/>
      <c r="H17" s="43">
        <f>SUMIF('Stavební rozpočet SO-01'!AN13:AN955,"22_",'Stavební rozpočet SO-01'!AL13:AL955)</f>
        <v>0</v>
      </c>
      <c r="I17" s="43">
        <f>SUMIF('Stavební rozpočet SO-01'!AN13:AN955,"22_",'Stavební rozpočet SO-01'!AM13:AM955)</f>
        <v>0</v>
      </c>
      <c r="J17" s="12">
        <f t="shared" si="0"/>
        <v>0</v>
      </c>
      <c r="K17" s="12">
        <v>19.41973</v>
      </c>
      <c r="L17" s="12" t="s">
        <v>119</v>
      </c>
      <c r="M17" s="12">
        <f t="shared" si="1"/>
        <v>0</v>
      </c>
    </row>
    <row r="18" spans="1:13" ht="12.75">
      <c r="A18" s="4" t="s">
        <v>13</v>
      </c>
      <c r="B18" s="98" t="s">
        <v>60</v>
      </c>
      <c r="C18" s="94"/>
      <c r="D18" s="94"/>
      <c r="E18" s="94"/>
      <c r="F18" s="94"/>
      <c r="G18" s="94"/>
      <c r="H18" s="43">
        <f>SUMIF('Stavební rozpočet SO-01'!AN13:AN955,"27_",'Stavební rozpočet SO-01'!AL13:AL955)</f>
        <v>0</v>
      </c>
      <c r="I18" s="43">
        <f>SUMIF('Stavební rozpočet SO-01'!AN13:AN955,"27_",'Stavební rozpočet SO-01'!AM13:AM955)</f>
        <v>0</v>
      </c>
      <c r="J18" s="12">
        <f t="shared" si="0"/>
        <v>0</v>
      </c>
      <c r="K18" s="12">
        <v>107.61733</v>
      </c>
      <c r="L18" s="12" t="s">
        <v>119</v>
      </c>
      <c r="M18" s="12">
        <f t="shared" si="1"/>
        <v>0</v>
      </c>
    </row>
    <row r="19" spans="1:13" ht="12.75">
      <c r="A19" s="4" t="s">
        <v>14</v>
      </c>
      <c r="B19" s="98" t="s">
        <v>61</v>
      </c>
      <c r="C19" s="94"/>
      <c r="D19" s="94"/>
      <c r="E19" s="94"/>
      <c r="F19" s="94"/>
      <c r="G19" s="94"/>
      <c r="H19" s="43">
        <f>SUMIF('Stavební rozpočet SO-01'!AN13:AN955,"28_",'Stavební rozpočet SO-01'!AL13:AL955)</f>
        <v>0</v>
      </c>
      <c r="I19" s="43">
        <f>SUMIF('Stavební rozpočet SO-01'!AN13:AN955,"28_",'Stavební rozpočet SO-01'!AM13:AM955)</f>
        <v>0</v>
      </c>
      <c r="J19" s="12">
        <f t="shared" si="0"/>
        <v>0</v>
      </c>
      <c r="K19" s="12">
        <v>0.12208</v>
      </c>
      <c r="L19" s="12" t="s">
        <v>119</v>
      </c>
      <c r="M19" s="12">
        <f t="shared" si="1"/>
        <v>0</v>
      </c>
    </row>
    <row r="20" spans="1:13" ht="12.75">
      <c r="A20" s="4" t="s">
        <v>15</v>
      </c>
      <c r="B20" s="98" t="s">
        <v>62</v>
      </c>
      <c r="C20" s="94"/>
      <c r="D20" s="94"/>
      <c r="E20" s="94"/>
      <c r="F20" s="94"/>
      <c r="G20" s="94"/>
      <c r="H20" s="43">
        <f>SUMIF('Stavební rozpočet SO-01'!AN13:AN955,"31_",'Stavební rozpočet SO-01'!AL13:AL955)</f>
        <v>0</v>
      </c>
      <c r="I20" s="43">
        <f>SUMIF('Stavební rozpočet SO-01'!AN13:AN955,"31_",'Stavební rozpočet SO-01'!AM13:AM955)</f>
        <v>0</v>
      </c>
      <c r="J20" s="12">
        <f t="shared" si="0"/>
        <v>0</v>
      </c>
      <c r="K20" s="12">
        <v>163.07204</v>
      </c>
      <c r="L20" s="12" t="s">
        <v>119</v>
      </c>
      <c r="M20" s="12">
        <f t="shared" si="1"/>
        <v>0</v>
      </c>
    </row>
    <row r="21" spans="1:13" ht="12.75">
      <c r="A21" s="4" t="s">
        <v>16</v>
      </c>
      <c r="B21" s="98" t="s">
        <v>63</v>
      </c>
      <c r="C21" s="94"/>
      <c r="D21" s="94"/>
      <c r="E21" s="94"/>
      <c r="F21" s="94"/>
      <c r="G21" s="94"/>
      <c r="H21" s="43">
        <f>SUMIF('Stavební rozpočet SO-01'!AN13:AN955,"34_",'Stavební rozpočet SO-01'!AL13:AL955)</f>
        <v>0</v>
      </c>
      <c r="I21" s="43">
        <f>SUMIF('Stavební rozpočet SO-01'!AN13:AN955,"34_",'Stavební rozpočet SO-01'!AM13:AM955)</f>
        <v>0</v>
      </c>
      <c r="J21" s="12">
        <f t="shared" si="0"/>
        <v>0</v>
      </c>
      <c r="K21" s="12">
        <v>94.43076</v>
      </c>
      <c r="L21" s="12" t="s">
        <v>119</v>
      </c>
      <c r="M21" s="12">
        <f t="shared" si="1"/>
        <v>0</v>
      </c>
    </row>
    <row r="22" spans="1:13" ht="12.75">
      <c r="A22" s="4" t="s">
        <v>17</v>
      </c>
      <c r="B22" s="98" t="s">
        <v>64</v>
      </c>
      <c r="C22" s="94"/>
      <c r="D22" s="94"/>
      <c r="E22" s="94"/>
      <c r="F22" s="94"/>
      <c r="G22" s="94"/>
      <c r="H22" s="43">
        <f>SUMIF('Stavební rozpočet SO-01'!AN13:AN955,"38_",'Stavební rozpočet SO-01'!AL13:AL955)</f>
        <v>0</v>
      </c>
      <c r="I22" s="43">
        <f>SUMIF('Stavební rozpočet SO-01'!AN13:AN955,"38_",'Stavební rozpočet SO-01'!AM13:AM955)</f>
        <v>0</v>
      </c>
      <c r="J22" s="12">
        <f t="shared" si="0"/>
        <v>0</v>
      </c>
      <c r="K22" s="12">
        <v>6.75628</v>
      </c>
      <c r="L22" s="12" t="s">
        <v>119</v>
      </c>
      <c r="M22" s="12">
        <f t="shared" si="1"/>
        <v>0</v>
      </c>
    </row>
    <row r="23" spans="1:13" ht="12.75">
      <c r="A23" s="4" t="s">
        <v>18</v>
      </c>
      <c r="B23" s="98" t="s">
        <v>65</v>
      </c>
      <c r="C23" s="94"/>
      <c r="D23" s="94"/>
      <c r="E23" s="94"/>
      <c r="F23" s="94"/>
      <c r="G23" s="94"/>
      <c r="H23" s="43">
        <f>SUMIF('Stavební rozpočet SO-01'!AN13:AN955,"41_",'Stavební rozpočet SO-01'!AL13:AL955)</f>
        <v>0</v>
      </c>
      <c r="I23" s="43">
        <f>SUMIF('Stavební rozpočet SO-01'!AN13:AN955,"41_",'Stavební rozpočet SO-01'!AM13:AM955)</f>
        <v>0</v>
      </c>
      <c r="J23" s="12">
        <f t="shared" si="0"/>
        <v>0</v>
      </c>
      <c r="K23" s="12">
        <v>76.77922</v>
      </c>
      <c r="L23" s="12" t="s">
        <v>119</v>
      </c>
      <c r="M23" s="12">
        <f t="shared" si="1"/>
        <v>0</v>
      </c>
    </row>
    <row r="24" spans="1:13" ht="12.75">
      <c r="A24" s="4" t="s">
        <v>19</v>
      </c>
      <c r="B24" s="98" t="s">
        <v>66</v>
      </c>
      <c r="C24" s="94"/>
      <c r="D24" s="94"/>
      <c r="E24" s="94"/>
      <c r="F24" s="94"/>
      <c r="G24" s="94"/>
      <c r="H24" s="43">
        <f>SUMIF('Stavební rozpočet SO-01'!AN13:AN955,"43_",'Stavební rozpočet SO-01'!AL13:AL955)</f>
        <v>0</v>
      </c>
      <c r="I24" s="43">
        <f>SUMIF('Stavební rozpočet SO-01'!AN13:AN955,"43_",'Stavební rozpočet SO-01'!AM13:AM955)</f>
        <v>0</v>
      </c>
      <c r="J24" s="12">
        <f t="shared" si="0"/>
        <v>0</v>
      </c>
      <c r="K24" s="12">
        <v>420.11141</v>
      </c>
      <c r="L24" s="12" t="s">
        <v>119</v>
      </c>
      <c r="M24" s="12">
        <f t="shared" si="1"/>
        <v>0</v>
      </c>
    </row>
    <row r="25" spans="1:13" ht="12.75">
      <c r="A25" s="4" t="s">
        <v>20</v>
      </c>
      <c r="B25" s="98" t="s">
        <v>67</v>
      </c>
      <c r="C25" s="94"/>
      <c r="D25" s="94"/>
      <c r="E25" s="94"/>
      <c r="F25" s="94"/>
      <c r="G25" s="94"/>
      <c r="H25" s="43">
        <f>SUMIF('Stavební rozpočet SO-01'!AN13:AN955,"61_",'Stavební rozpočet SO-01'!AL13:AL955)</f>
        <v>0</v>
      </c>
      <c r="I25" s="43">
        <f>SUMIF('Stavební rozpočet SO-01'!AN13:AN955,"61_",'Stavební rozpočet SO-01'!AM13:AM955)</f>
        <v>0</v>
      </c>
      <c r="J25" s="12">
        <f t="shared" si="0"/>
        <v>0</v>
      </c>
      <c r="K25" s="12">
        <v>223.14463</v>
      </c>
      <c r="L25" s="12" t="s">
        <v>119</v>
      </c>
      <c r="M25" s="12">
        <f t="shared" si="1"/>
        <v>0</v>
      </c>
    </row>
    <row r="26" spans="1:13" ht="12.75">
      <c r="A26" s="4" t="s">
        <v>21</v>
      </c>
      <c r="B26" s="98" t="s">
        <v>68</v>
      </c>
      <c r="C26" s="94"/>
      <c r="D26" s="94"/>
      <c r="E26" s="94"/>
      <c r="F26" s="94"/>
      <c r="G26" s="94"/>
      <c r="H26" s="43">
        <f>SUMIF('Stavební rozpočet SO-01'!AN13:AN955,"62_",'Stavební rozpočet SO-01'!AL13:AL955)</f>
        <v>0</v>
      </c>
      <c r="I26" s="43">
        <f>SUMIF('Stavební rozpočet SO-01'!AN13:AN955,"62_",'Stavební rozpočet SO-01'!AM13:AM955)</f>
        <v>0</v>
      </c>
      <c r="J26" s="12">
        <f t="shared" si="0"/>
        <v>0</v>
      </c>
      <c r="K26" s="12">
        <v>50.9384</v>
      </c>
      <c r="L26" s="12" t="s">
        <v>119</v>
      </c>
      <c r="M26" s="12">
        <f t="shared" si="1"/>
        <v>0</v>
      </c>
    </row>
    <row r="27" spans="1:13" ht="12.75">
      <c r="A27" s="4" t="s">
        <v>22</v>
      </c>
      <c r="B27" s="98" t="s">
        <v>69</v>
      </c>
      <c r="C27" s="94"/>
      <c r="D27" s="94"/>
      <c r="E27" s="94"/>
      <c r="F27" s="94"/>
      <c r="G27" s="94"/>
      <c r="H27" s="43">
        <f>SUMIF('Stavební rozpočet SO-01'!AN13:AN955,"63_",'Stavební rozpočet SO-01'!AL13:AL955)</f>
        <v>0</v>
      </c>
      <c r="I27" s="43">
        <f>SUMIF('Stavební rozpočet SO-01'!AN13:AN955,"63_",'Stavební rozpočet SO-01'!AM13:AM955)</f>
        <v>0</v>
      </c>
      <c r="J27" s="12">
        <f t="shared" si="0"/>
        <v>0</v>
      </c>
      <c r="K27" s="12">
        <v>809.47465</v>
      </c>
      <c r="L27" s="12" t="s">
        <v>119</v>
      </c>
      <c r="M27" s="12">
        <f t="shared" si="1"/>
        <v>0</v>
      </c>
    </row>
    <row r="28" spans="1:13" ht="12.75">
      <c r="A28" s="4" t="s">
        <v>23</v>
      </c>
      <c r="B28" s="98" t="s">
        <v>70</v>
      </c>
      <c r="C28" s="94"/>
      <c r="D28" s="94"/>
      <c r="E28" s="94"/>
      <c r="F28" s="94"/>
      <c r="G28" s="94"/>
      <c r="H28" s="43">
        <f>SUMIF('Stavební rozpočet SO-01'!AN13:AN955,"64_",'Stavební rozpočet SO-01'!AL13:AL955)</f>
        <v>0</v>
      </c>
      <c r="I28" s="43">
        <f>SUMIF('Stavební rozpočet SO-01'!AN13:AN955,"64_",'Stavební rozpočet SO-01'!AM13:AM955)</f>
        <v>0</v>
      </c>
      <c r="J28" s="12">
        <f t="shared" si="0"/>
        <v>0</v>
      </c>
      <c r="K28" s="12">
        <v>2.72708</v>
      </c>
      <c r="L28" s="12" t="s">
        <v>119</v>
      </c>
      <c r="M28" s="12">
        <f t="shared" si="1"/>
        <v>0</v>
      </c>
    </row>
    <row r="29" spans="1:13" ht="12.75">
      <c r="A29" s="4" t="s">
        <v>24</v>
      </c>
      <c r="B29" s="98" t="s">
        <v>71</v>
      </c>
      <c r="C29" s="94"/>
      <c r="D29" s="94"/>
      <c r="E29" s="94"/>
      <c r="F29" s="94"/>
      <c r="G29" s="94"/>
      <c r="H29" s="43">
        <f>SUMIF('Stavební rozpočet SO-01'!AN13:AN955,"711_",'Stavební rozpočet SO-01'!AL13:AL955)</f>
        <v>0</v>
      </c>
      <c r="I29" s="43">
        <f>SUMIF('Stavební rozpočet SO-01'!AN13:AN955,"711_",'Stavební rozpočet SO-01'!AM13:AM955)</f>
        <v>0</v>
      </c>
      <c r="J29" s="12">
        <f t="shared" si="0"/>
        <v>0</v>
      </c>
      <c r="K29" s="12">
        <v>12.16896</v>
      </c>
      <c r="L29" s="12" t="s">
        <v>119</v>
      </c>
      <c r="M29" s="12">
        <f t="shared" si="1"/>
        <v>0</v>
      </c>
    </row>
    <row r="30" spans="1:13" ht="12.75">
      <c r="A30" s="4" t="s">
        <v>25</v>
      </c>
      <c r="B30" s="98" t="s">
        <v>72</v>
      </c>
      <c r="C30" s="94"/>
      <c r="D30" s="94"/>
      <c r="E30" s="94"/>
      <c r="F30" s="94"/>
      <c r="G30" s="94"/>
      <c r="H30" s="43">
        <f>SUMIF('Stavební rozpočet SO-01'!AN13:AN955,"713_",'Stavební rozpočet SO-01'!AL13:AL955)</f>
        <v>0</v>
      </c>
      <c r="I30" s="43">
        <f>SUMIF('Stavební rozpočet SO-01'!AN13:AN955,"713_",'Stavební rozpočet SO-01'!AM13:AM955)</f>
        <v>0</v>
      </c>
      <c r="J30" s="12">
        <f t="shared" si="0"/>
        <v>0</v>
      </c>
      <c r="K30" s="12">
        <v>10.70873</v>
      </c>
      <c r="L30" s="12" t="s">
        <v>119</v>
      </c>
      <c r="M30" s="12">
        <f t="shared" si="1"/>
        <v>0</v>
      </c>
    </row>
    <row r="31" spans="1:13" ht="12.75">
      <c r="A31" s="4" t="s">
        <v>2062</v>
      </c>
      <c r="B31" s="98" t="s">
        <v>2063</v>
      </c>
      <c r="C31" s="98"/>
      <c r="D31" s="98"/>
      <c r="E31" s="98"/>
      <c r="F31" s="98"/>
      <c r="G31" s="98"/>
      <c r="H31" s="43">
        <v>0</v>
      </c>
      <c r="I31" s="43">
        <v>0</v>
      </c>
      <c r="J31" s="12">
        <f aca="true" t="shared" si="2" ref="J31:J36">H31+I31</f>
        <v>0</v>
      </c>
      <c r="K31" s="12"/>
      <c r="L31" s="12"/>
      <c r="M31" s="12"/>
    </row>
    <row r="32" spans="1:13" ht="12.75">
      <c r="A32" s="4" t="s">
        <v>2057</v>
      </c>
      <c r="B32" s="98" t="s">
        <v>2064</v>
      </c>
      <c r="C32" s="98"/>
      <c r="D32" s="98"/>
      <c r="E32" s="98"/>
      <c r="F32" s="98"/>
      <c r="G32" s="98"/>
      <c r="H32" s="43">
        <v>0</v>
      </c>
      <c r="I32" s="43">
        <v>0</v>
      </c>
      <c r="J32" s="12">
        <f t="shared" si="2"/>
        <v>0</v>
      </c>
      <c r="K32" s="12"/>
      <c r="L32" s="12"/>
      <c r="M32" s="12"/>
    </row>
    <row r="33" spans="1:13" ht="12.75">
      <c r="A33" s="4" t="s">
        <v>2058</v>
      </c>
      <c r="B33" s="98" t="s">
        <v>2065</v>
      </c>
      <c r="C33" s="98"/>
      <c r="D33" s="98"/>
      <c r="E33" s="98"/>
      <c r="F33" s="98"/>
      <c r="G33" s="98"/>
      <c r="H33" s="43">
        <v>0</v>
      </c>
      <c r="I33" s="43">
        <v>0</v>
      </c>
      <c r="J33" s="12">
        <f t="shared" si="2"/>
        <v>0</v>
      </c>
      <c r="K33" s="12"/>
      <c r="L33" s="12"/>
      <c r="M33" s="12"/>
    </row>
    <row r="34" spans="1:13" ht="12.75">
      <c r="A34" s="4" t="s">
        <v>2059</v>
      </c>
      <c r="B34" s="98" t="s">
        <v>2066</v>
      </c>
      <c r="C34" s="98"/>
      <c r="D34" s="98"/>
      <c r="E34" s="98"/>
      <c r="F34" s="98"/>
      <c r="G34" s="98"/>
      <c r="H34" s="43">
        <v>0</v>
      </c>
      <c r="I34" s="43">
        <v>0</v>
      </c>
      <c r="J34" s="12">
        <f t="shared" si="2"/>
        <v>0</v>
      </c>
      <c r="K34" s="12"/>
      <c r="L34" s="12"/>
      <c r="M34" s="12"/>
    </row>
    <row r="35" spans="1:13" ht="12.75">
      <c r="A35" s="4" t="s">
        <v>2060</v>
      </c>
      <c r="B35" s="98" t="s">
        <v>2067</v>
      </c>
      <c r="C35" s="98"/>
      <c r="D35" s="98"/>
      <c r="E35" s="98"/>
      <c r="F35" s="98"/>
      <c r="G35" s="98"/>
      <c r="H35" s="43">
        <v>0</v>
      </c>
      <c r="I35" s="43">
        <v>0</v>
      </c>
      <c r="J35" s="12">
        <f t="shared" si="2"/>
        <v>0</v>
      </c>
      <c r="K35" s="12"/>
      <c r="L35" s="12"/>
      <c r="M35" s="12"/>
    </row>
    <row r="36" spans="1:13" ht="12.75">
      <c r="A36" s="4" t="s">
        <v>2061</v>
      </c>
      <c r="B36" s="98" t="s">
        <v>2068</v>
      </c>
      <c r="C36" s="98"/>
      <c r="D36" s="98"/>
      <c r="E36" s="98"/>
      <c r="F36" s="98"/>
      <c r="G36" s="98"/>
      <c r="H36" s="43">
        <v>0</v>
      </c>
      <c r="I36" s="43">
        <v>0</v>
      </c>
      <c r="J36" s="12">
        <f t="shared" si="2"/>
        <v>0</v>
      </c>
      <c r="K36" s="12"/>
      <c r="L36" s="12"/>
      <c r="M36" s="12"/>
    </row>
    <row r="37" spans="1:13" ht="12.75">
      <c r="A37" s="4" t="s">
        <v>26</v>
      </c>
      <c r="B37" s="98" t="s">
        <v>73</v>
      </c>
      <c r="C37" s="94"/>
      <c r="D37" s="94"/>
      <c r="E37" s="94"/>
      <c r="F37" s="94"/>
      <c r="G37" s="94"/>
      <c r="H37" s="43">
        <f>SUMIF('Stavební rozpočet SO-01'!AN13:AN955,"762_",'Stavební rozpočet SO-01'!AL13:AL955)</f>
        <v>0</v>
      </c>
      <c r="I37" s="43">
        <f>SUMIF('Stavební rozpočet SO-01'!AN13:AN955,"762_",'Stavební rozpočet SO-01'!AM13:AM955)</f>
        <v>0</v>
      </c>
      <c r="J37" s="12">
        <f t="shared" si="0"/>
        <v>0</v>
      </c>
      <c r="K37" s="12">
        <v>30.36769</v>
      </c>
      <c r="L37" s="12" t="s">
        <v>119</v>
      </c>
      <c r="M37" s="12">
        <f t="shared" si="1"/>
        <v>0</v>
      </c>
    </row>
    <row r="38" spans="1:13" ht="12.75">
      <c r="A38" s="4" t="s">
        <v>27</v>
      </c>
      <c r="B38" s="98" t="s">
        <v>74</v>
      </c>
      <c r="C38" s="94"/>
      <c r="D38" s="94"/>
      <c r="E38" s="94"/>
      <c r="F38" s="94"/>
      <c r="G38" s="94"/>
      <c r="H38" s="43">
        <f>SUMIF('Stavební rozpočet SO-01'!AN13:AN955,"764_",'Stavební rozpočet SO-01'!AL13:AL955)</f>
        <v>0</v>
      </c>
      <c r="I38" s="43">
        <f>SUMIF('Stavební rozpočet SO-01'!AN13:AN955,"764_",'Stavební rozpočet SO-01'!AM13:AM955)</f>
        <v>0</v>
      </c>
      <c r="J38" s="12">
        <f t="shared" si="0"/>
        <v>0</v>
      </c>
      <c r="K38" s="12">
        <v>3.11435</v>
      </c>
      <c r="L38" s="12" t="s">
        <v>119</v>
      </c>
      <c r="M38" s="12">
        <f t="shared" si="1"/>
        <v>0</v>
      </c>
    </row>
    <row r="39" spans="1:13" ht="12.75">
      <c r="A39" s="4" t="s">
        <v>28</v>
      </c>
      <c r="B39" s="98" t="s">
        <v>75</v>
      </c>
      <c r="C39" s="94"/>
      <c r="D39" s="94"/>
      <c r="E39" s="94"/>
      <c r="F39" s="94"/>
      <c r="G39" s="94"/>
      <c r="H39" s="43">
        <f>SUMIF('Stavební rozpočet SO-01'!AN13:AN955,"765_",'Stavební rozpočet SO-01'!AL13:AL955)</f>
        <v>0</v>
      </c>
      <c r="I39" s="43">
        <f>SUMIF('Stavební rozpočet SO-01'!AN13:AN955,"765_",'Stavební rozpočet SO-01'!AM13:AM955)</f>
        <v>0</v>
      </c>
      <c r="J39" s="12">
        <f t="shared" si="0"/>
        <v>0</v>
      </c>
      <c r="K39" s="12">
        <v>0.0375</v>
      </c>
      <c r="L39" s="12" t="s">
        <v>119</v>
      </c>
      <c r="M39" s="12">
        <f t="shared" si="1"/>
        <v>0</v>
      </c>
    </row>
    <row r="40" spans="1:13" s="82" customFormat="1" ht="12.75">
      <c r="A40" s="4" t="s">
        <v>29</v>
      </c>
      <c r="B40" s="98" t="s">
        <v>76</v>
      </c>
      <c r="C40" s="94"/>
      <c r="D40" s="94"/>
      <c r="E40" s="94"/>
      <c r="F40" s="94"/>
      <c r="G40" s="94"/>
      <c r="H40" s="43">
        <f>'Stavební rozpočet SO-01'!G589</f>
        <v>0</v>
      </c>
      <c r="I40" s="43">
        <f>'Stavební rozpočet SO-01'!H589</f>
        <v>0</v>
      </c>
      <c r="J40" s="12">
        <f t="shared" si="0"/>
        <v>0</v>
      </c>
      <c r="K40" s="12">
        <v>0.55532</v>
      </c>
      <c r="L40" s="12" t="s">
        <v>119</v>
      </c>
      <c r="M40" s="12">
        <f t="shared" si="1"/>
        <v>0</v>
      </c>
    </row>
    <row r="41" spans="1:13" ht="12.75">
      <c r="A41" s="4" t="s">
        <v>30</v>
      </c>
      <c r="B41" s="98" t="s">
        <v>76</v>
      </c>
      <c r="C41" s="94"/>
      <c r="D41" s="94"/>
      <c r="E41" s="94"/>
      <c r="F41" s="94"/>
      <c r="G41" s="94"/>
      <c r="H41" s="43">
        <f>SUMIF('Stavební rozpočet SO-01'!AN13:AN955,"766VD_",'Stavební rozpočet SO-01'!AL13:AL955)</f>
        <v>0</v>
      </c>
      <c r="I41" s="43">
        <f>SUMIF('Stavební rozpočet SO-01'!AN13:AN955,"766VD_",'Stavební rozpočet SO-01'!AM13:AM955)</f>
        <v>0</v>
      </c>
      <c r="J41" s="12">
        <f t="shared" si="0"/>
        <v>0</v>
      </c>
      <c r="K41" s="12">
        <v>0</v>
      </c>
      <c r="L41" s="12" t="s">
        <v>119</v>
      </c>
      <c r="M41" s="12">
        <f t="shared" si="1"/>
        <v>0</v>
      </c>
    </row>
    <row r="42" spans="1:13" ht="12.75">
      <c r="A42" s="4" t="s">
        <v>31</v>
      </c>
      <c r="B42" s="98" t="s">
        <v>77</v>
      </c>
      <c r="C42" s="94"/>
      <c r="D42" s="94"/>
      <c r="E42" s="94"/>
      <c r="F42" s="94"/>
      <c r="G42" s="94"/>
      <c r="H42" s="43">
        <f>SUMIF('Stavební rozpočet SO-01'!AN13:AN955,"767_",'Stavební rozpočet SO-01'!AL13:AL955)</f>
        <v>0</v>
      </c>
      <c r="I42" s="43">
        <f>SUMIF('Stavební rozpočet SO-01'!AN13:AN955,"767_",'Stavební rozpočet SO-01'!AM13:AM955)</f>
        <v>0</v>
      </c>
      <c r="J42" s="12">
        <f t="shared" si="0"/>
        <v>0</v>
      </c>
      <c r="K42" s="12">
        <v>1.51392</v>
      </c>
      <c r="L42" s="12" t="s">
        <v>119</v>
      </c>
      <c r="M42" s="12">
        <f t="shared" si="1"/>
        <v>0</v>
      </c>
    </row>
    <row r="43" spans="1:13" ht="12.75">
      <c r="A43" s="4" t="s">
        <v>32</v>
      </c>
      <c r="B43" s="98" t="s">
        <v>78</v>
      </c>
      <c r="C43" s="94"/>
      <c r="D43" s="94"/>
      <c r="E43" s="94"/>
      <c r="F43" s="94"/>
      <c r="G43" s="94"/>
      <c r="H43" s="43">
        <f>SUMIF('Stavební rozpočet SO-01'!AN13:AN955,"771_",'Stavební rozpočet SO-01'!AL13:AL955)</f>
        <v>0</v>
      </c>
      <c r="I43" s="43">
        <f>SUMIF('Stavební rozpočet SO-01'!AN13:AN955,"771_",'Stavební rozpočet SO-01'!AM13:AM955)</f>
        <v>0</v>
      </c>
      <c r="J43" s="12">
        <f t="shared" si="0"/>
        <v>0</v>
      </c>
      <c r="K43" s="12">
        <v>4.49788</v>
      </c>
      <c r="L43" s="12" t="s">
        <v>119</v>
      </c>
      <c r="M43" s="12">
        <f t="shared" si="1"/>
        <v>0</v>
      </c>
    </row>
    <row r="44" spans="1:13" ht="12.75">
      <c r="A44" s="4" t="s">
        <v>33</v>
      </c>
      <c r="B44" s="98" t="s">
        <v>79</v>
      </c>
      <c r="C44" s="94"/>
      <c r="D44" s="94"/>
      <c r="E44" s="94"/>
      <c r="F44" s="94"/>
      <c r="G44" s="94"/>
      <c r="H44" s="43">
        <f>SUMIF('Stavební rozpočet SO-01'!AN13:AN955,"773_",'Stavební rozpočet SO-01'!AL13:AL955)</f>
        <v>0</v>
      </c>
      <c r="I44" s="43">
        <f>SUMIF('Stavební rozpočet SO-01'!AN13:AN955,"773_",'Stavební rozpočet SO-01'!AM13:AM955)</f>
        <v>0</v>
      </c>
      <c r="J44" s="12">
        <f t="shared" si="0"/>
        <v>0</v>
      </c>
      <c r="K44" s="12">
        <v>0.89974</v>
      </c>
      <c r="L44" s="12" t="s">
        <v>119</v>
      </c>
      <c r="M44" s="12">
        <f t="shared" si="1"/>
        <v>0</v>
      </c>
    </row>
    <row r="45" spans="1:13" ht="12.75">
      <c r="A45" s="4" t="s">
        <v>34</v>
      </c>
      <c r="B45" s="98" t="s">
        <v>80</v>
      </c>
      <c r="C45" s="94"/>
      <c r="D45" s="94"/>
      <c r="E45" s="94"/>
      <c r="F45" s="94"/>
      <c r="G45" s="94"/>
      <c r="H45" s="43">
        <f>SUMIF('Stavební rozpočet SO-01'!AN13:AN955,"775_",'Stavební rozpočet SO-01'!AL13:AL955)</f>
        <v>0</v>
      </c>
      <c r="I45" s="43">
        <f>SUMIF('Stavební rozpočet SO-01'!AN13:AN955,"775_",'Stavební rozpočet SO-01'!AM13:AM955)</f>
        <v>0</v>
      </c>
      <c r="J45" s="12">
        <f t="shared" si="0"/>
        <v>0</v>
      </c>
      <c r="K45" s="12">
        <v>22.099</v>
      </c>
      <c r="L45" s="12" t="s">
        <v>119</v>
      </c>
      <c r="M45" s="12">
        <f t="shared" si="1"/>
        <v>0</v>
      </c>
    </row>
    <row r="46" spans="1:13" ht="12.75">
      <c r="A46" s="4" t="s">
        <v>35</v>
      </c>
      <c r="B46" s="98" t="s">
        <v>81</v>
      </c>
      <c r="C46" s="94"/>
      <c r="D46" s="94"/>
      <c r="E46" s="94"/>
      <c r="F46" s="94"/>
      <c r="G46" s="94"/>
      <c r="H46" s="43">
        <f>SUMIF('Stavební rozpočet SO-01'!AN13:AN955,"776_",'Stavební rozpočet SO-01'!AL13:AL955)</f>
        <v>0</v>
      </c>
      <c r="I46" s="43">
        <f>SUMIF('Stavební rozpočet SO-01'!AN13:AN955,"776_",'Stavební rozpočet SO-01'!AM13:AM955)</f>
        <v>0</v>
      </c>
      <c r="J46" s="12">
        <f t="shared" si="0"/>
        <v>0</v>
      </c>
      <c r="K46" s="12">
        <v>9.53729</v>
      </c>
      <c r="L46" s="12" t="s">
        <v>119</v>
      </c>
      <c r="M46" s="12">
        <f t="shared" si="1"/>
        <v>0</v>
      </c>
    </row>
    <row r="47" spans="1:13" ht="12.75">
      <c r="A47" s="4" t="s">
        <v>36</v>
      </c>
      <c r="B47" s="98" t="s">
        <v>82</v>
      </c>
      <c r="C47" s="94"/>
      <c r="D47" s="94"/>
      <c r="E47" s="94"/>
      <c r="F47" s="94"/>
      <c r="G47" s="94"/>
      <c r="H47" s="43">
        <f>SUMIF('Stavební rozpočet SO-01'!AN13:AN955,"781_",'Stavební rozpočet SO-01'!AL13:AL955)</f>
        <v>0</v>
      </c>
      <c r="I47" s="43">
        <f>SUMIF('Stavební rozpočet SO-01'!AN13:AN955,"781_",'Stavební rozpočet SO-01'!AM13:AM955)</f>
        <v>0</v>
      </c>
      <c r="J47" s="12">
        <f t="shared" si="0"/>
        <v>0</v>
      </c>
      <c r="K47" s="12">
        <v>18.16145</v>
      </c>
      <c r="L47" s="12" t="s">
        <v>119</v>
      </c>
      <c r="M47" s="12">
        <f t="shared" si="1"/>
        <v>0</v>
      </c>
    </row>
    <row r="48" spans="1:13" ht="12.75">
      <c r="A48" s="4" t="s">
        <v>37</v>
      </c>
      <c r="B48" s="98" t="s">
        <v>83</v>
      </c>
      <c r="C48" s="94"/>
      <c r="D48" s="94"/>
      <c r="E48" s="94"/>
      <c r="F48" s="94"/>
      <c r="G48" s="94"/>
      <c r="H48" s="43">
        <f>SUMIF('Stavební rozpočet SO-01'!AN13:AN955,"782_",'Stavební rozpočet SO-01'!AL13:AL955)</f>
        <v>0</v>
      </c>
      <c r="I48" s="43">
        <f>SUMIF('Stavební rozpočet SO-01'!AN13:AN955,"782_",'Stavební rozpočet SO-01'!AM13:AM955)</f>
        <v>0</v>
      </c>
      <c r="J48" s="12">
        <f t="shared" si="0"/>
        <v>0</v>
      </c>
      <c r="K48" s="12">
        <v>0.3229</v>
      </c>
      <c r="L48" s="12" t="s">
        <v>119</v>
      </c>
      <c r="M48" s="12">
        <f t="shared" si="1"/>
        <v>0</v>
      </c>
    </row>
    <row r="49" spans="1:13" ht="12.75">
      <c r="A49" s="4" t="s">
        <v>38</v>
      </c>
      <c r="B49" s="98" t="s">
        <v>84</v>
      </c>
      <c r="C49" s="94"/>
      <c r="D49" s="94"/>
      <c r="E49" s="94"/>
      <c r="F49" s="94"/>
      <c r="G49" s="94"/>
      <c r="H49" s="43">
        <f>SUMIF('Stavební rozpočet SO-01'!AN13:AN955,"783_",'Stavební rozpočet SO-01'!AL13:AL955)</f>
        <v>0</v>
      </c>
      <c r="I49" s="43">
        <f>SUMIF('Stavební rozpočet SO-01'!AN13:AN955,"783_",'Stavební rozpočet SO-01'!AM13:AM955)</f>
        <v>0</v>
      </c>
      <c r="J49" s="12">
        <f t="shared" si="0"/>
        <v>0</v>
      </c>
      <c r="K49" s="12">
        <v>1.68417</v>
      </c>
      <c r="L49" s="12" t="s">
        <v>119</v>
      </c>
      <c r="M49" s="12">
        <f t="shared" si="1"/>
        <v>0</v>
      </c>
    </row>
    <row r="50" spans="1:13" ht="12.75">
      <c r="A50" s="4" t="s">
        <v>39</v>
      </c>
      <c r="B50" s="98" t="s">
        <v>85</v>
      </c>
      <c r="C50" s="94"/>
      <c r="D50" s="94"/>
      <c r="E50" s="94"/>
      <c r="F50" s="94"/>
      <c r="G50" s="94"/>
      <c r="H50" s="43">
        <f>SUMIF('Stavební rozpočet SO-01'!AN13:AN955,"784_",'Stavební rozpočet SO-01'!AL13:AL955)</f>
        <v>0</v>
      </c>
      <c r="I50" s="43">
        <f>SUMIF('Stavební rozpočet SO-01'!AN13:AN955,"784_",'Stavební rozpočet SO-01'!AM13:AM955)</f>
        <v>0</v>
      </c>
      <c r="J50" s="12">
        <f t="shared" si="0"/>
        <v>0</v>
      </c>
      <c r="K50" s="12">
        <v>1.64143</v>
      </c>
      <c r="L50" s="12" t="s">
        <v>119</v>
      </c>
      <c r="M50" s="12">
        <f t="shared" si="1"/>
        <v>0</v>
      </c>
    </row>
    <row r="51" spans="1:13" ht="12.75">
      <c r="A51" s="4" t="s">
        <v>2069</v>
      </c>
      <c r="B51" s="98" t="s">
        <v>2070</v>
      </c>
      <c r="C51" s="98"/>
      <c r="D51" s="98"/>
      <c r="E51" s="98"/>
      <c r="F51" s="98"/>
      <c r="G51" s="98"/>
      <c r="H51" s="43">
        <v>0</v>
      </c>
      <c r="I51" s="43">
        <v>0</v>
      </c>
      <c r="J51" s="12">
        <f>H51+I51</f>
        <v>0</v>
      </c>
      <c r="K51" s="12"/>
      <c r="L51" s="12"/>
      <c r="M51" s="12"/>
    </row>
    <row r="52" spans="1:13" ht="12.75">
      <c r="A52" s="4" t="s">
        <v>40</v>
      </c>
      <c r="B52" s="98" t="s">
        <v>86</v>
      </c>
      <c r="C52" s="94"/>
      <c r="D52" s="94"/>
      <c r="E52" s="94"/>
      <c r="F52" s="94"/>
      <c r="G52" s="94"/>
      <c r="H52" s="43">
        <f>SUMIF('Stavební rozpočet SO-01'!AN13:AN955,"787_",'Stavební rozpočet SO-01'!AL13:AL955)</f>
        <v>0</v>
      </c>
      <c r="I52" s="43">
        <f>SUMIF('Stavební rozpočet SO-01'!AN13:AN955,"787_",'Stavební rozpočet SO-01'!AM13:AM955)</f>
        <v>0</v>
      </c>
      <c r="J52" s="12">
        <f t="shared" si="0"/>
        <v>0</v>
      </c>
      <c r="K52" s="12">
        <v>0.63053</v>
      </c>
      <c r="L52" s="12" t="s">
        <v>119</v>
      </c>
      <c r="M52" s="12">
        <f t="shared" si="1"/>
        <v>0</v>
      </c>
    </row>
    <row r="53" spans="1:13" ht="12.75">
      <c r="A53" s="4" t="s">
        <v>41</v>
      </c>
      <c r="B53" s="98" t="s">
        <v>87</v>
      </c>
      <c r="C53" s="94"/>
      <c r="D53" s="94"/>
      <c r="E53" s="94"/>
      <c r="F53" s="94"/>
      <c r="G53" s="94"/>
      <c r="H53" s="43">
        <f>SUMIF('Stavební rozpočet SO-01'!AN13:AN955,"796VD_",'Stavební rozpočet SO-01'!AL13:AL955)</f>
        <v>0</v>
      </c>
      <c r="I53" s="43">
        <f>SUMIF('Stavební rozpočet SO-01'!AN13:AN955,"796VD_",'Stavební rozpočet SO-01'!AM13:AM955)</f>
        <v>0</v>
      </c>
      <c r="J53" s="12">
        <f t="shared" si="0"/>
        <v>0</v>
      </c>
      <c r="K53" s="12">
        <v>0.38</v>
      </c>
      <c r="L53" s="12" t="s">
        <v>119</v>
      </c>
      <c r="M53" s="12">
        <f t="shared" si="1"/>
        <v>0</v>
      </c>
    </row>
    <row r="54" spans="1:13" ht="12.75">
      <c r="A54" s="4" t="s">
        <v>42</v>
      </c>
      <c r="B54" s="98" t="s">
        <v>88</v>
      </c>
      <c r="C54" s="94"/>
      <c r="D54" s="94"/>
      <c r="E54" s="94"/>
      <c r="F54" s="94"/>
      <c r="G54" s="94"/>
      <c r="H54" s="43">
        <f>SUMIF('Stavební rozpočet SO-01'!AN13:AN955,"90_",'Stavební rozpočet SO-01'!AL13:AL955)</f>
        <v>0</v>
      </c>
      <c r="I54" s="43">
        <f>SUMIF('Stavební rozpočet SO-01'!AN13:AN955,"90_",'Stavební rozpočet SO-01'!AM13:AM955)</f>
        <v>0</v>
      </c>
      <c r="J54" s="12">
        <f t="shared" si="0"/>
        <v>0</v>
      </c>
      <c r="K54" s="12">
        <v>0</v>
      </c>
      <c r="L54" s="12" t="s">
        <v>119</v>
      </c>
      <c r="M54" s="12">
        <f t="shared" si="1"/>
        <v>0</v>
      </c>
    </row>
    <row r="55" spans="1:13" ht="12.75">
      <c r="A55" s="4" t="s">
        <v>43</v>
      </c>
      <c r="B55" s="98" t="s">
        <v>89</v>
      </c>
      <c r="C55" s="94"/>
      <c r="D55" s="94"/>
      <c r="E55" s="94"/>
      <c r="F55" s="94"/>
      <c r="G55" s="94"/>
      <c r="H55" s="43">
        <f>SUMIF('Stavební rozpočet SO-01'!AN13:AN955,"94_",'Stavební rozpočet SO-01'!AL13:AL955)</f>
        <v>0</v>
      </c>
      <c r="I55" s="43">
        <f>SUMIF('Stavební rozpočet SO-01'!AN13:AN955,"94_",'Stavební rozpočet SO-01'!AM13:AM955)</f>
        <v>0</v>
      </c>
      <c r="J55" s="12">
        <f t="shared" si="0"/>
        <v>0</v>
      </c>
      <c r="K55" s="12">
        <v>68.35594</v>
      </c>
      <c r="L55" s="12" t="s">
        <v>119</v>
      </c>
      <c r="M55" s="12">
        <f t="shared" si="1"/>
        <v>0</v>
      </c>
    </row>
    <row r="56" spans="1:13" ht="12.75">
      <c r="A56" s="4" t="s">
        <v>44</v>
      </c>
      <c r="B56" s="98" t="s">
        <v>90</v>
      </c>
      <c r="C56" s="94"/>
      <c r="D56" s="94"/>
      <c r="E56" s="94"/>
      <c r="F56" s="94"/>
      <c r="G56" s="94"/>
      <c r="H56" s="43">
        <f>SUMIF('Stavební rozpočet SO-01'!AN13:AN955,"95_",'Stavební rozpočet SO-01'!AL13:AL955)</f>
        <v>0</v>
      </c>
      <c r="I56" s="43">
        <f>SUMIF('Stavební rozpočet SO-01'!AN13:AN955,"95_",'Stavební rozpočet SO-01'!AM13:AM955)</f>
        <v>0</v>
      </c>
      <c r="J56" s="12">
        <f t="shared" si="0"/>
        <v>0</v>
      </c>
      <c r="K56" s="12">
        <v>20.09542</v>
      </c>
      <c r="L56" s="12" t="s">
        <v>119</v>
      </c>
      <c r="M56" s="12">
        <f t="shared" si="1"/>
        <v>0</v>
      </c>
    </row>
    <row r="57" spans="1:13" ht="12.75">
      <c r="A57" s="4" t="s">
        <v>45</v>
      </c>
      <c r="B57" s="98" t="s">
        <v>91</v>
      </c>
      <c r="C57" s="94"/>
      <c r="D57" s="94"/>
      <c r="E57" s="94"/>
      <c r="F57" s="94"/>
      <c r="G57" s="94"/>
      <c r="H57" s="43">
        <f>SUMIF('Stavební rozpočet SO-01'!AN13:AN955,"96_",'Stavební rozpočet SO-01'!AL13:AL955)</f>
        <v>0</v>
      </c>
      <c r="I57" s="43">
        <f>SUMIF('Stavební rozpočet SO-01'!AN13:AN955,"96_",'Stavební rozpočet SO-01'!AM13:AM955)</f>
        <v>0</v>
      </c>
      <c r="J57" s="12">
        <f t="shared" si="0"/>
        <v>0</v>
      </c>
      <c r="K57" s="12">
        <v>898.87465</v>
      </c>
      <c r="L57" s="12" t="s">
        <v>119</v>
      </c>
      <c r="M57" s="12">
        <f t="shared" si="1"/>
        <v>0</v>
      </c>
    </row>
    <row r="58" spans="1:13" ht="12.75">
      <c r="A58" s="4" t="s">
        <v>46</v>
      </c>
      <c r="B58" s="98" t="s">
        <v>92</v>
      </c>
      <c r="C58" s="94"/>
      <c r="D58" s="94"/>
      <c r="E58" s="94"/>
      <c r="F58" s="94"/>
      <c r="G58" s="94"/>
      <c r="H58" s="43">
        <f>SUMIF('Stavební rozpočet SO-01'!AN13:AN955,"97_",'Stavební rozpočet SO-01'!AL13:AL955)</f>
        <v>0</v>
      </c>
      <c r="I58" s="43">
        <f>SUMIF('Stavební rozpočet SO-01'!AN13:AN955,"97_",'Stavební rozpočet SO-01'!AM13:AM955)</f>
        <v>0</v>
      </c>
      <c r="J58" s="12">
        <f t="shared" si="0"/>
        <v>0</v>
      </c>
      <c r="K58" s="12">
        <v>181.91412</v>
      </c>
      <c r="L58" s="12" t="s">
        <v>119</v>
      </c>
      <c r="M58" s="12">
        <f t="shared" si="1"/>
        <v>0</v>
      </c>
    </row>
    <row r="59" spans="1:13" ht="12.75">
      <c r="A59" s="4" t="s">
        <v>47</v>
      </c>
      <c r="B59" s="98" t="s">
        <v>93</v>
      </c>
      <c r="C59" s="94"/>
      <c r="D59" s="94"/>
      <c r="E59" s="94"/>
      <c r="F59" s="94"/>
      <c r="G59" s="94"/>
      <c r="H59" s="43">
        <f>SUMIF('Stavební rozpočet SO-01'!AN13:AN955,"H01_",'Stavební rozpočet SO-01'!AL13:AL955)</f>
        <v>0</v>
      </c>
      <c r="I59" s="43">
        <f>SUMIF('Stavební rozpočet SO-01'!AN13:AN955,"H01_",'Stavební rozpočet SO-01'!AM13:AM955)</f>
        <v>0</v>
      </c>
      <c r="J59" s="12">
        <f t="shared" si="0"/>
        <v>0</v>
      </c>
      <c r="K59" s="12">
        <v>0</v>
      </c>
      <c r="L59" s="12" t="s">
        <v>119</v>
      </c>
      <c r="M59" s="12">
        <f t="shared" si="1"/>
        <v>0</v>
      </c>
    </row>
    <row r="60" spans="1:13" ht="12.75">
      <c r="A60" s="4" t="s">
        <v>48</v>
      </c>
      <c r="B60" s="98" t="s">
        <v>94</v>
      </c>
      <c r="C60" s="94"/>
      <c r="D60" s="94"/>
      <c r="E60" s="94"/>
      <c r="F60" s="94"/>
      <c r="G60" s="94"/>
      <c r="H60" s="43">
        <f>SUMIF('Stavební rozpočet SO-01'!AN13:AN955,"M_",'Stavební rozpočet SO-01'!AL13:AL955)</f>
        <v>0</v>
      </c>
      <c r="I60" s="43">
        <f>SUMIF('Stavební rozpočet SO-01'!AN13:AN955,"M_",'Stavební rozpočet SO-01'!AM13:AM955)</f>
        <v>0</v>
      </c>
      <c r="J60" s="12">
        <f t="shared" si="0"/>
        <v>0</v>
      </c>
      <c r="K60" s="12">
        <v>0</v>
      </c>
      <c r="L60" s="12" t="s">
        <v>119</v>
      </c>
      <c r="M60" s="12">
        <f t="shared" si="1"/>
        <v>0</v>
      </c>
    </row>
    <row r="61" spans="1:13" ht="12.75">
      <c r="A61" s="4" t="s">
        <v>49</v>
      </c>
      <c r="B61" s="98" t="s">
        <v>95</v>
      </c>
      <c r="C61" s="94"/>
      <c r="D61" s="94"/>
      <c r="E61" s="94"/>
      <c r="F61" s="94"/>
      <c r="G61" s="94"/>
      <c r="H61" s="43">
        <f>SUMIF('Stavební rozpočet SO-01'!AN13:AN955,"M33_",'Stavební rozpočet SO-01'!AL13:AL955)</f>
        <v>0</v>
      </c>
      <c r="I61" s="43">
        <f>SUMIF('Stavební rozpočet SO-01'!AN13:AN955,"M33_",'Stavební rozpočet SO-01'!AM13:AM955)</f>
        <v>0</v>
      </c>
      <c r="J61" s="12">
        <f t="shared" si="0"/>
        <v>0</v>
      </c>
      <c r="K61" s="12">
        <v>3.35</v>
      </c>
      <c r="L61" s="12" t="s">
        <v>119</v>
      </c>
      <c r="M61" s="12">
        <f t="shared" si="1"/>
        <v>0</v>
      </c>
    </row>
    <row r="62" spans="1:13" ht="12.75">
      <c r="A62" s="4" t="s">
        <v>50</v>
      </c>
      <c r="B62" s="98" t="s">
        <v>96</v>
      </c>
      <c r="C62" s="94"/>
      <c r="D62" s="94"/>
      <c r="E62" s="94"/>
      <c r="F62" s="94"/>
      <c r="G62" s="94"/>
      <c r="H62" s="43">
        <f>SUMIF('Stavební rozpočet SO-01'!AN13:AN955,"M43_",'Stavební rozpočet SO-01'!AL13:AL955)</f>
        <v>0</v>
      </c>
      <c r="I62" s="43">
        <f>SUMIF('Stavební rozpočet SO-01'!AN13:AN955,"M43_",'Stavební rozpočet SO-01'!AM13:AM955)</f>
        <v>0</v>
      </c>
      <c r="J62" s="12">
        <f t="shared" si="0"/>
        <v>0</v>
      </c>
      <c r="K62" s="12">
        <v>0.2407</v>
      </c>
      <c r="L62" s="12" t="s">
        <v>119</v>
      </c>
      <c r="M62" s="12">
        <f t="shared" si="1"/>
        <v>0</v>
      </c>
    </row>
    <row r="63" spans="1:13" ht="12.75">
      <c r="A63" s="4" t="s">
        <v>51</v>
      </c>
      <c r="B63" s="98" t="s">
        <v>97</v>
      </c>
      <c r="C63" s="94"/>
      <c r="D63" s="94"/>
      <c r="E63" s="94"/>
      <c r="F63" s="94"/>
      <c r="G63" s="94"/>
      <c r="H63" s="43">
        <f>SUMIF('Stavební rozpočet SO-01'!AN13:AN955,"M46_",'Stavební rozpočet SO-01'!AL13:AL955)</f>
        <v>0</v>
      </c>
      <c r="I63" s="43">
        <f>SUMIF('Stavební rozpočet SO-01'!AN13:AN955,"M46_",'Stavební rozpočet SO-01'!AM13:AM955)</f>
        <v>0</v>
      </c>
      <c r="J63" s="12">
        <f t="shared" si="0"/>
        <v>0</v>
      </c>
      <c r="K63" s="12">
        <v>15.30342</v>
      </c>
      <c r="L63" s="12" t="s">
        <v>119</v>
      </c>
      <c r="M63" s="12">
        <f t="shared" si="1"/>
        <v>0</v>
      </c>
    </row>
    <row r="64" spans="1:13" ht="12.75">
      <c r="A64" s="5" t="s">
        <v>52</v>
      </c>
      <c r="B64" s="99" t="s">
        <v>98</v>
      </c>
      <c r="C64" s="100"/>
      <c r="D64" s="100"/>
      <c r="E64" s="100"/>
      <c r="F64" s="100"/>
      <c r="G64" s="100"/>
      <c r="H64" s="44">
        <f>SUMIF('Stavební rozpočet SO-01'!AN13:AN955,"S_",'Stavební rozpočet SO-01'!AL13:AL955)</f>
        <v>0</v>
      </c>
      <c r="I64" s="44">
        <f>SUMIF('Stavební rozpočet SO-01'!AN13:AN955,"S_",'Stavební rozpočet SO-01'!AM13:AM955)</f>
        <v>0</v>
      </c>
      <c r="J64" s="13">
        <f t="shared" si="0"/>
        <v>0</v>
      </c>
      <c r="K64" s="13">
        <v>0</v>
      </c>
      <c r="L64" s="12" t="s">
        <v>119</v>
      </c>
      <c r="M64" s="12">
        <f t="shared" si="1"/>
        <v>0</v>
      </c>
    </row>
    <row r="65" spans="1:11" ht="11.25" customHeight="1">
      <c r="A65" s="6"/>
      <c r="B65" s="6"/>
      <c r="C65" s="6"/>
      <c r="D65" s="6"/>
      <c r="E65" s="6"/>
      <c r="F65" s="6"/>
      <c r="G65" s="6"/>
      <c r="H65" s="92" t="s">
        <v>112</v>
      </c>
      <c r="I65" s="93"/>
      <c r="J65" s="16">
        <f>SUM(M12:M64)</f>
        <v>0</v>
      </c>
      <c r="K65" s="68">
        <f>SUM(K12:K64)</f>
        <v>3400.1649599999996</v>
      </c>
    </row>
    <row r="66" spans="1:10" ht="409.5" customHeight="1" hidden="1">
      <c r="A66" s="94"/>
      <c r="B66" s="94"/>
      <c r="C66" s="94"/>
      <c r="D66" s="94"/>
      <c r="E66" s="94"/>
      <c r="F66" s="94"/>
      <c r="G66" s="94"/>
      <c r="H66" s="94"/>
      <c r="I66" s="94"/>
      <c r="J66" s="94"/>
    </row>
  </sheetData>
  <sheetProtection/>
  <mergeCells count="83">
    <mergeCell ref="A1:K1"/>
    <mergeCell ref="C2:C3"/>
    <mergeCell ref="D2:E3"/>
    <mergeCell ref="F2:G3"/>
    <mergeCell ref="H2:H3"/>
    <mergeCell ref="I2:K3"/>
    <mergeCell ref="C6:C7"/>
    <mergeCell ref="D6:E7"/>
    <mergeCell ref="F6:G7"/>
    <mergeCell ref="H6:H7"/>
    <mergeCell ref="I6:K7"/>
    <mergeCell ref="C4:C5"/>
    <mergeCell ref="D4:E5"/>
    <mergeCell ref="F4:G5"/>
    <mergeCell ref="H4:H5"/>
    <mergeCell ref="I4:K5"/>
    <mergeCell ref="C8:C9"/>
    <mergeCell ref="D8:E9"/>
    <mergeCell ref="F8:G9"/>
    <mergeCell ref="H8:H9"/>
    <mergeCell ref="I8:K9"/>
    <mergeCell ref="B51:G51"/>
    <mergeCell ref="B10:G10"/>
    <mergeCell ref="H10:J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7:G37"/>
    <mergeCell ref="B38:G38"/>
    <mergeCell ref="B33:G33"/>
    <mergeCell ref="B34:G34"/>
    <mergeCell ref="B35:G35"/>
    <mergeCell ref="B39:G39"/>
    <mergeCell ref="B40:G40"/>
    <mergeCell ref="B41:G41"/>
    <mergeCell ref="B42:G42"/>
    <mergeCell ref="B43:G43"/>
    <mergeCell ref="B44:G44"/>
    <mergeCell ref="B45:G45"/>
    <mergeCell ref="B58:G58"/>
    <mergeCell ref="B46:G46"/>
    <mergeCell ref="B47:G47"/>
    <mergeCell ref="B48:G48"/>
    <mergeCell ref="B49:G49"/>
    <mergeCell ref="B50:G50"/>
    <mergeCell ref="B52:G52"/>
    <mergeCell ref="B60:G60"/>
    <mergeCell ref="B61:G61"/>
    <mergeCell ref="B62:G62"/>
    <mergeCell ref="B63:G63"/>
    <mergeCell ref="B64:G64"/>
    <mergeCell ref="B53:G53"/>
    <mergeCell ref="B54:G54"/>
    <mergeCell ref="B55:G55"/>
    <mergeCell ref="B56:G56"/>
    <mergeCell ref="B57:G57"/>
    <mergeCell ref="H65:I65"/>
    <mergeCell ref="A66:J66"/>
    <mergeCell ref="A2:B3"/>
    <mergeCell ref="A4:B5"/>
    <mergeCell ref="A6:B7"/>
    <mergeCell ref="A8:B8"/>
    <mergeCell ref="B36:G36"/>
    <mergeCell ref="B31:G31"/>
    <mergeCell ref="B32:G32"/>
    <mergeCell ref="B59:G59"/>
  </mergeCells>
  <printOptions/>
  <pageMargins left="0.394" right="0.394" top="0.591" bottom="0.59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58"/>
  <sheetViews>
    <sheetView tabSelected="1" zoomScale="115" zoomScaleNormal="115" zoomScalePageLayoutView="0" workbookViewId="0" topLeftCell="A1">
      <pane ySplit="12" topLeftCell="A348" activePane="bottomLeft" state="frozen"/>
      <selection pane="topLeft" activeCell="A1" sqref="A1"/>
      <selection pane="bottomLeft" activeCell="E358" sqref="E358"/>
    </sheetView>
  </sheetViews>
  <sheetFormatPr defaultColWidth="11.57421875" defaultRowHeight="12.75"/>
  <cols>
    <col min="1" max="1" width="6.00390625" style="51" customWidth="1"/>
    <col min="2" max="2" width="13.28125" style="0" customWidth="1"/>
    <col min="3" max="3" width="71.28125" style="0" customWidth="1"/>
    <col min="4" max="4" width="7.00390625" style="0" customWidth="1"/>
    <col min="5" max="5" width="12.8515625" style="0" customWidth="1"/>
    <col min="6" max="6" width="12.00390625" style="0" customWidth="1"/>
    <col min="7" max="7" width="12.7109375" style="0" customWidth="1"/>
    <col min="8" max="8" width="13.28125" style="0" customWidth="1"/>
    <col min="9" max="9" width="14.28125" style="0" customWidth="1"/>
    <col min="10" max="10" width="10.140625" style="73" customWidth="1"/>
    <col min="11" max="11" width="9.7109375" style="73" customWidth="1"/>
    <col min="12" max="12" width="11.7109375" style="0" customWidth="1"/>
    <col min="13" max="13" width="0" style="0" hidden="1" customWidth="1"/>
    <col min="14" max="46" width="12.140625" style="0" hidden="1" customWidth="1"/>
  </cols>
  <sheetData>
    <row r="1" spans="1:12" ht="27.75" customHeight="1">
      <c r="A1" s="129" t="s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12.75">
      <c r="A2" s="130" t="s">
        <v>0</v>
      </c>
      <c r="B2" s="119"/>
      <c r="C2" s="116" t="s">
        <v>99</v>
      </c>
      <c r="D2" s="118" t="s">
        <v>102</v>
      </c>
      <c r="E2" s="119"/>
      <c r="F2" s="118"/>
      <c r="G2" s="119"/>
      <c r="H2" s="95" t="s">
        <v>106</v>
      </c>
      <c r="I2" s="95" t="s">
        <v>113</v>
      </c>
      <c r="J2" s="119"/>
      <c r="K2" s="119"/>
      <c r="L2" s="120"/>
      <c r="M2" s="14"/>
    </row>
    <row r="3" spans="1:13" ht="12.75">
      <c r="A3" s="128"/>
      <c r="B3" s="94"/>
      <c r="C3" s="117"/>
      <c r="D3" s="94"/>
      <c r="E3" s="94"/>
      <c r="F3" s="94"/>
      <c r="G3" s="94"/>
      <c r="H3" s="94"/>
      <c r="I3" s="94"/>
      <c r="J3" s="94"/>
      <c r="K3" s="94"/>
      <c r="L3" s="103"/>
      <c r="M3" s="14"/>
    </row>
    <row r="4" spans="1:13" ht="12.75">
      <c r="A4" s="97" t="s">
        <v>1</v>
      </c>
      <c r="B4" s="94"/>
      <c r="C4" s="96" t="s">
        <v>100</v>
      </c>
      <c r="D4" s="98" t="s">
        <v>103</v>
      </c>
      <c r="E4" s="94"/>
      <c r="F4" s="98" t="s">
        <v>4</v>
      </c>
      <c r="G4" s="94"/>
      <c r="H4" s="96" t="s">
        <v>107</v>
      </c>
      <c r="I4" s="96" t="s">
        <v>114</v>
      </c>
      <c r="J4" s="94"/>
      <c r="K4" s="94"/>
      <c r="L4" s="103"/>
      <c r="M4" s="14"/>
    </row>
    <row r="5" spans="1:13" ht="12.75">
      <c r="A5" s="128"/>
      <c r="B5" s="94"/>
      <c r="C5" s="94"/>
      <c r="D5" s="94"/>
      <c r="E5" s="94"/>
      <c r="F5" s="94"/>
      <c r="G5" s="94"/>
      <c r="H5" s="94"/>
      <c r="I5" s="94"/>
      <c r="J5" s="94"/>
      <c r="K5" s="94"/>
      <c r="L5" s="103"/>
      <c r="M5" s="14"/>
    </row>
    <row r="6" spans="1:13" ht="12.75">
      <c r="A6" s="97" t="s">
        <v>2</v>
      </c>
      <c r="B6" s="94"/>
      <c r="C6" s="96" t="s">
        <v>101</v>
      </c>
      <c r="D6" s="98" t="s">
        <v>104</v>
      </c>
      <c r="E6" s="94"/>
      <c r="F6" s="94"/>
      <c r="G6" s="94"/>
      <c r="H6" s="96" t="s">
        <v>108</v>
      </c>
      <c r="I6" s="96" t="s">
        <v>115</v>
      </c>
      <c r="J6" s="94"/>
      <c r="K6" s="94"/>
      <c r="L6" s="103"/>
      <c r="M6" s="14"/>
    </row>
    <row r="7" spans="1:13" ht="12.75">
      <c r="A7" s="128"/>
      <c r="B7" s="94"/>
      <c r="C7" s="94"/>
      <c r="D7" s="94"/>
      <c r="E7" s="94"/>
      <c r="F7" s="94"/>
      <c r="G7" s="94"/>
      <c r="H7" s="94"/>
      <c r="I7" s="94"/>
      <c r="J7" s="94"/>
      <c r="K7" s="94"/>
      <c r="L7" s="103"/>
      <c r="M7" s="14"/>
    </row>
    <row r="8" spans="1:13" ht="12.75">
      <c r="A8" s="97" t="s">
        <v>3</v>
      </c>
      <c r="B8" s="94"/>
      <c r="C8" s="96"/>
      <c r="D8" s="98" t="s">
        <v>105</v>
      </c>
      <c r="E8" s="94"/>
      <c r="F8" s="102">
        <v>42185</v>
      </c>
      <c r="G8" s="94"/>
      <c r="H8" s="96" t="s">
        <v>109</v>
      </c>
      <c r="I8" s="96"/>
      <c r="J8" s="94"/>
      <c r="K8" s="94"/>
      <c r="L8" s="103"/>
      <c r="M8" s="14"/>
    </row>
    <row r="9" spans="1:13" ht="12.75">
      <c r="A9" s="127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4"/>
      <c r="M9" s="14"/>
    </row>
    <row r="10" spans="1:13" ht="12.75">
      <c r="A10" s="47" t="s">
        <v>121</v>
      </c>
      <c r="B10" s="20" t="s">
        <v>6</v>
      </c>
      <c r="C10" s="20" t="s">
        <v>1194</v>
      </c>
      <c r="D10" s="20" t="s">
        <v>1939</v>
      </c>
      <c r="E10" s="25" t="s">
        <v>1954</v>
      </c>
      <c r="F10" s="29" t="s">
        <v>1955</v>
      </c>
      <c r="G10" s="108" t="s">
        <v>110</v>
      </c>
      <c r="H10" s="109"/>
      <c r="I10" s="110"/>
      <c r="J10" s="123" t="s">
        <v>118</v>
      </c>
      <c r="K10" s="124"/>
      <c r="L10" s="33" t="s">
        <v>1957</v>
      </c>
      <c r="M10" s="15"/>
    </row>
    <row r="11" spans="1:23" ht="12.75">
      <c r="A11" s="48" t="s">
        <v>4</v>
      </c>
      <c r="B11" s="21" t="s">
        <v>4</v>
      </c>
      <c r="C11" s="2" t="s">
        <v>1195</v>
      </c>
      <c r="D11" s="21" t="s">
        <v>4</v>
      </c>
      <c r="E11" s="21" t="s">
        <v>4</v>
      </c>
      <c r="F11" s="30" t="s">
        <v>1956</v>
      </c>
      <c r="G11" s="7" t="s">
        <v>111</v>
      </c>
      <c r="H11" s="8" t="s">
        <v>116</v>
      </c>
      <c r="I11" s="10" t="s">
        <v>117</v>
      </c>
      <c r="J11" s="69" t="s">
        <v>1955</v>
      </c>
      <c r="K11" s="70" t="s">
        <v>117</v>
      </c>
      <c r="L11" s="34" t="s">
        <v>1958</v>
      </c>
      <c r="M11" s="15"/>
      <c r="O11" s="32" t="s">
        <v>1965</v>
      </c>
      <c r="P11" s="32" t="s">
        <v>1966</v>
      </c>
      <c r="Q11" s="32" t="s">
        <v>1970</v>
      </c>
      <c r="R11" s="32" t="s">
        <v>1971</v>
      </c>
      <c r="S11" s="32" t="s">
        <v>1972</v>
      </c>
      <c r="T11" s="32" t="s">
        <v>1973</v>
      </c>
      <c r="U11" s="32" t="s">
        <v>1974</v>
      </c>
      <c r="V11" s="32" t="s">
        <v>1975</v>
      </c>
      <c r="W11" s="32" t="s">
        <v>1976</v>
      </c>
    </row>
    <row r="12" spans="1:36" ht="12.75">
      <c r="A12" s="49"/>
      <c r="B12" s="22" t="s">
        <v>7</v>
      </c>
      <c r="C12" s="125" t="s">
        <v>54</v>
      </c>
      <c r="D12" s="126"/>
      <c r="E12" s="126"/>
      <c r="F12" s="126"/>
      <c r="G12" s="39">
        <f>SUM(G13:G13)</f>
        <v>0</v>
      </c>
      <c r="H12" s="39">
        <f>SUM(H13:H13)</f>
        <v>0</v>
      </c>
      <c r="I12" s="39">
        <f>G12+H12</f>
        <v>0</v>
      </c>
      <c r="J12" s="71"/>
      <c r="K12" s="71">
        <f>SUM(K13:K13)</f>
        <v>0</v>
      </c>
      <c r="L12" s="31"/>
      <c r="O12" s="40">
        <f>IF(P12="PR",I12,SUM(N13:N13))</f>
        <v>0</v>
      </c>
      <c r="P12" s="32" t="s">
        <v>1967</v>
      </c>
      <c r="Q12" s="40">
        <f>IF(P12="HS",G12,0)</f>
        <v>0</v>
      </c>
      <c r="R12" s="40">
        <f>IF(P12="HS",H12-O12,0)</f>
        <v>0</v>
      </c>
      <c r="S12" s="40">
        <f>IF(P12="PS",G12,0)</f>
        <v>0</v>
      </c>
      <c r="T12" s="40">
        <f>IF(P12="PS",H12-O12,0)</f>
        <v>0</v>
      </c>
      <c r="U12" s="40">
        <f>IF(P12="MP",G12,0)</f>
        <v>0</v>
      </c>
      <c r="V12" s="40">
        <f>IF(P12="MP",H12-O12,0)</f>
        <v>0</v>
      </c>
      <c r="W12" s="40">
        <f>IF(P12="OM",G12,0)</f>
        <v>0</v>
      </c>
      <c r="X12" s="32"/>
      <c r="AH12" s="40">
        <f>SUM(Y13:Y13)</f>
        <v>0</v>
      </c>
      <c r="AI12" s="40">
        <f>SUM(Z13:Z13)</f>
        <v>0</v>
      </c>
      <c r="AJ12" s="40">
        <f>SUM(AA13:AA13)</f>
        <v>0</v>
      </c>
    </row>
    <row r="13" spans="1:42" ht="12.75">
      <c r="A13" s="50" t="s">
        <v>122</v>
      </c>
      <c r="B13" s="17" t="s">
        <v>658</v>
      </c>
      <c r="C13" s="17" t="s">
        <v>1196</v>
      </c>
      <c r="D13" s="17" t="s">
        <v>1940</v>
      </c>
      <c r="E13" s="26">
        <v>0.81</v>
      </c>
      <c r="F13" s="26">
        <v>0</v>
      </c>
      <c r="G13" s="26">
        <f>E13*AD13</f>
        <v>0</v>
      </c>
      <c r="H13" s="26">
        <f>I13-G13</f>
        <v>0</v>
      </c>
      <c r="I13" s="26">
        <f>E13*F13</f>
        <v>0</v>
      </c>
      <c r="J13" s="72">
        <v>0</v>
      </c>
      <c r="K13" s="72">
        <f>E13*J13</f>
        <v>0</v>
      </c>
      <c r="L13" s="35" t="s">
        <v>1959</v>
      </c>
      <c r="M13" s="35" t="s">
        <v>122</v>
      </c>
      <c r="N13" s="26">
        <f>IF(M13="5",H13,0)</f>
        <v>0</v>
      </c>
      <c r="Y13" s="26">
        <f>IF(AC13=0,I13,0)</f>
        <v>0</v>
      </c>
      <c r="Z13" s="26">
        <f>IF(AC13=15,I13,0)</f>
        <v>0</v>
      </c>
      <c r="AA13" s="26">
        <f>IF(AC13=21,I13,0)</f>
        <v>0</v>
      </c>
      <c r="AC13" s="12">
        <v>21</v>
      </c>
      <c r="AD13" s="12">
        <f>F13*0.926726800939083</f>
        <v>0</v>
      </c>
      <c r="AE13" s="12">
        <f>F13*(1-0.926726800939083)</f>
        <v>0</v>
      </c>
      <c r="AL13" s="12">
        <f>E13*AD13</f>
        <v>0</v>
      </c>
      <c r="AM13" s="12">
        <f>E13*AE13</f>
        <v>0</v>
      </c>
      <c r="AN13" s="38" t="s">
        <v>1977</v>
      </c>
      <c r="AO13" s="38" t="s">
        <v>1977</v>
      </c>
      <c r="AP13" s="32" t="s">
        <v>2034</v>
      </c>
    </row>
    <row r="14" ht="12.75">
      <c r="C14" s="24" t="s">
        <v>1197</v>
      </c>
    </row>
    <row r="15" spans="1:36" ht="12.75">
      <c r="A15" s="52"/>
      <c r="B15" s="23" t="s">
        <v>8</v>
      </c>
      <c r="C15" s="121" t="s">
        <v>55</v>
      </c>
      <c r="D15" s="122"/>
      <c r="E15" s="122"/>
      <c r="F15" s="122"/>
      <c r="G15" s="40">
        <f>SUM(G16:G24)</f>
        <v>0</v>
      </c>
      <c r="H15" s="40">
        <f>SUM(H16:H24)</f>
        <v>0</v>
      </c>
      <c r="I15" s="40">
        <f>G15+H15</f>
        <v>0</v>
      </c>
      <c r="J15" s="74"/>
      <c r="K15" s="74">
        <f>SUM(K16:K24)</f>
        <v>0</v>
      </c>
      <c r="L15" s="32"/>
      <c r="O15" s="40">
        <f>IF(P15="PR",I15,SUM(N16:N24))</f>
        <v>0</v>
      </c>
      <c r="P15" s="32" t="s">
        <v>1967</v>
      </c>
      <c r="Q15" s="40">
        <f>IF(P15="HS",G15,0)</f>
        <v>0</v>
      </c>
      <c r="R15" s="40">
        <f>IF(P15="HS",H15-O15,0)</f>
        <v>0</v>
      </c>
      <c r="S15" s="40">
        <f>IF(P15="PS",G15,0)</f>
        <v>0</v>
      </c>
      <c r="T15" s="40">
        <f>IF(P15="PS",H15-O15,0)</f>
        <v>0</v>
      </c>
      <c r="U15" s="40">
        <f>IF(P15="MP",G15,0)</f>
        <v>0</v>
      </c>
      <c r="V15" s="40">
        <f>IF(P15="MP",H15-O15,0)</f>
        <v>0</v>
      </c>
      <c r="W15" s="40">
        <f>IF(P15="OM",G15,0)</f>
        <v>0</v>
      </c>
      <c r="X15" s="32"/>
      <c r="AH15" s="40">
        <f>SUM(Y16:Y24)</f>
        <v>0</v>
      </c>
      <c r="AI15" s="40">
        <f>SUM(Z16:Z24)</f>
        <v>0</v>
      </c>
      <c r="AJ15" s="40">
        <f>SUM(AA16:AA24)</f>
        <v>0</v>
      </c>
    </row>
    <row r="16" spans="1:42" ht="12.75">
      <c r="A16" s="50" t="s">
        <v>123</v>
      </c>
      <c r="B16" s="17" t="s">
        <v>659</v>
      </c>
      <c r="C16" s="17" t="s">
        <v>1198</v>
      </c>
      <c r="D16" s="17" t="s">
        <v>1940</v>
      </c>
      <c r="E16" s="26">
        <v>27.38</v>
      </c>
      <c r="F16" s="26">
        <v>0</v>
      </c>
      <c r="G16" s="26">
        <f>E16*AD16</f>
        <v>0</v>
      </c>
      <c r="H16" s="26">
        <f>I16-G16</f>
        <v>0</v>
      </c>
      <c r="I16" s="26">
        <f>E16*F16</f>
        <v>0</v>
      </c>
      <c r="J16" s="72">
        <v>0</v>
      </c>
      <c r="K16" s="72">
        <f>E16*J16</f>
        <v>0</v>
      </c>
      <c r="L16" s="35" t="s">
        <v>1959</v>
      </c>
      <c r="M16" s="35" t="s">
        <v>122</v>
      </c>
      <c r="N16" s="26">
        <f>IF(M16="5",H16,0)</f>
        <v>0</v>
      </c>
      <c r="Y16" s="26">
        <f>IF(AC16=0,I16,0)</f>
        <v>0</v>
      </c>
      <c r="Z16" s="26">
        <f>IF(AC16=15,I16,0)</f>
        <v>0</v>
      </c>
      <c r="AA16" s="26">
        <f>IF(AC16=21,I16,0)</f>
        <v>0</v>
      </c>
      <c r="AC16" s="12">
        <v>21</v>
      </c>
      <c r="AD16" s="12">
        <f>F16*0</f>
        <v>0</v>
      </c>
      <c r="AE16" s="12">
        <f>F16*(1-0)</f>
        <v>0</v>
      </c>
      <c r="AL16" s="12">
        <f>E16*AD16</f>
        <v>0</v>
      </c>
      <c r="AM16" s="12">
        <f>E16*AE16</f>
        <v>0</v>
      </c>
      <c r="AN16" s="38" t="s">
        <v>1978</v>
      </c>
      <c r="AO16" s="38" t="s">
        <v>2023</v>
      </c>
      <c r="AP16" s="32" t="s">
        <v>2035</v>
      </c>
    </row>
    <row r="17" ht="12.75">
      <c r="C17" s="24" t="s">
        <v>1199</v>
      </c>
    </row>
    <row r="18" spans="1:42" ht="12.75">
      <c r="A18" s="50" t="s">
        <v>124</v>
      </c>
      <c r="B18" s="17" t="s">
        <v>660</v>
      </c>
      <c r="C18" s="17" t="s">
        <v>1200</v>
      </c>
      <c r="D18" s="17" t="s">
        <v>1940</v>
      </c>
      <c r="E18" s="26">
        <v>10</v>
      </c>
      <c r="F18" s="26">
        <v>0</v>
      </c>
      <c r="G18" s="26">
        <f>E18*AD18</f>
        <v>0</v>
      </c>
      <c r="H18" s="26">
        <f>I18-G18</f>
        <v>0</v>
      </c>
      <c r="I18" s="26">
        <f>E18*F18</f>
        <v>0</v>
      </c>
      <c r="J18" s="72">
        <v>0</v>
      </c>
      <c r="K18" s="72">
        <f>E18*J18</f>
        <v>0</v>
      </c>
      <c r="L18" s="35" t="s">
        <v>1959</v>
      </c>
      <c r="M18" s="35" t="s">
        <v>122</v>
      </c>
      <c r="N18" s="26">
        <f>IF(M18="5",H18,0)</f>
        <v>0</v>
      </c>
      <c r="Y18" s="26">
        <f>IF(AC18=0,I18,0)</f>
        <v>0</v>
      </c>
      <c r="Z18" s="26">
        <f>IF(AC18=15,I18,0)</f>
        <v>0</v>
      </c>
      <c r="AA18" s="26">
        <f>IF(AC18=21,I18,0)</f>
        <v>0</v>
      </c>
      <c r="AC18" s="12">
        <v>21</v>
      </c>
      <c r="AD18" s="12">
        <f>F18*0</f>
        <v>0</v>
      </c>
      <c r="AE18" s="12">
        <f>F18*(1-0)</f>
        <v>0</v>
      </c>
      <c r="AL18" s="12">
        <f>E18*AD18</f>
        <v>0</v>
      </c>
      <c r="AM18" s="12">
        <f>E18*AE18</f>
        <v>0</v>
      </c>
      <c r="AN18" s="38" t="s">
        <v>1978</v>
      </c>
      <c r="AO18" s="38" t="s">
        <v>2023</v>
      </c>
      <c r="AP18" s="32" t="s">
        <v>2035</v>
      </c>
    </row>
    <row r="19" ht="12.75">
      <c r="C19" s="24" t="s">
        <v>1199</v>
      </c>
    </row>
    <row r="20" spans="1:42" ht="12.75">
      <c r="A20" s="50" t="s">
        <v>125</v>
      </c>
      <c r="B20" s="17" t="s">
        <v>661</v>
      </c>
      <c r="C20" s="17" t="s">
        <v>1201</v>
      </c>
      <c r="D20" s="17" t="s">
        <v>1940</v>
      </c>
      <c r="E20" s="26">
        <v>136.9</v>
      </c>
      <c r="F20" s="26">
        <v>0</v>
      </c>
      <c r="G20" s="26">
        <f>E20*AD20</f>
        <v>0</v>
      </c>
      <c r="H20" s="26">
        <f>I20-G20</f>
        <v>0</v>
      </c>
      <c r="I20" s="26">
        <f>E20*F20</f>
        <v>0</v>
      </c>
      <c r="J20" s="72">
        <v>0</v>
      </c>
      <c r="K20" s="72">
        <f>E20*J20</f>
        <v>0</v>
      </c>
      <c r="L20" s="35" t="s">
        <v>1959</v>
      </c>
      <c r="M20" s="35" t="s">
        <v>122</v>
      </c>
      <c r="N20" s="26">
        <f>IF(M20="5",H20,0)</f>
        <v>0</v>
      </c>
      <c r="Y20" s="26">
        <f>IF(AC20=0,I20,0)</f>
        <v>0</v>
      </c>
      <c r="Z20" s="26">
        <f>IF(AC20=15,I20,0)</f>
        <v>0</v>
      </c>
      <c r="AA20" s="26">
        <f>IF(AC20=21,I20,0)</f>
        <v>0</v>
      </c>
      <c r="AC20" s="12">
        <v>21</v>
      </c>
      <c r="AD20" s="12">
        <f>F20*0</f>
        <v>0</v>
      </c>
      <c r="AE20" s="12">
        <f>F20*(1-0)</f>
        <v>0</v>
      </c>
      <c r="AL20" s="12">
        <f>E20*AD20</f>
        <v>0</v>
      </c>
      <c r="AM20" s="12">
        <f>E20*AE20</f>
        <v>0</v>
      </c>
      <c r="AN20" s="38" t="s">
        <v>1978</v>
      </c>
      <c r="AO20" s="38" t="s">
        <v>2023</v>
      </c>
      <c r="AP20" s="32" t="s">
        <v>2035</v>
      </c>
    </row>
    <row r="21" ht="12.75">
      <c r="C21" s="24" t="s">
        <v>1199</v>
      </c>
    </row>
    <row r="22" spans="1:42" ht="12.75">
      <c r="A22" s="50" t="s">
        <v>126</v>
      </c>
      <c r="B22" s="17" t="s">
        <v>662</v>
      </c>
      <c r="C22" s="17" t="s">
        <v>1202</v>
      </c>
      <c r="D22" s="17" t="s">
        <v>1940</v>
      </c>
      <c r="E22" s="26">
        <v>136.9</v>
      </c>
      <c r="F22" s="26">
        <v>0</v>
      </c>
      <c r="G22" s="26">
        <f>E22*AD22</f>
        <v>0</v>
      </c>
      <c r="H22" s="26">
        <f>I22-G22</f>
        <v>0</v>
      </c>
      <c r="I22" s="26">
        <f>E22*F22</f>
        <v>0</v>
      </c>
      <c r="J22" s="72">
        <v>0</v>
      </c>
      <c r="K22" s="72">
        <f>E22*J22</f>
        <v>0</v>
      </c>
      <c r="L22" s="35" t="s">
        <v>1959</v>
      </c>
      <c r="M22" s="35" t="s">
        <v>122</v>
      </c>
      <c r="N22" s="26">
        <f>IF(M22="5",H22,0)</f>
        <v>0</v>
      </c>
      <c r="Y22" s="26">
        <f>IF(AC22=0,I22,0)</f>
        <v>0</v>
      </c>
      <c r="Z22" s="26">
        <f>IF(AC22=15,I22,0)</f>
        <v>0</v>
      </c>
      <c r="AA22" s="26">
        <f>IF(AC22=21,I22,0)</f>
        <v>0</v>
      </c>
      <c r="AC22" s="12">
        <v>21</v>
      </c>
      <c r="AD22" s="12">
        <f>F22*0</f>
        <v>0</v>
      </c>
      <c r="AE22" s="12">
        <f>F22*(1-0)</f>
        <v>0</v>
      </c>
      <c r="AL22" s="12">
        <f>E22*AD22</f>
        <v>0</v>
      </c>
      <c r="AM22" s="12">
        <f>E22*AE22</f>
        <v>0</v>
      </c>
      <c r="AN22" s="38" t="s">
        <v>1978</v>
      </c>
      <c r="AO22" s="38" t="s">
        <v>2023</v>
      </c>
      <c r="AP22" s="32" t="s">
        <v>2035</v>
      </c>
    </row>
    <row r="23" ht="12.75">
      <c r="C23" s="24" t="s">
        <v>1199</v>
      </c>
    </row>
    <row r="24" spans="1:42" ht="12.75">
      <c r="A24" s="50" t="s">
        <v>127</v>
      </c>
      <c r="B24" s="17" t="s">
        <v>663</v>
      </c>
      <c r="C24" s="17" t="s">
        <v>1203</v>
      </c>
      <c r="D24" s="17" t="s">
        <v>1940</v>
      </c>
      <c r="E24" s="26">
        <v>170.66</v>
      </c>
      <c r="F24" s="26">
        <v>0</v>
      </c>
      <c r="G24" s="26">
        <f>E24*AD24</f>
        <v>0</v>
      </c>
      <c r="H24" s="26">
        <f>I24-G24</f>
        <v>0</v>
      </c>
      <c r="I24" s="26">
        <f>E24*F24</f>
        <v>0</v>
      </c>
      <c r="J24" s="72">
        <v>0</v>
      </c>
      <c r="K24" s="72">
        <f>E24*J24</f>
        <v>0</v>
      </c>
      <c r="L24" s="35" t="s">
        <v>1959</v>
      </c>
      <c r="M24" s="35" t="s">
        <v>122</v>
      </c>
      <c r="N24" s="26">
        <f>IF(M24="5",H24,0)</f>
        <v>0</v>
      </c>
      <c r="Y24" s="26">
        <f>IF(AC24=0,I24,0)</f>
        <v>0</v>
      </c>
      <c r="Z24" s="26">
        <f>IF(AC24=15,I24,0)</f>
        <v>0</v>
      </c>
      <c r="AA24" s="26">
        <f>IF(AC24=21,I24,0)</f>
        <v>0</v>
      </c>
      <c r="AC24" s="12">
        <v>21</v>
      </c>
      <c r="AD24" s="12">
        <f>F24*0</f>
        <v>0</v>
      </c>
      <c r="AE24" s="12">
        <f>F24*(1-0)</f>
        <v>0</v>
      </c>
      <c r="AL24" s="12">
        <f>E24*AD24</f>
        <v>0</v>
      </c>
      <c r="AM24" s="12">
        <f>E24*AE24</f>
        <v>0</v>
      </c>
      <c r="AN24" s="38" t="s">
        <v>1978</v>
      </c>
      <c r="AO24" s="38" t="s">
        <v>2023</v>
      </c>
      <c r="AP24" s="32" t="s">
        <v>2036</v>
      </c>
    </row>
    <row r="25" ht="12.75">
      <c r="C25" s="24" t="s">
        <v>1204</v>
      </c>
    </row>
    <row r="26" spans="1:36" ht="12.75">
      <c r="A26" s="52"/>
      <c r="B26" s="23" t="s">
        <v>9</v>
      </c>
      <c r="C26" s="121" t="s">
        <v>56</v>
      </c>
      <c r="D26" s="122"/>
      <c r="E26" s="122"/>
      <c r="F26" s="122"/>
      <c r="G26" s="40">
        <f>SUM(G27:G31)</f>
        <v>0</v>
      </c>
      <c r="H26" s="40">
        <f>SUM(H27:H31)</f>
        <v>0</v>
      </c>
      <c r="I26" s="40">
        <f>G26+H26</f>
        <v>0</v>
      </c>
      <c r="J26" s="74"/>
      <c r="K26" s="74">
        <f>SUM(K27:K31)</f>
        <v>0</v>
      </c>
      <c r="L26" s="32"/>
      <c r="O26" s="40">
        <f>IF(P26="PR",I26,SUM(N27:N31))</f>
        <v>0</v>
      </c>
      <c r="P26" s="32" t="s">
        <v>1967</v>
      </c>
      <c r="Q26" s="40">
        <f>IF(P26="HS",G26,0)</f>
        <v>0</v>
      </c>
      <c r="R26" s="40">
        <f>IF(P26="HS",H26-O26,0)</f>
        <v>0</v>
      </c>
      <c r="S26" s="40">
        <f>IF(P26="PS",G26,0)</f>
        <v>0</v>
      </c>
      <c r="T26" s="40">
        <f>IF(P26="PS",H26-O26,0)</f>
        <v>0</v>
      </c>
      <c r="U26" s="40">
        <f>IF(P26="MP",G26,0)</f>
        <v>0</v>
      </c>
      <c r="V26" s="40">
        <f>IF(P26="MP",H26-O26,0)</f>
        <v>0</v>
      </c>
      <c r="W26" s="40">
        <f>IF(P26="OM",G26,0)</f>
        <v>0</v>
      </c>
      <c r="X26" s="32"/>
      <c r="AH26" s="40">
        <f>SUM(Y27:Y31)</f>
        <v>0</v>
      </c>
      <c r="AI26" s="40">
        <f>SUM(Z27:Z31)</f>
        <v>0</v>
      </c>
      <c r="AJ26" s="40">
        <f>SUM(AA27:AA31)</f>
        <v>0</v>
      </c>
    </row>
    <row r="27" spans="1:42" ht="12.75">
      <c r="A27" s="50" t="s">
        <v>128</v>
      </c>
      <c r="B27" s="17" t="s">
        <v>664</v>
      </c>
      <c r="C27" s="17" t="s">
        <v>1205</v>
      </c>
      <c r="D27" s="17" t="s">
        <v>1940</v>
      </c>
      <c r="E27" s="26">
        <v>170.66</v>
      </c>
      <c r="F27" s="26">
        <v>0</v>
      </c>
      <c r="G27" s="26">
        <f>E27*AD27</f>
        <v>0</v>
      </c>
      <c r="H27" s="26">
        <f>I27-G27</f>
        <v>0</v>
      </c>
      <c r="I27" s="26">
        <f>E27*F27</f>
        <v>0</v>
      </c>
      <c r="J27" s="72">
        <v>0</v>
      </c>
      <c r="K27" s="72">
        <f>E27*J27</f>
        <v>0</v>
      </c>
      <c r="L27" s="35" t="s">
        <v>1959</v>
      </c>
      <c r="M27" s="35" t="s">
        <v>122</v>
      </c>
      <c r="N27" s="26">
        <f>IF(M27="5",H27,0)</f>
        <v>0</v>
      </c>
      <c r="Y27" s="26">
        <f>IF(AC27=0,I27,0)</f>
        <v>0</v>
      </c>
      <c r="Z27" s="26">
        <f>IF(AC27=15,I27,0)</f>
        <v>0</v>
      </c>
      <c r="AA27" s="26">
        <f>IF(AC27=21,I27,0)</f>
        <v>0</v>
      </c>
      <c r="AC27" s="12">
        <v>21</v>
      </c>
      <c r="AD27" s="12">
        <f>F27*0</f>
        <v>0</v>
      </c>
      <c r="AE27" s="12">
        <f>F27*(1-0)</f>
        <v>0</v>
      </c>
      <c r="AL27" s="12">
        <f>E27*AD27</f>
        <v>0</v>
      </c>
      <c r="AM27" s="12">
        <f>E27*AE27</f>
        <v>0</v>
      </c>
      <c r="AN27" s="38" t="s">
        <v>1979</v>
      </c>
      <c r="AO27" s="38" t="s">
        <v>2023</v>
      </c>
      <c r="AP27" s="32" t="s">
        <v>2036</v>
      </c>
    </row>
    <row r="28" spans="1:42" ht="12.75">
      <c r="A28" s="50" t="s">
        <v>129</v>
      </c>
      <c r="B28" s="17" t="s">
        <v>665</v>
      </c>
      <c r="C28" s="17" t="s">
        <v>1206</v>
      </c>
      <c r="D28" s="17" t="s">
        <v>1940</v>
      </c>
      <c r="E28" s="26">
        <v>170.66</v>
      </c>
      <c r="F28" s="26">
        <v>0</v>
      </c>
      <c r="G28" s="26">
        <f>E28*AD28</f>
        <v>0</v>
      </c>
      <c r="H28" s="26">
        <f>I28-G28</f>
        <v>0</v>
      </c>
      <c r="I28" s="26">
        <f>E28*F28</f>
        <v>0</v>
      </c>
      <c r="J28" s="72">
        <v>0</v>
      </c>
      <c r="K28" s="72">
        <f>E28*J28</f>
        <v>0</v>
      </c>
      <c r="L28" s="35" t="s">
        <v>1960</v>
      </c>
      <c r="M28" s="35" t="s">
        <v>122</v>
      </c>
      <c r="N28" s="26">
        <f>IF(M28="5",H28,0)</f>
        <v>0</v>
      </c>
      <c r="Y28" s="26">
        <f>IF(AC28=0,I28,0)</f>
        <v>0</v>
      </c>
      <c r="Z28" s="26">
        <f>IF(AC28=15,I28,0)</f>
        <v>0</v>
      </c>
      <c r="AA28" s="26">
        <f>IF(AC28=21,I28,0)</f>
        <v>0</v>
      </c>
      <c r="AC28" s="12">
        <v>21</v>
      </c>
      <c r="AD28" s="12">
        <f>F28*0</f>
        <v>0</v>
      </c>
      <c r="AE28" s="12">
        <f>F28*(1-0)</f>
        <v>0</v>
      </c>
      <c r="AL28" s="12">
        <f>E28*AD28</f>
        <v>0</v>
      </c>
      <c r="AM28" s="12">
        <f>E28*AE28</f>
        <v>0</v>
      </c>
      <c r="AN28" s="38" t="s">
        <v>1979</v>
      </c>
      <c r="AO28" s="38" t="s">
        <v>2023</v>
      </c>
      <c r="AP28" s="32" t="s">
        <v>2036</v>
      </c>
    </row>
    <row r="29" spans="1:42" ht="12.75">
      <c r="A29" s="50" t="s">
        <v>130</v>
      </c>
      <c r="B29" s="17" t="s">
        <v>666</v>
      </c>
      <c r="C29" s="17" t="s">
        <v>1207</v>
      </c>
      <c r="D29" s="17" t="s">
        <v>1940</v>
      </c>
      <c r="E29" s="26">
        <v>227.06</v>
      </c>
      <c r="F29" s="26">
        <v>0</v>
      </c>
      <c r="G29" s="26">
        <f>E29*AD29</f>
        <v>0</v>
      </c>
      <c r="H29" s="26">
        <f>I29-G29</f>
        <v>0</v>
      </c>
      <c r="I29" s="26">
        <f>E29*F29</f>
        <v>0</v>
      </c>
      <c r="J29" s="72">
        <v>0</v>
      </c>
      <c r="K29" s="72">
        <f>E29*J29</f>
        <v>0</v>
      </c>
      <c r="L29" s="35" t="s">
        <v>1959</v>
      </c>
      <c r="M29" s="35" t="s">
        <v>122</v>
      </c>
      <c r="N29" s="26">
        <f>IF(M29="5",H29,0)</f>
        <v>0</v>
      </c>
      <c r="Y29" s="26">
        <f>IF(AC29=0,I29,0)</f>
        <v>0</v>
      </c>
      <c r="Z29" s="26">
        <f>IF(AC29=15,I29,0)</f>
        <v>0</v>
      </c>
      <c r="AA29" s="26">
        <f>IF(AC29=21,I29,0)</f>
        <v>0</v>
      </c>
      <c r="AC29" s="12">
        <v>21</v>
      </c>
      <c r="AD29" s="12">
        <f>F29*0</f>
        <v>0</v>
      </c>
      <c r="AE29" s="12">
        <f>F29*(1-0)</f>
        <v>0</v>
      </c>
      <c r="AL29" s="12">
        <f>E29*AD29</f>
        <v>0</v>
      </c>
      <c r="AM29" s="12">
        <f>E29*AE29</f>
        <v>0</v>
      </c>
      <c r="AN29" s="38" t="s">
        <v>1979</v>
      </c>
      <c r="AO29" s="38" t="s">
        <v>2023</v>
      </c>
      <c r="AP29" s="32" t="s">
        <v>2036</v>
      </c>
    </row>
    <row r="30" spans="1:42" ht="12.75">
      <c r="A30" s="50" t="s">
        <v>131</v>
      </c>
      <c r="B30" s="17" t="s">
        <v>667</v>
      </c>
      <c r="C30" s="17" t="s">
        <v>1208</v>
      </c>
      <c r="D30" s="17" t="s">
        <v>1940</v>
      </c>
      <c r="E30" s="26">
        <v>227.06</v>
      </c>
      <c r="F30" s="26">
        <v>0</v>
      </c>
      <c r="G30" s="26">
        <f>E30*AD30</f>
        <v>0</v>
      </c>
      <c r="H30" s="26">
        <f>I30-G30</f>
        <v>0</v>
      </c>
      <c r="I30" s="26">
        <f>E30*F30</f>
        <v>0</v>
      </c>
      <c r="J30" s="72">
        <v>0</v>
      </c>
      <c r="K30" s="72">
        <f>E30*J30</f>
        <v>0</v>
      </c>
      <c r="L30" s="35" t="s">
        <v>1959</v>
      </c>
      <c r="M30" s="35" t="s">
        <v>122</v>
      </c>
      <c r="N30" s="26">
        <f>IF(M30="5",H30,0)</f>
        <v>0</v>
      </c>
      <c r="Y30" s="26">
        <f>IF(AC30=0,I30,0)</f>
        <v>0</v>
      </c>
      <c r="Z30" s="26">
        <f>IF(AC30=15,I30,0)</f>
        <v>0</v>
      </c>
      <c r="AA30" s="26">
        <f>IF(AC30=21,I30,0)</f>
        <v>0</v>
      </c>
      <c r="AC30" s="12">
        <v>21</v>
      </c>
      <c r="AD30" s="12">
        <f>F30*0</f>
        <v>0</v>
      </c>
      <c r="AE30" s="12">
        <f>F30*(1-0)</f>
        <v>0</v>
      </c>
      <c r="AL30" s="12">
        <f>E30*AD30</f>
        <v>0</v>
      </c>
      <c r="AM30" s="12">
        <f>E30*AE30</f>
        <v>0</v>
      </c>
      <c r="AN30" s="38" t="s">
        <v>1979</v>
      </c>
      <c r="AO30" s="38" t="s">
        <v>2023</v>
      </c>
      <c r="AP30" s="32" t="s">
        <v>2036</v>
      </c>
    </row>
    <row r="31" spans="1:42" ht="12.75">
      <c r="A31" s="50" t="s">
        <v>132</v>
      </c>
      <c r="B31" s="17" t="s">
        <v>668</v>
      </c>
      <c r="C31" s="17" t="s">
        <v>1209</v>
      </c>
      <c r="D31" s="17" t="s">
        <v>1940</v>
      </c>
      <c r="E31" s="26">
        <v>227.06</v>
      </c>
      <c r="F31" s="26">
        <v>0</v>
      </c>
      <c r="G31" s="26">
        <f>E31*AD31</f>
        <v>0</v>
      </c>
      <c r="H31" s="26">
        <f>I31-G31</f>
        <v>0</v>
      </c>
      <c r="I31" s="26">
        <f>E31*F31</f>
        <v>0</v>
      </c>
      <c r="J31" s="72">
        <v>0</v>
      </c>
      <c r="K31" s="72">
        <f>E31*J31</f>
        <v>0</v>
      </c>
      <c r="L31" s="35" t="s">
        <v>1959</v>
      </c>
      <c r="M31" s="35" t="s">
        <v>122</v>
      </c>
      <c r="N31" s="26">
        <f>IF(M31="5",H31,0)</f>
        <v>0</v>
      </c>
      <c r="Y31" s="26">
        <f>IF(AC31=0,I31,0)</f>
        <v>0</v>
      </c>
      <c r="Z31" s="26">
        <f>IF(AC31=15,I31,0)</f>
        <v>0</v>
      </c>
      <c r="AA31" s="26">
        <f>IF(AC31=21,I31,0)</f>
        <v>0</v>
      </c>
      <c r="AC31" s="12">
        <v>21</v>
      </c>
      <c r="AD31" s="12">
        <f>F31*0</f>
        <v>0</v>
      </c>
      <c r="AE31" s="12">
        <f>F31*(1-0)</f>
        <v>0</v>
      </c>
      <c r="AL31" s="12">
        <f>E31*AD31</f>
        <v>0</v>
      </c>
      <c r="AM31" s="12">
        <f>E31*AE31</f>
        <v>0</v>
      </c>
      <c r="AN31" s="38" t="s">
        <v>1979</v>
      </c>
      <c r="AO31" s="38" t="s">
        <v>2023</v>
      </c>
      <c r="AP31" s="32" t="s">
        <v>2036</v>
      </c>
    </row>
    <row r="32" spans="1:36" ht="12.75">
      <c r="A32" s="52"/>
      <c r="B32" s="23" t="s">
        <v>10</v>
      </c>
      <c r="C32" s="121" t="s">
        <v>57</v>
      </c>
      <c r="D32" s="122"/>
      <c r="E32" s="122"/>
      <c r="F32" s="122"/>
      <c r="G32" s="40">
        <f>SUM(G33:G36)</f>
        <v>0</v>
      </c>
      <c r="H32" s="40">
        <f>SUM(H33:H36)</f>
        <v>0</v>
      </c>
      <c r="I32" s="40">
        <f>G32+H32</f>
        <v>0</v>
      </c>
      <c r="J32" s="74"/>
      <c r="K32" s="74">
        <f>SUM(K33:K36)</f>
        <v>13.861</v>
      </c>
      <c r="L32" s="32"/>
      <c r="O32" s="40">
        <f>IF(P32="PR",I32,SUM(N33:N36))</f>
        <v>0</v>
      </c>
      <c r="P32" s="32" t="s">
        <v>1967</v>
      </c>
      <c r="Q32" s="40">
        <f>IF(P32="HS",G32,0)</f>
        <v>0</v>
      </c>
      <c r="R32" s="40">
        <f>IF(P32="HS",H32-O32,0)</f>
        <v>0</v>
      </c>
      <c r="S32" s="40">
        <f>IF(P32="PS",G32,0)</f>
        <v>0</v>
      </c>
      <c r="T32" s="40">
        <f>IF(P32="PS",H32-O32,0)</f>
        <v>0</v>
      </c>
      <c r="U32" s="40">
        <f>IF(P32="MP",G32,0)</f>
        <v>0</v>
      </c>
      <c r="V32" s="40">
        <f>IF(P32="MP",H32-O32,0)</f>
        <v>0</v>
      </c>
      <c r="W32" s="40">
        <f>IF(P32="OM",G32,0)</f>
        <v>0</v>
      </c>
      <c r="X32" s="32"/>
      <c r="AH32" s="40">
        <f>SUM(Y33:Y36)</f>
        <v>0</v>
      </c>
      <c r="AI32" s="40">
        <f>SUM(Z33:Z36)</f>
        <v>0</v>
      </c>
      <c r="AJ32" s="40">
        <f>SUM(AA33:AA36)</f>
        <v>0</v>
      </c>
    </row>
    <row r="33" spans="1:42" ht="12.75">
      <c r="A33" s="50" t="s">
        <v>133</v>
      </c>
      <c r="B33" s="17" t="s">
        <v>669</v>
      </c>
      <c r="C33" s="17" t="s">
        <v>1210</v>
      </c>
      <c r="D33" s="17" t="s">
        <v>1940</v>
      </c>
      <c r="E33" s="26">
        <v>227.06</v>
      </c>
      <c r="F33" s="26">
        <v>0</v>
      </c>
      <c r="G33" s="26">
        <f>E33*AD33</f>
        <v>0</v>
      </c>
      <c r="H33" s="26">
        <f>I33-G33</f>
        <v>0</v>
      </c>
      <c r="I33" s="26">
        <f>E33*F33</f>
        <v>0</v>
      </c>
      <c r="J33" s="72">
        <v>0</v>
      </c>
      <c r="K33" s="72">
        <f>E33*J33</f>
        <v>0</v>
      </c>
      <c r="L33" s="35" t="s">
        <v>1959</v>
      </c>
      <c r="M33" s="35" t="s">
        <v>122</v>
      </c>
      <c r="N33" s="26">
        <f>IF(M33="5",H33,0)</f>
        <v>0</v>
      </c>
      <c r="Y33" s="26">
        <f>IF(AC33=0,I33,0)</f>
        <v>0</v>
      </c>
      <c r="Z33" s="26">
        <f>IF(AC33=15,I33,0)</f>
        <v>0</v>
      </c>
      <c r="AA33" s="26">
        <f>IF(AC33=21,I33,0)</f>
        <v>0</v>
      </c>
      <c r="AC33" s="12">
        <v>21</v>
      </c>
      <c r="AD33" s="12">
        <f>F33*0</f>
        <v>0</v>
      </c>
      <c r="AE33" s="12">
        <f>F33*(1-0)</f>
        <v>0</v>
      </c>
      <c r="AL33" s="12">
        <f>E33*AD33</f>
        <v>0</v>
      </c>
      <c r="AM33" s="12">
        <f>E33*AE33</f>
        <v>0</v>
      </c>
      <c r="AN33" s="38" t="s">
        <v>1980</v>
      </c>
      <c r="AO33" s="38" t="s">
        <v>2023</v>
      </c>
      <c r="AP33" s="32" t="s">
        <v>2036</v>
      </c>
    </row>
    <row r="34" spans="1:42" ht="12.75">
      <c r="A34" s="50" t="s">
        <v>8</v>
      </c>
      <c r="B34" s="17" t="s">
        <v>670</v>
      </c>
      <c r="C34" s="17" t="s">
        <v>1211</v>
      </c>
      <c r="D34" s="17" t="s">
        <v>1940</v>
      </c>
      <c r="E34" s="26">
        <v>8.3</v>
      </c>
      <c r="F34" s="26">
        <v>0</v>
      </c>
      <c r="G34" s="26">
        <f>E34*AD34</f>
        <v>0</v>
      </c>
      <c r="H34" s="26">
        <f>I34-G34</f>
        <v>0</v>
      </c>
      <c r="I34" s="26">
        <f>E34*F34</f>
        <v>0</v>
      </c>
      <c r="J34" s="72">
        <v>1.67</v>
      </c>
      <c r="K34" s="72">
        <f>E34*J34</f>
        <v>13.861</v>
      </c>
      <c r="L34" s="35" t="s">
        <v>1959</v>
      </c>
      <c r="M34" s="35" t="s">
        <v>124</v>
      </c>
      <c r="N34" s="26">
        <f>IF(M34="5",H34,0)</f>
        <v>0</v>
      </c>
      <c r="Y34" s="26">
        <f>IF(AC34=0,I34,0)</f>
        <v>0</v>
      </c>
      <c r="Z34" s="26">
        <f>IF(AC34=15,I34,0)</f>
        <v>0</v>
      </c>
      <c r="AA34" s="26">
        <f>IF(AC34=21,I34,0)</f>
        <v>0</v>
      </c>
      <c r="AC34" s="12">
        <v>21</v>
      </c>
      <c r="AD34" s="12">
        <f>F34*0.715812591508053</f>
        <v>0</v>
      </c>
      <c r="AE34" s="12">
        <f>F34*(1-0.715812591508053)</f>
        <v>0</v>
      </c>
      <c r="AL34" s="12">
        <f>E34*AD34</f>
        <v>0</v>
      </c>
      <c r="AM34" s="12">
        <f>E34*AE34</f>
        <v>0</v>
      </c>
      <c r="AN34" s="38" t="s">
        <v>1980</v>
      </c>
      <c r="AO34" s="38" t="s">
        <v>2023</v>
      </c>
      <c r="AP34" s="32" t="s">
        <v>2036</v>
      </c>
    </row>
    <row r="35" ht="12.75">
      <c r="C35" s="24" t="s">
        <v>1212</v>
      </c>
    </row>
    <row r="36" spans="1:42" ht="12.75">
      <c r="A36" s="50" t="s">
        <v>134</v>
      </c>
      <c r="B36" s="17" t="s">
        <v>671</v>
      </c>
      <c r="C36" s="17" t="s">
        <v>1213</v>
      </c>
      <c r="D36" s="17" t="s">
        <v>1940</v>
      </c>
      <c r="E36" s="26">
        <v>217.4</v>
      </c>
      <c r="F36" s="26">
        <v>0</v>
      </c>
      <c r="G36" s="26">
        <f>E36*AD36</f>
        <v>0</v>
      </c>
      <c r="H36" s="26">
        <f>I36-G36</f>
        <v>0</v>
      </c>
      <c r="I36" s="26">
        <f>E36*F36</f>
        <v>0</v>
      </c>
      <c r="J36" s="72">
        <v>0</v>
      </c>
      <c r="K36" s="72">
        <f>E36*J36</f>
        <v>0</v>
      </c>
      <c r="L36" s="35" t="s">
        <v>1959</v>
      </c>
      <c r="M36" s="35" t="s">
        <v>122</v>
      </c>
      <c r="N36" s="26">
        <f>IF(M36="5",H36,0)</f>
        <v>0</v>
      </c>
      <c r="Y36" s="26">
        <f>IF(AC36=0,I36,0)</f>
        <v>0</v>
      </c>
      <c r="Z36" s="26">
        <f>IF(AC36=15,I36,0)</f>
        <v>0</v>
      </c>
      <c r="AA36" s="26">
        <f>IF(AC36=21,I36,0)</f>
        <v>0</v>
      </c>
      <c r="AC36" s="12">
        <v>21</v>
      </c>
      <c r="AD36" s="12">
        <f>F36*0</f>
        <v>0</v>
      </c>
      <c r="AE36" s="12">
        <f>F36*(1-0)</f>
        <v>0</v>
      </c>
      <c r="AL36" s="12">
        <f>E36*AD36</f>
        <v>0</v>
      </c>
      <c r="AM36" s="12">
        <f>E36*AE36</f>
        <v>0</v>
      </c>
      <c r="AN36" s="38" t="s">
        <v>1980</v>
      </c>
      <c r="AO36" s="38" t="s">
        <v>2023</v>
      </c>
      <c r="AP36" s="32" t="s">
        <v>2035</v>
      </c>
    </row>
    <row r="37" ht="12.75">
      <c r="C37" s="24" t="s">
        <v>1214</v>
      </c>
    </row>
    <row r="38" spans="1:36" ht="12.75">
      <c r="A38" s="52"/>
      <c r="B38" s="23" t="s">
        <v>11</v>
      </c>
      <c r="C38" s="121" t="s">
        <v>58</v>
      </c>
      <c r="D38" s="122"/>
      <c r="E38" s="122"/>
      <c r="F38" s="122"/>
      <c r="G38" s="40">
        <f>SUM(G39:G55)</f>
        <v>0</v>
      </c>
      <c r="H38" s="40">
        <f>SUM(H39:H55)</f>
        <v>0</v>
      </c>
      <c r="I38" s="40">
        <f>G38+H38</f>
        <v>0</v>
      </c>
      <c r="J38" s="74"/>
      <c r="K38" s="74">
        <f>SUM(K39:K55)</f>
        <v>105.25524399999999</v>
      </c>
      <c r="L38" s="32"/>
      <c r="O38" s="40">
        <f>IF(P38="PR",I38,SUM(N39:N55))</f>
        <v>0</v>
      </c>
      <c r="P38" s="32" t="s">
        <v>1967</v>
      </c>
      <c r="Q38" s="40">
        <f>IF(P38="HS",G38,0)</f>
        <v>0</v>
      </c>
      <c r="R38" s="40">
        <f>IF(P38="HS",H38-O38,0)</f>
        <v>0</v>
      </c>
      <c r="S38" s="40">
        <f>IF(P38="PS",G38,0)</f>
        <v>0</v>
      </c>
      <c r="T38" s="40">
        <f>IF(P38="PS",H38-O38,0)</f>
        <v>0</v>
      </c>
      <c r="U38" s="40">
        <f>IF(P38="MP",G38,0)</f>
        <v>0</v>
      </c>
      <c r="V38" s="40">
        <f>IF(P38="MP",H38-O38,0)</f>
        <v>0</v>
      </c>
      <c r="W38" s="40">
        <f>IF(P38="OM",G38,0)</f>
        <v>0</v>
      </c>
      <c r="X38" s="32"/>
      <c r="AH38" s="40">
        <f>SUM(Y39:Y55)</f>
        <v>0</v>
      </c>
      <c r="AI38" s="40">
        <f>SUM(Z39:Z55)</f>
        <v>0</v>
      </c>
      <c r="AJ38" s="40">
        <f>SUM(AA39:AA55)</f>
        <v>0</v>
      </c>
    </row>
    <row r="39" spans="1:42" ht="12.75">
      <c r="A39" s="50" t="s">
        <v>135</v>
      </c>
      <c r="B39" s="17" t="s">
        <v>672</v>
      </c>
      <c r="C39" s="17" t="s">
        <v>1215</v>
      </c>
      <c r="D39" s="17" t="s">
        <v>1941</v>
      </c>
      <c r="E39" s="26">
        <v>480</v>
      </c>
      <c r="F39" s="26">
        <v>0</v>
      </c>
      <c r="G39" s="26">
        <f>E39*AD39</f>
        <v>0</v>
      </c>
      <c r="H39" s="26">
        <f>I39-G39</f>
        <v>0</v>
      </c>
      <c r="I39" s="26">
        <f>E39*F39</f>
        <v>0</v>
      </c>
      <c r="J39" s="72">
        <v>0</v>
      </c>
      <c r="K39" s="72">
        <f>E39*J39</f>
        <v>0</v>
      </c>
      <c r="L39" s="35" t="s">
        <v>1959</v>
      </c>
      <c r="M39" s="35" t="s">
        <v>122</v>
      </c>
      <c r="N39" s="26">
        <f>IF(M39="5",H39,0)</f>
        <v>0</v>
      </c>
      <c r="Y39" s="26">
        <f>IF(AC39=0,I39,0)</f>
        <v>0</v>
      </c>
      <c r="Z39" s="26">
        <f>IF(AC39=15,I39,0)</f>
        <v>0</v>
      </c>
      <c r="AA39" s="26">
        <f>IF(AC39=21,I39,0)</f>
        <v>0</v>
      </c>
      <c r="AC39" s="12">
        <v>21</v>
      </c>
      <c r="AD39" s="12">
        <f>F39*0</f>
        <v>0</v>
      </c>
      <c r="AE39" s="12">
        <f>F39*(1-0)</f>
        <v>0</v>
      </c>
      <c r="AL39" s="12">
        <f>E39*AD39</f>
        <v>0</v>
      </c>
      <c r="AM39" s="12">
        <f>E39*AE39</f>
        <v>0</v>
      </c>
      <c r="AN39" s="38" t="s">
        <v>1981</v>
      </c>
      <c r="AO39" s="38" t="s">
        <v>2024</v>
      </c>
      <c r="AP39" s="32" t="s">
        <v>2035</v>
      </c>
    </row>
    <row r="40" ht="12.75">
      <c r="C40" s="24" t="s">
        <v>1216</v>
      </c>
    </row>
    <row r="41" spans="1:42" ht="12.75">
      <c r="A41" s="50" t="s">
        <v>9</v>
      </c>
      <c r="B41" s="17" t="s">
        <v>673</v>
      </c>
      <c r="C41" s="17" t="s">
        <v>1217</v>
      </c>
      <c r="D41" s="17" t="s">
        <v>1940</v>
      </c>
      <c r="E41" s="26">
        <v>11.2</v>
      </c>
      <c r="F41" s="26">
        <v>0</v>
      </c>
      <c r="G41" s="26">
        <f>E41*AD41</f>
        <v>0</v>
      </c>
      <c r="H41" s="26">
        <f>I41-G41</f>
        <v>0</v>
      </c>
      <c r="I41" s="26">
        <f>E41*F41</f>
        <v>0</v>
      </c>
      <c r="J41" s="72">
        <v>2.525</v>
      </c>
      <c r="K41" s="72">
        <f>E41*J41</f>
        <v>28.279999999999998</v>
      </c>
      <c r="L41" s="35" t="s">
        <v>1959</v>
      </c>
      <c r="M41" s="35" t="s">
        <v>122</v>
      </c>
      <c r="N41" s="26">
        <f>IF(M41="5",H41,0)</f>
        <v>0</v>
      </c>
      <c r="Y41" s="26">
        <f>IF(AC41=0,I41,0)</f>
        <v>0</v>
      </c>
      <c r="Z41" s="26">
        <f>IF(AC41=15,I41,0)</f>
        <v>0</v>
      </c>
      <c r="AA41" s="26">
        <f>IF(AC41=21,I41,0)</f>
        <v>0</v>
      </c>
      <c r="AC41" s="12">
        <v>21</v>
      </c>
      <c r="AD41" s="12">
        <f>F41*0.794528384279476</f>
        <v>0</v>
      </c>
      <c r="AE41" s="12">
        <f>F41*(1-0.794528384279476)</f>
        <v>0</v>
      </c>
      <c r="AL41" s="12">
        <f>E41*AD41</f>
        <v>0</v>
      </c>
      <c r="AM41" s="12">
        <f>E41*AE41</f>
        <v>0</v>
      </c>
      <c r="AN41" s="38" t="s">
        <v>1981</v>
      </c>
      <c r="AO41" s="38" t="s">
        <v>2024</v>
      </c>
      <c r="AP41" s="32" t="s">
        <v>2035</v>
      </c>
    </row>
    <row r="42" ht="12.75">
      <c r="C42" s="24" t="s">
        <v>1218</v>
      </c>
    </row>
    <row r="43" spans="1:42" ht="12.75">
      <c r="A43" s="50" t="s">
        <v>10</v>
      </c>
      <c r="B43" s="17" t="s">
        <v>674</v>
      </c>
      <c r="C43" s="17" t="s">
        <v>1219</v>
      </c>
      <c r="D43" s="17" t="s">
        <v>1940</v>
      </c>
      <c r="E43" s="26">
        <v>24.8</v>
      </c>
      <c r="F43" s="26">
        <v>0</v>
      </c>
      <c r="G43" s="26">
        <f>E43*AD43</f>
        <v>0</v>
      </c>
      <c r="H43" s="26">
        <f>I43-G43</f>
        <v>0</v>
      </c>
      <c r="I43" s="26">
        <f>E43*F43</f>
        <v>0</v>
      </c>
      <c r="J43" s="72">
        <v>1.63</v>
      </c>
      <c r="K43" s="72">
        <f>E43*J43</f>
        <v>40.424</v>
      </c>
      <c r="L43" s="35" t="s">
        <v>1959</v>
      </c>
      <c r="M43" s="35" t="s">
        <v>122</v>
      </c>
      <c r="N43" s="26">
        <f>IF(M43="5",H43,0)</f>
        <v>0</v>
      </c>
      <c r="Y43" s="26">
        <f>IF(AC43=0,I43,0)</f>
        <v>0</v>
      </c>
      <c r="Z43" s="26">
        <f>IF(AC43=15,I43,0)</f>
        <v>0</v>
      </c>
      <c r="AA43" s="26">
        <f>IF(AC43=21,I43,0)</f>
        <v>0</v>
      </c>
      <c r="AC43" s="12">
        <v>21</v>
      </c>
      <c r="AD43" s="12">
        <f>F43*0.554920993227991</f>
        <v>0</v>
      </c>
      <c r="AE43" s="12">
        <f>F43*(1-0.554920993227991)</f>
        <v>0</v>
      </c>
      <c r="AL43" s="12">
        <f>E43*AD43</f>
        <v>0</v>
      </c>
      <c r="AM43" s="12">
        <f>E43*AE43</f>
        <v>0</v>
      </c>
      <c r="AN43" s="38" t="s">
        <v>1981</v>
      </c>
      <c r="AO43" s="38" t="s">
        <v>2024</v>
      </c>
      <c r="AP43" s="32" t="s">
        <v>2035</v>
      </c>
    </row>
    <row r="44" ht="12.75">
      <c r="C44" s="24" t="s">
        <v>1220</v>
      </c>
    </row>
    <row r="45" spans="1:42" ht="12.75">
      <c r="A45" s="50" t="s">
        <v>136</v>
      </c>
      <c r="B45" s="17" t="s">
        <v>675</v>
      </c>
      <c r="C45" s="17" t="s">
        <v>1221</v>
      </c>
      <c r="D45" s="17" t="s">
        <v>1940</v>
      </c>
      <c r="E45" s="26">
        <v>18.9</v>
      </c>
      <c r="F45" s="26">
        <v>0</v>
      </c>
      <c r="G45" s="26">
        <f>E45*AD45</f>
        <v>0</v>
      </c>
      <c r="H45" s="26">
        <f>I45-G45</f>
        <v>0</v>
      </c>
      <c r="I45" s="26">
        <f>E45*F45</f>
        <v>0</v>
      </c>
      <c r="J45" s="72">
        <v>1.9205</v>
      </c>
      <c r="K45" s="72">
        <f>E45*J45</f>
        <v>36.29745</v>
      </c>
      <c r="L45" s="35" t="s">
        <v>1959</v>
      </c>
      <c r="M45" s="35" t="s">
        <v>122</v>
      </c>
      <c r="N45" s="26">
        <f>IF(M45="5",H45,0)</f>
        <v>0</v>
      </c>
      <c r="Y45" s="26">
        <f>IF(AC45=0,I45,0)</f>
        <v>0</v>
      </c>
      <c r="Z45" s="26">
        <f>IF(AC45=15,I45,0)</f>
        <v>0</v>
      </c>
      <c r="AA45" s="26">
        <f>IF(AC45=21,I45,0)</f>
        <v>0</v>
      </c>
      <c r="AC45" s="12">
        <v>21</v>
      </c>
      <c r="AD45" s="12">
        <f>F45*0.569027322404371</f>
        <v>0</v>
      </c>
      <c r="AE45" s="12">
        <f>F45*(1-0.569027322404371)</f>
        <v>0</v>
      </c>
      <c r="AL45" s="12">
        <f>E45*AD45</f>
        <v>0</v>
      </c>
      <c r="AM45" s="12">
        <f>E45*AE45</f>
        <v>0</v>
      </c>
      <c r="AN45" s="38" t="s">
        <v>1981</v>
      </c>
      <c r="AO45" s="38" t="s">
        <v>2024</v>
      </c>
      <c r="AP45" s="32" t="s">
        <v>2035</v>
      </c>
    </row>
    <row r="46" ht="12.75">
      <c r="C46" s="24" t="s">
        <v>1220</v>
      </c>
    </row>
    <row r="47" spans="1:42" ht="12.75">
      <c r="A47" s="50" t="s">
        <v>137</v>
      </c>
      <c r="B47" s="17" t="s">
        <v>676</v>
      </c>
      <c r="C47" s="17" t="s">
        <v>1222</v>
      </c>
      <c r="D47" s="17" t="s">
        <v>1942</v>
      </c>
      <c r="E47" s="26">
        <v>145</v>
      </c>
      <c r="F47" s="26">
        <v>0</v>
      </c>
      <c r="G47" s="26">
        <f>E47*AD47</f>
        <v>0</v>
      </c>
      <c r="H47" s="26">
        <f>I47-G47</f>
        <v>0</v>
      </c>
      <c r="I47" s="26">
        <f>E47*F47</f>
        <v>0</v>
      </c>
      <c r="J47" s="72">
        <v>0.00049</v>
      </c>
      <c r="K47" s="72">
        <f>E47*J47</f>
        <v>0.07105</v>
      </c>
      <c r="L47" s="35" t="s">
        <v>1959</v>
      </c>
      <c r="M47" s="35" t="s">
        <v>122</v>
      </c>
      <c r="N47" s="26">
        <f>IF(M47="5",H47,0)</f>
        <v>0</v>
      </c>
      <c r="Y47" s="26">
        <f>IF(AC47=0,I47,0)</f>
        <v>0</v>
      </c>
      <c r="Z47" s="26">
        <f>IF(AC47=15,I47,0)</f>
        <v>0</v>
      </c>
      <c r="AA47" s="26">
        <f>IF(AC47=21,I47,0)</f>
        <v>0</v>
      </c>
      <c r="AC47" s="12">
        <v>21</v>
      </c>
      <c r="AD47" s="12">
        <f>F47*0.694852941176471</f>
        <v>0</v>
      </c>
      <c r="AE47" s="12">
        <f>F47*(1-0.694852941176471)</f>
        <v>0</v>
      </c>
      <c r="AL47" s="12">
        <f>E47*AD47</f>
        <v>0</v>
      </c>
      <c r="AM47" s="12">
        <f>E47*AE47</f>
        <v>0</v>
      </c>
      <c r="AN47" s="38" t="s">
        <v>1981</v>
      </c>
      <c r="AO47" s="38" t="s">
        <v>2024</v>
      </c>
      <c r="AP47" s="32" t="s">
        <v>2035</v>
      </c>
    </row>
    <row r="48" ht="12.75">
      <c r="C48" s="24" t="s">
        <v>1216</v>
      </c>
    </row>
    <row r="49" spans="1:42" ht="12.75">
      <c r="A49" s="50" t="s">
        <v>138</v>
      </c>
      <c r="B49" s="17" t="s">
        <v>677</v>
      </c>
      <c r="C49" s="17" t="s">
        <v>1223</v>
      </c>
      <c r="D49" s="17" t="s">
        <v>1943</v>
      </c>
      <c r="E49" s="26">
        <v>2</v>
      </c>
      <c r="F49" s="26">
        <v>0</v>
      </c>
      <c r="G49" s="26">
        <f>E49*AD49</f>
        <v>0</v>
      </c>
      <c r="H49" s="26">
        <f>I49-G49</f>
        <v>0</v>
      </c>
      <c r="I49" s="26">
        <f>E49*F49</f>
        <v>0</v>
      </c>
      <c r="J49" s="72">
        <v>0</v>
      </c>
      <c r="K49" s="72">
        <f>E49*J49</f>
        <v>0</v>
      </c>
      <c r="L49" s="35" t="s">
        <v>1961</v>
      </c>
      <c r="M49" s="35" t="s">
        <v>122</v>
      </c>
      <c r="N49" s="26">
        <f>IF(M49="5",H49,0)</f>
        <v>0</v>
      </c>
      <c r="Y49" s="26">
        <f>IF(AC49=0,I49,0)</f>
        <v>0</v>
      </c>
      <c r="Z49" s="26">
        <f>IF(AC49=15,I49,0)</f>
        <v>0</v>
      </c>
      <c r="AA49" s="26">
        <f>IF(AC49=21,I49,0)</f>
        <v>0</v>
      </c>
      <c r="AC49" s="12">
        <v>21</v>
      </c>
      <c r="AD49" s="12">
        <f>F49*0</f>
        <v>0</v>
      </c>
      <c r="AE49" s="12">
        <f>F49*(1-0)</f>
        <v>0</v>
      </c>
      <c r="AL49" s="12">
        <f>E49*AD49</f>
        <v>0</v>
      </c>
      <c r="AM49" s="12">
        <f>E49*AE49</f>
        <v>0</v>
      </c>
      <c r="AN49" s="38" t="s">
        <v>1981</v>
      </c>
      <c r="AO49" s="38" t="s">
        <v>2024</v>
      </c>
      <c r="AP49" s="32" t="s">
        <v>2035</v>
      </c>
    </row>
    <row r="50" ht="12.75">
      <c r="C50" s="24" t="s">
        <v>1224</v>
      </c>
    </row>
    <row r="51" spans="1:42" ht="12.75">
      <c r="A51" s="50" t="s">
        <v>11</v>
      </c>
      <c r="B51" s="17" t="s">
        <v>678</v>
      </c>
      <c r="C51" s="17" t="s">
        <v>1225</v>
      </c>
      <c r="D51" s="17" t="s">
        <v>1941</v>
      </c>
      <c r="E51" s="26">
        <v>349.51</v>
      </c>
      <c r="F51" s="26">
        <v>0</v>
      </c>
      <c r="G51" s="26">
        <f>E51*AD51</f>
        <v>0</v>
      </c>
      <c r="H51" s="26">
        <f>I51-G51</f>
        <v>0</v>
      </c>
      <c r="I51" s="26">
        <f>E51*F51</f>
        <v>0</v>
      </c>
      <c r="J51" s="72">
        <v>0</v>
      </c>
      <c r="K51" s="72">
        <f>E51*J51</f>
        <v>0</v>
      </c>
      <c r="L51" s="35" t="s">
        <v>1959</v>
      </c>
      <c r="M51" s="35" t="s">
        <v>122</v>
      </c>
      <c r="N51" s="26">
        <f>IF(M51="5",H51,0)</f>
        <v>0</v>
      </c>
      <c r="Y51" s="26">
        <f>IF(AC51=0,I51,0)</f>
        <v>0</v>
      </c>
      <c r="Z51" s="26">
        <f>IF(AC51=15,I51,0)</f>
        <v>0</v>
      </c>
      <c r="AA51" s="26">
        <f>IF(AC51=21,I51,0)</f>
        <v>0</v>
      </c>
      <c r="AC51" s="12">
        <v>21</v>
      </c>
      <c r="AD51" s="12">
        <f>F51*0</f>
        <v>0</v>
      </c>
      <c r="AE51" s="12">
        <f>F51*(1-0)</f>
        <v>0</v>
      </c>
      <c r="AL51" s="12">
        <f>E51*AD51</f>
        <v>0</v>
      </c>
      <c r="AM51" s="12">
        <f>E51*AE51</f>
        <v>0</v>
      </c>
      <c r="AN51" s="38" t="s">
        <v>1981</v>
      </c>
      <c r="AO51" s="38" t="s">
        <v>2024</v>
      </c>
      <c r="AP51" s="32" t="s">
        <v>2037</v>
      </c>
    </row>
    <row r="52" ht="15" customHeight="1">
      <c r="C52" s="24" t="s">
        <v>1226</v>
      </c>
    </row>
    <row r="53" spans="1:42" s="60" customFormat="1" ht="26.25">
      <c r="A53" s="64" t="s">
        <v>12</v>
      </c>
      <c r="B53" s="65" t="s">
        <v>679</v>
      </c>
      <c r="C53" s="65" t="s">
        <v>1227</v>
      </c>
      <c r="D53" s="65" t="s">
        <v>1942</v>
      </c>
      <c r="E53" s="66">
        <v>152.15</v>
      </c>
      <c r="F53" s="66">
        <v>0</v>
      </c>
      <c r="G53" s="66">
        <f>E53*AD53</f>
        <v>0</v>
      </c>
      <c r="H53" s="66">
        <f>I53-G53</f>
        <v>0</v>
      </c>
      <c r="I53" s="66">
        <f>E53*F53</f>
        <v>0</v>
      </c>
      <c r="J53" s="75">
        <v>0.00016</v>
      </c>
      <c r="K53" s="75">
        <f>E53*J53</f>
        <v>0.024344000000000005</v>
      </c>
      <c r="L53" s="67" t="s">
        <v>1959</v>
      </c>
      <c r="M53" s="67" t="s">
        <v>7</v>
      </c>
      <c r="N53" s="66">
        <f>IF(M53="5",H53,0)</f>
        <v>0</v>
      </c>
      <c r="Y53" s="66">
        <f>IF(AC53=0,I53,0)</f>
        <v>0</v>
      </c>
      <c r="Z53" s="66">
        <f>IF(AC53=15,I53,0)</f>
        <v>0</v>
      </c>
      <c r="AA53" s="66">
        <f>IF(AC53=21,I53,0)</f>
        <v>0</v>
      </c>
      <c r="AC53" s="61">
        <v>21</v>
      </c>
      <c r="AD53" s="61">
        <f>F53*1</f>
        <v>0</v>
      </c>
      <c r="AE53" s="61">
        <f>F53*(1-1)</f>
        <v>0</v>
      </c>
      <c r="AL53" s="61">
        <f>E53*AD53</f>
        <v>0</v>
      </c>
      <c r="AM53" s="61">
        <f>E53*AE53</f>
        <v>0</v>
      </c>
      <c r="AN53" s="62" t="s">
        <v>1981</v>
      </c>
      <c r="AO53" s="62" t="s">
        <v>2024</v>
      </c>
      <c r="AP53" s="63" t="s">
        <v>2035</v>
      </c>
    </row>
    <row r="54" spans="1:42" ht="12.75">
      <c r="A54" s="53" t="s">
        <v>139</v>
      </c>
      <c r="B54" s="18" t="s">
        <v>680</v>
      </c>
      <c r="C54" s="18" t="s">
        <v>1228</v>
      </c>
      <c r="D54" s="18" t="s">
        <v>1941</v>
      </c>
      <c r="E54" s="27">
        <v>528</v>
      </c>
      <c r="F54" s="27">
        <v>0</v>
      </c>
      <c r="G54" s="27">
        <f>E54*AD54</f>
        <v>0</v>
      </c>
      <c r="H54" s="27">
        <f>I54-G54</f>
        <v>0</v>
      </c>
      <c r="I54" s="27">
        <f>E54*F54</f>
        <v>0</v>
      </c>
      <c r="J54" s="76">
        <v>0.0003</v>
      </c>
      <c r="K54" s="76">
        <f>E54*J54</f>
        <v>0.15839999999999999</v>
      </c>
      <c r="L54" s="36" t="s">
        <v>1959</v>
      </c>
      <c r="M54" s="36" t="s">
        <v>7</v>
      </c>
      <c r="N54" s="27">
        <f>IF(M54="5",H54,0)</f>
        <v>0</v>
      </c>
      <c r="Y54" s="27">
        <f>IF(AC54=0,I54,0)</f>
        <v>0</v>
      </c>
      <c r="Z54" s="27">
        <f>IF(AC54=15,I54,0)</f>
        <v>0</v>
      </c>
      <c r="AA54" s="27">
        <f>IF(AC54=21,I54,0)</f>
        <v>0</v>
      </c>
      <c r="AC54" s="12">
        <v>21</v>
      </c>
      <c r="AD54" s="12">
        <f>F54*1</f>
        <v>0</v>
      </c>
      <c r="AE54" s="12">
        <f>F54*(1-1)</f>
        <v>0</v>
      </c>
      <c r="AL54" s="12">
        <f>E54*AD54</f>
        <v>0</v>
      </c>
      <c r="AM54" s="12">
        <f>E54*AE54</f>
        <v>0</v>
      </c>
      <c r="AN54" s="38" t="s">
        <v>1981</v>
      </c>
      <c r="AO54" s="38" t="s">
        <v>2024</v>
      </c>
      <c r="AP54" s="32" t="s">
        <v>2035</v>
      </c>
    </row>
    <row r="55" spans="1:42" ht="12.75">
      <c r="A55" s="50" t="s">
        <v>140</v>
      </c>
      <c r="B55" s="17" t="s">
        <v>681</v>
      </c>
      <c r="C55" s="17" t="s">
        <v>1229</v>
      </c>
      <c r="D55" s="17" t="s">
        <v>1944</v>
      </c>
      <c r="E55" s="26">
        <v>14</v>
      </c>
      <c r="F55" s="26">
        <v>0</v>
      </c>
      <c r="G55" s="26">
        <f>E55*AD55</f>
        <v>0</v>
      </c>
      <c r="H55" s="26">
        <f>I55-G55</f>
        <v>0</v>
      </c>
      <c r="I55" s="26">
        <f>E55*F55</f>
        <v>0</v>
      </c>
      <c r="J55" s="72">
        <v>0</v>
      </c>
      <c r="K55" s="72">
        <f>E55*J55</f>
        <v>0</v>
      </c>
      <c r="L55" s="35" t="s">
        <v>1961</v>
      </c>
      <c r="M55" s="35" t="s">
        <v>122</v>
      </c>
      <c r="N55" s="26">
        <f>IF(M55="5",H55,0)</f>
        <v>0</v>
      </c>
      <c r="Y55" s="26">
        <f>IF(AC55=0,I55,0)</f>
        <v>0</v>
      </c>
      <c r="Z55" s="26">
        <f>IF(AC55=15,I55,0)</f>
        <v>0</v>
      </c>
      <c r="AA55" s="26">
        <f>IF(AC55=21,I55,0)</f>
        <v>0</v>
      </c>
      <c r="AC55" s="12">
        <v>21</v>
      </c>
      <c r="AD55" s="12">
        <f>F55*0</f>
        <v>0</v>
      </c>
      <c r="AE55" s="12">
        <f>F55*(1-0)</f>
        <v>0</v>
      </c>
      <c r="AL55" s="12">
        <f>E55*AD55</f>
        <v>0</v>
      </c>
      <c r="AM55" s="12">
        <f>E55*AE55</f>
        <v>0</v>
      </c>
      <c r="AN55" s="38" t="s">
        <v>1981</v>
      </c>
      <c r="AO55" s="38" t="s">
        <v>2024</v>
      </c>
      <c r="AP55" s="32" t="s">
        <v>2035</v>
      </c>
    </row>
    <row r="56" ht="54" customHeight="1">
      <c r="C56" s="24" t="s">
        <v>1230</v>
      </c>
    </row>
    <row r="57" spans="1:36" ht="12.75">
      <c r="A57" s="52"/>
      <c r="B57" s="23" t="s">
        <v>12</v>
      </c>
      <c r="C57" s="121" t="s">
        <v>59</v>
      </c>
      <c r="D57" s="122"/>
      <c r="E57" s="122"/>
      <c r="F57" s="122"/>
      <c r="G57" s="40">
        <f>SUM(G58:G62)</f>
        <v>0</v>
      </c>
      <c r="H57" s="40">
        <f>SUM(H58:H62)</f>
        <v>0</v>
      </c>
      <c r="I57" s="40">
        <f>G57+H57</f>
        <v>0</v>
      </c>
      <c r="J57" s="74"/>
      <c r="K57" s="74">
        <f>SUM(K58:K62)</f>
        <v>19.41973</v>
      </c>
      <c r="L57" s="32"/>
      <c r="O57" s="40">
        <f>IF(P57="PR",I57,SUM(N58:N62))</f>
        <v>0</v>
      </c>
      <c r="P57" s="32" t="s">
        <v>1967</v>
      </c>
      <c r="Q57" s="40">
        <f>IF(P57="HS",G57,0)</f>
        <v>0</v>
      </c>
      <c r="R57" s="40">
        <f>IF(P57="HS",H57-O57,0)</f>
        <v>0</v>
      </c>
      <c r="S57" s="40">
        <f>IF(P57="PS",G57,0)</f>
        <v>0</v>
      </c>
      <c r="T57" s="40">
        <f>IF(P57="PS",H57-O57,0)</f>
        <v>0</v>
      </c>
      <c r="U57" s="40">
        <f>IF(P57="MP",G57,0)</f>
        <v>0</v>
      </c>
      <c r="V57" s="40">
        <f>IF(P57="MP",H57-O57,0)</f>
        <v>0</v>
      </c>
      <c r="W57" s="40">
        <f>IF(P57="OM",G57,0)</f>
        <v>0</v>
      </c>
      <c r="X57" s="32"/>
      <c r="AH57" s="40">
        <f>SUM(Y58:Y62)</f>
        <v>0</v>
      </c>
      <c r="AI57" s="40">
        <f>SUM(Z58:Z62)</f>
        <v>0</v>
      </c>
      <c r="AJ57" s="40">
        <f>SUM(AA58:AA62)</f>
        <v>0</v>
      </c>
    </row>
    <row r="58" spans="1:42" ht="12.75">
      <c r="A58" s="50" t="s">
        <v>141</v>
      </c>
      <c r="B58" s="17" t="s">
        <v>682</v>
      </c>
      <c r="C58" s="17" t="s">
        <v>1231</v>
      </c>
      <c r="D58" s="17" t="s">
        <v>1942</v>
      </c>
      <c r="E58" s="26">
        <v>53</v>
      </c>
      <c r="F58" s="26">
        <v>0</v>
      </c>
      <c r="G58" s="26">
        <f>E58*AD58</f>
        <v>0</v>
      </c>
      <c r="H58" s="26">
        <f>I58-G58</f>
        <v>0</v>
      </c>
      <c r="I58" s="26">
        <f>E58*F58</f>
        <v>0</v>
      </c>
      <c r="J58" s="72">
        <v>0.08017</v>
      </c>
      <c r="K58" s="72">
        <f>E58*J58</f>
        <v>4.24901</v>
      </c>
      <c r="L58" s="35" t="s">
        <v>1961</v>
      </c>
      <c r="M58" s="35" t="s">
        <v>122</v>
      </c>
      <c r="N58" s="26">
        <f>IF(M58="5",H58,0)</f>
        <v>0</v>
      </c>
      <c r="Y58" s="26">
        <f>IF(AC58=0,I58,0)</f>
        <v>0</v>
      </c>
      <c r="Z58" s="26">
        <f>IF(AC58=15,I58,0)</f>
        <v>0</v>
      </c>
      <c r="AA58" s="26">
        <f>IF(AC58=21,I58,0)</f>
        <v>0</v>
      </c>
      <c r="AC58" s="12">
        <v>21</v>
      </c>
      <c r="AD58" s="12">
        <f>F58*0.527190962985936</f>
        <v>0</v>
      </c>
      <c r="AE58" s="12">
        <f>F58*(1-0.527190962985936)</f>
        <v>0</v>
      </c>
      <c r="AL58" s="12">
        <f>E58*AD58</f>
        <v>0</v>
      </c>
      <c r="AM58" s="12">
        <f>E58*AE58</f>
        <v>0</v>
      </c>
      <c r="AN58" s="38" t="s">
        <v>1982</v>
      </c>
      <c r="AO58" s="38" t="s">
        <v>2024</v>
      </c>
      <c r="AP58" s="32" t="s">
        <v>2038</v>
      </c>
    </row>
    <row r="59" ht="12.75">
      <c r="C59" s="24" t="s">
        <v>1232</v>
      </c>
    </row>
    <row r="60" spans="1:42" ht="12.75">
      <c r="A60" s="50" t="s">
        <v>142</v>
      </c>
      <c r="B60" s="17" t="s">
        <v>683</v>
      </c>
      <c r="C60" s="17" t="s">
        <v>1233</v>
      </c>
      <c r="D60" s="17" t="s">
        <v>1942</v>
      </c>
      <c r="E60" s="26">
        <v>185.5</v>
      </c>
      <c r="F60" s="26">
        <v>0</v>
      </c>
      <c r="G60" s="26">
        <f>E60*AD60</f>
        <v>0</v>
      </c>
      <c r="H60" s="26">
        <f>I60-G60</f>
        <v>0</v>
      </c>
      <c r="I60" s="26">
        <f>E60*F60</f>
        <v>0</v>
      </c>
      <c r="J60" s="72">
        <v>0.0758</v>
      </c>
      <c r="K60" s="72">
        <f>E60*J60</f>
        <v>14.060900000000002</v>
      </c>
      <c r="L60" s="35" t="s">
        <v>1961</v>
      </c>
      <c r="M60" s="35" t="s">
        <v>122</v>
      </c>
      <c r="N60" s="26">
        <f>IF(M60="5",H60,0)</f>
        <v>0</v>
      </c>
      <c r="Y60" s="26">
        <f>IF(AC60=0,I60,0)</f>
        <v>0</v>
      </c>
      <c r="Z60" s="26">
        <f>IF(AC60=15,I60,0)</f>
        <v>0</v>
      </c>
      <c r="AA60" s="26">
        <f>IF(AC60=21,I60,0)</f>
        <v>0</v>
      </c>
      <c r="AC60" s="12">
        <v>21</v>
      </c>
      <c r="AD60" s="12">
        <f>F60*0.568332031338634</f>
        <v>0</v>
      </c>
      <c r="AE60" s="12">
        <f>F60*(1-0.568332031338634)</f>
        <v>0</v>
      </c>
      <c r="AL60" s="12">
        <f>E60*AD60</f>
        <v>0</v>
      </c>
      <c r="AM60" s="12">
        <f>E60*AE60</f>
        <v>0</v>
      </c>
      <c r="AN60" s="38" t="s">
        <v>1982</v>
      </c>
      <c r="AO60" s="38" t="s">
        <v>2024</v>
      </c>
      <c r="AP60" s="32" t="s">
        <v>2038</v>
      </c>
    </row>
    <row r="61" ht="12.75">
      <c r="C61" s="24" t="s">
        <v>1232</v>
      </c>
    </row>
    <row r="62" spans="1:42" ht="12.75">
      <c r="A62" s="50" t="s">
        <v>13</v>
      </c>
      <c r="B62" s="17" t="s">
        <v>684</v>
      </c>
      <c r="C62" s="17" t="s">
        <v>1234</v>
      </c>
      <c r="D62" s="17" t="s">
        <v>1944</v>
      </c>
      <c r="E62" s="26">
        <v>53</v>
      </c>
      <c r="F62" s="26">
        <v>0</v>
      </c>
      <c r="G62" s="26">
        <f>E62*AD62</f>
        <v>0</v>
      </c>
      <c r="H62" s="26">
        <f>I62-G62</f>
        <v>0</v>
      </c>
      <c r="I62" s="26">
        <f>E62*F62</f>
        <v>0</v>
      </c>
      <c r="J62" s="72">
        <v>0.02094</v>
      </c>
      <c r="K62" s="72">
        <f>E62*J62</f>
        <v>1.10982</v>
      </c>
      <c r="L62" s="35" t="s">
        <v>1961</v>
      </c>
      <c r="M62" s="35" t="s">
        <v>122</v>
      </c>
      <c r="N62" s="26">
        <f>IF(M62="5",H62,0)</f>
        <v>0</v>
      </c>
      <c r="Y62" s="26">
        <f>IF(AC62=0,I62,0)</f>
        <v>0</v>
      </c>
      <c r="Z62" s="26">
        <f>IF(AC62=15,I62,0)</f>
        <v>0</v>
      </c>
      <c r="AA62" s="26">
        <f>IF(AC62=21,I62,0)</f>
        <v>0</v>
      </c>
      <c r="AC62" s="12">
        <v>21</v>
      </c>
      <c r="AD62" s="12">
        <f>F62*0.363452873563218</f>
        <v>0</v>
      </c>
      <c r="AE62" s="12">
        <f>F62*(1-0.363452873563218)</f>
        <v>0</v>
      </c>
      <c r="AL62" s="12">
        <f>E62*AD62</f>
        <v>0</v>
      </c>
      <c r="AM62" s="12">
        <f>E62*AE62</f>
        <v>0</v>
      </c>
      <c r="AN62" s="38" t="s">
        <v>1982</v>
      </c>
      <c r="AO62" s="38" t="s">
        <v>2024</v>
      </c>
      <c r="AP62" s="32" t="s">
        <v>2038</v>
      </c>
    </row>
    <row r="63" spans="1:36" ht="12.75">
      <c r="A63" s="52"/>
      <c r="B63" s="23" t="s">
        <v>13</v>
      </c>
      <c r="C63" s="121" t="s">
        <v>60</v>
      </c>
      <c r="D63" s="122"/>
      <c r="E63" s="122"/>
      <c r="F63" s="122"/>
      <c r="G63" s="40">
        <f>SUM(G64:G69)</f>
        <v>0</v>
      </c>
      <c r="H63" s="40">
        <f>SUM(H64:H69)</f>
        <v>0</v>
      </c>
      <c r="I63" s="40">
        <f>G63+H63</f>
        <v>0</v>
      </c>
      <c r="J63" s="74"/>
      <c r="K63" s="74">
        <f>SUM(K64:K69)</f>
        <v>107.6173229</v>
      </c>
      <c r="L63" s="32"/>
      <c r="O63" s="40">
        <f>IF(P63="PR",I63,SUM(N64:N69))</f>
        <v>0</v>
      </c>
      <c r="P63" s="32" t="s">
        <v>1967</v>
      </c>
      <c r="Q63" s="40">
        <f>IF(P63="HS",G63,0)</f>
        <v>0</v>
      </c>
      <c r="R63" s="40">
        <f>IF(P63="HS",H63-O63,0)</f>
        <v>0</v>
      </c>
      <c r="S63" s="40">
        <f>IF(P63="PS",G63,0)</f>
        <v>0</v>
      </c>
      <c r="T63" s="40">
        <f>IF(P63="PS",H63-O63,0)</f>
        <v>0</v>
      </c>
      <c r="U63" s="40">
        <f>IF(P63="MP",G63,0)</f>
        <v>0</v>
      </c>
      <c r="V63" s="40">
        <f>IF(P63="MP",H63-O63,0)</f>
        <v>0</v>
      </c>
      <c r="W63" s="40">
        <f>IF(P63="OM",G63,0)</f>
        <v>0</v>
      </c>
      <c r="X63" s="32"/>
      <c r="AH63" s="40">
        <f>SUM(Y64:Y69)</f>
        <v>0</v>
      </c>
      <c r="AI63" s="40">
        <f>SUM(Z64:Z69)</f>
        <v>0</v>
      </c>
      <c r="AJ63" s="40">
        <f>SUM(AA64:AA69)</f>
        <v>0</v>
      </c>
    </row>
    <row r="64" spans="1:42" ht="12.75">
      <c r="A64" s="50" t="s">
        <v>14</v>
      </c>
      <c r="B64" s="17" t="s">
        <v>685</v>
      </c>
      <c r="C64" s="17" t="s">
        <v>1235</v>
      </c>
      <c r="D64" s="17" t="s">
        <v>1940</v>
      </c>
      <c r="E64" s="26">
        <v>1.94</v>
      </c>
      <c r="F64" s="26">
        <v>0</v>
      </c>
      <c r="G64" s="26">
        <f>E64*AD64</f>
        <v>0</v>
      </c>
      <c r="H64" s="26">
        <f>I64-G64</f>
        <v>0</v>
      </c>
      <c r="I64" s="26">
        <f>E64*F64</f>
        <v>0</v>
      </c>
      <c r="J64" s="72">
        <v>3.16907</v>
      </c>
      <c r="K64" s="72">
        <f>E64*J64</f>
        <v>6.1479958</v>
      </c>
      <c r="L64" s="35" t="s">
        <v>1961</v>
      </c>
      <c r="M64" s="35" t="s">
        <v>124</v>
      </c>
      <c r="N64" s="26">
        <f>IF(M64="5",H64,0)</f>
        <v>0</v>
      </c>
      <c r="Y64" s="26">
        <f>IF(AC64=0,I64,0)</f>
        <v>0</v>
      </c>
      <c r="Z64" s="26">
        <f>IF(AC64=15,I64,0)</f>
        <v>0</v>
      </c>
      <c r="AA64" s="26">
        <f>IF(AC64=21,I64,0)</f>
        <v>0</v>
      </c>
      <c r="AC64" s="12">
        <v>21</v>
      </c>
      <c r="AD64" s="12">
        <f>F64*0.588657460363677</f>
        <v>0</v>
      </c>
      <c r="AE64" s="12">
        <f>F64*(1-0.588657460363677)</f>
        <v>0</v>
      </c>
      <c r="AL64" s="12">
        <f>E64*AD64</f>
        <v>0</v>
      </c>
      <c r="AM64" s="12">
        <f>E64*AE64</f>
        <v>0</v>
      </c>
      <c r="AN64" s="38" t="s">
        <v>1983</v>
      </c>
      <c r="AO64" s="38" t="s">
        <v>2024</v>
      </c>
      <c r="AP64" s="32" t="s">
        <v>2038</v>
      </c>
    </row>
    <row r="65" ht="12.75">
      <c r="C65" s="24" t="s">
        <v>1236</v>
      </c>
    </row>
    <row r="66" spans="1:42" ht="12.75">
      <c r="A66" s="50" t="s">
        <v>143</v>
      </c>
      <c r="B66" s="17" t="s">
        <v>686</v>
      </c>
      <c r="C66" s="17" t="s">
        <v>1237</v>
      </c>
      <c r="D66" s="17" t="s">
        <v>1940</v>
      </c>
      <c r="E66" s="26">
        <v>12.07</v>
      </c>
      <c r="F66" s="26">
        <v>0</v>
      </c>
      <c r="G66" s="26">
        <f>E66*AD66</f>
        <v>0</v>
      </c>
      <c r="H66" s="26">
        <f>I66-G66</f>
        <v>0</v>
      </c>
      <c r="I66" s="26">
        <f>E66*F66</f>
        <v>0</v>
      </c>
      <c r="J66" s="72">
        <v>2.41693</v>
      </c>
      <c r="K66" s="72">
        <f>E66*J66</f>
        <v>29.172345099999998</v>
      </c>
      <c r="L66" s="35" t="s">
        <v>1959</v>
      </c>
      <c r="M66" s="35" t="s">
        <v>122</v>
      </c>
      <c r="N66" s="26">
        <f>IF(M66="5",H66,0)</f>
        <v>0</v>
      </c>
      <c r="Y66" s="26">
        <f>IF(AC66=0,I66,0)</f>
        <v>0</v>
      </c>
      <c r="Z66" s="26">
        <f>IF(AC66=15,I66,0)</f>
        <v>0</v>
      </c>
      <c r="AA66" s="26">
        <f>IF(AC66=21,I66,0)</f>
        <v>0</v>
      </c>
      <c r="AC66" s="12">
        <v>21</v>
      </c>
      <c r="AD66" s="12">
        <f>F66*0.911418103448276</f>
        <v>0</v>
      </c>
      <c r="AE66" s="12">
        <f>F66*(1-0.911418103448276)</f>
        <v>0</v>
      </c>
      <c r="AL66" s="12">
        <f>E66*AD66</f>
        <v>0</v>
      </c>
      <c r="AM66" s="12">
        <f>E66*AE66</f>
        <v>0</v>
      </c>
      <c r="AN66" s="38" t="s">
        <v>1983</v>
      </c>
      <c r="AO66" s="38" t="s">
        <v>2024</v>
      </c>
      <c r="AP66" s="32" t="s">
        <v>2038</v>
      </c>
    </row>
    <row r="67" spans="1:42" ht="12.75">
      <c r="A67" s="50" t="s">
        <v>144</v>
      </c>
      <c r="B67" s="17" t="s">
        <v>687</v>
      </c>
      <c r="C67" s="17" t="s">
        <v>1238</v>
      </c>
      <c r="D67" s="17" t="s">
        <v>1940</v>
      </c>
      <c r="E67" s="26">
        <v>7.28</v>
      </c>
      <c r="F67" s="26">
        <v>0</v>
      </c>
      <c r="G67" s="26">
        <f>E67*AD67</f>
        <v>0</v>
      </c>
      <c r="H67" s="26">
        <f>I67-G67</f>
        <v>0</v>
      </c>
      <c r="I67" s="26">
        <f>E67*F67</f>
        <v>0</v>
      </c>
      <c r="J67" s="72">
        <v>3.21932</v>
      </c>
      <c r="K67" s="72">
        <f>E67*J67</f>
        <v>23.436649600000003</v>
      </c>
      <c r="L67" s="35" t="s">
        <v>1959</v>
      </c>
      <c r="M67" s="35" t="s">
        <v>124</v>
      </c>
      <c r="N67" s="26">
        <f>IF(M67="5",H67,0)</f>
        <v>0</v>
      </c>
      <c r="Y67" s="26">
        <f>IF(AC67=0,I67,0)</f>
        <v>0</v>
      </c>
      <c r="Z67" s="26">
        <f>IF(AC67=15,I67,0)</f>
        <v>0</v>
      </c>
      <c r="AA67" s="26">
        <f>IF(AC67=21,I67,0)</f>
        <v>0</v>
      </c>
      <c r="AC67" s="12">
        <v>21</v>
      </c>
      <c r="AD67" s="12">
        <f>F67*0.672651023699228</f>
        <v>0</v>
      </c>
      <c r="AE67" s="12">
        <f>F67*(1-0.672651023699228)</f>
        <v>0</v>
      </c>
      <c r="AL67" s="12">
        <f>E67*AD67</f>
        <v>0</v>
      </c>
      <c r="AM67" s="12">
        <f>E67*AE67</f>
        <v>0</v>
      </c>
      <c r="AN67" s="38" t="s">
        <v>1983</v>
      </c>
      <c r="AO67" s="38" t="s">
        <v>2024</v>
      </c>
      <c r="AP67" s="32" t="s">
        <v>2038</v>
      </c>
    </row>
    <row r="68" ht="12.75">
      <c r="C68" s="24" t="s">
        <v>1239</v>
      </c>
    </row>
    <row r="69" spans="1:42" ht="12.75">
      <c r="A69" s="50" t="s">
        <v>15</v>
      </c>
      <c r="B69" s="17" t="s">
        <v>688</v>
      </c>
      <c r="C69" s="17" t="s">
        <v>1240</v>
      </c>
      <c r="D69" s="17" t="s">
        <v>1940</v>
      </c>
      <c r="E69" s="26">
        <v>14.62</v>
      </c>
      <c r="F69" s="26">
        <v>0</v>
      </c>
      <c r="G69" s="26">
        <f>E69*AD69</f>
        <v>0</v>
      </c>
      <c r="H69" s="26">
        <f>I69-G69</f>
        <v>0</v>
      </c>
      <c r="I69" s="26">
        <f>E69*F69</f>
        <v>0</v>
      </c>
      <c r="J69" s="72">
        <v>3.34202</v>
      </c>
      <c r="K69" s="72">
        <f>E69*J69</f>
        <v>48.8603324</v>
      </c>
      <c r="L69" s="35" t="s">
        <v>1961</v>
      </c>
      <c r="M69" s="35" t="s">
        <v>124</v>
      </c>
      <c r="N69" s="26">
        <f>IF(M69="5",H69,0)</f>
        <v>0</v>
      </c>
      <c r="Y69" s="26">
        <f>IF(AC69=0,I69,0)</f>
        <v>0</v>
      </c>
      <c r="Z69" s="26">
        <f>IF(AC69=15,I69,0)</f>
        <v>0</v>
      </c>
      <c r="AA69" s="26">
        <f>IF(AC69=21,I69,0)</f>
        <v>0</v>
      </c>
      <c r="AC69" s="12">
        <v>21</v>
      </c>
      <c r="AD69" s="12">
        <f>F69*0.526856100794036</f>
        <v>0</v>
      </c>
      <c r="AE69" s="12">
        <f>F69*(1-0.526856100794036)</f>
        <v>0</v>
      </c>
      <c r="AL69" s="12">
        <f>E69*AD69</f>
        <v>0</v>
      </c>
      <c r="AM69" s="12">
        <f>E69*AE69</f>
        <v>0</v>
      </c>
      <c r="AN69" s="38" t="s">
        <v>1983</v>
      </c>
      <c r="AO69" s="38" t="s">
        <v>2024</v>
      </c>
      <c r="AP69" s="32" t="s">
        <v>2038</v>
      </c>
    </row>
    <row r="70" ht="12.75">
      <c r="C70" s="24" t="s">
        <v>1241</v>
      </c>
    </row>
    <row r="71" spans="1:36" ht="12.75">
      <c r="A71" s="52"/>
      <c r="B71" s="23" t="s">
        <v>14</v>
      </c>
      <c r="C71" s="121" t="s">
        <v>61</v>
      </c>
      <c r="D71" s="122"/>
      <c r="E71" s="122"/>
      <c r="F71" s="122"/>
      <c r="G71" s="40">
        <f>SUM(G72:G74)</f>
        <v>0</v>
      </c>
      <c r="H71" s="40">
        <f>SUM(H72:H74)</f>
        <v>0</v>
      </c>
      <c r="I71" s="40">
        <f>G71+H71</f>
        <v>0</v>
      </c>
      <c r="J71" s="74"/>
      <c r="K71" s="74">
        <f>SUM(K72:K74)</f>
        <v>0.1220807</v>
      </c>
      <c r="L71" s="32"/>
      <c r="O71" s="40">
        <f>IF(P71="PR",I71,SUM(N72:N74))</f>
        <v>0</v>
      </c>
      <c r="P71" s="32" t="s">
        <v>1967</v>
      </c>
      <c r="Q71" s="40">
        <f>IF(P71="HS",G71,0)</f>
        <v>0</v>
      </c>
      <c r="R71" s="40">
        <f>IF(P71="HS",H71-O71,0)</f>
        <v>0</v>
      </c>
      <c r="S71" s="40">
        <f>IF(P71="PS",G71,0)</f>
        <v>0</v>
      </c>
      <c r="T71" s="40">
        <f>IF(P71="PS",H71-O71,0)</f>
        <v>0</v>
      </c>
      <c r="U71" s="40">
        <f>IF(P71="MP",G71,0)</f>
        <v>0</v>
      </c>
      <c r="V71" s="40">
        <f>IF(P71="MP",H71-O71,0)</f>
        <v>0</v>
      </c>
      <c r="W71" s="40">
        <f>IF(P71="OM",G71,0)</f>
        <v>0</v>
      </c>
      <c r="X71" s="32"/>
      <c r="AH71" s="40">
        <f>SUM(Y72:Y74)</f>
        <v>0</v>
      </c>
      <c r="AI71" s="40">
        <f>SUM(Z72:Z74)</f>
        <v>0</v>
      </c>
      <c r="AJ71" s="40">
        <f>SUM(AA72:AA74)</f>
        <v>0</v>
      </c>
    </row>
    <row r="72" spans="1:42" s="60" customFormat="1" ht="26.25">
      <c r="A72" s="56" t="s">
        <v>145</v>
      </c>
      <c r="B72" s="57" t="s">
        <v>689</v>
      </c>
      <c r="C72" s="57" t="s">
        <v>1242</v>
      </c>
      <c r="D72" s="57" t="s">
        <v>1941</v>
      </c>
      <c r="E72" s="58">
        <v>37.26</v>
      </c>
      <c r="F72" s="58">
        <v>0</v>
      </c>
      <c r="G72" s="58">
        <f>E72*AD72</f>
        <v>0</v>
      </c>
      <c r="H72" s="58">
        <f>I72-G72</f>
        <v>0</v>
      </c>
      <c r="I72" s="58">
        <f>E72*F72</f>
        <v>0</v>
      </c>
      <c r="J72" s="77">
        <v>0.00133</v>
      </c>
      <c r="K72" s="77">
        <f>E72*J72</f>
        <v>0.0495558</v>
      </c>
      <c r="L72" s="59" t="s">
        <v>1961</v>
      </c>
      <c r="M72" s="59" t="s">
        <v>122</v>
      </c>
      <c r="N72" s="58">
        <f>IF(M72="5",H72,0)</f>
        <v>0</v>
      </c>
      <c r="Y72" s="58">
        <f>IF(AC72=0,I72,0)</f>
        <v>0</v>
      </c>
      <c r="Z72" s="58">
        <f>IF(AC72=15,I72,0)</f>
        <v>0</v>
      </c>
      <c r="AA72" s="58">
        <f>IF(AC72=21,I72,0)</f>
        <v>0</v>
      </c>
      <c r="AC72" s="61">
        <v>21</v>
      </c>
      <c r="AD72" s="61">
        <f>F72*0.869835403726708</f>
        <v>0</v>
      </c>
      <c r="AE72" s="61">
        <f>F72*(1-0.869835403726708)</f>
        <v>0</v>
      </c>
      <c r="AL72" s="61">
        <f>E72*AD72</f>
        <v>0</v>
      </c>
      <c r="AM72" s="61">
        <f>E72*AE72</f>
        <v>0</v>
      </c>
      <c r="AN72" s="62" t="s">
        <v>1984</v>
      </c>
      <c r="AO72" s="62" t="s">
        <v>2024</v>
      </c>
      <c r="AP72" s="63" t="s">
        <v>2037</v>
      </c>
    </row>
    <row r="73" ht="34.5" customHeight="1">
      <c r="C73" s="24" t="s">
        <v>1243</v>
      </c>
    </row>
    <row r="74" spans="1:42" ht="12.75">
      <c r="A74" s="50" t="s">
        <v>146</v>
      </c>
      <c r="B74" s="17" t="s">
        <v>690</v>
      </c>
      <c r="C74" s="17" t="s">
        <v>1244</v>
      </c>
      <c r="D74" s="17" t="s">
        <v>1941</v>
      </c>
      <c r="E74" s="26">
        <v>54.53</v>
      </c>
      <c r="F74" s="26">
        <v>0</v>
      </c>
      <c r="G74" s="26">
        <f>E74*AD74</f>
        <v>0</v>
      </c>
      <c r="H74" s="26">
        <f>I74-G74</f>
        <v>0</v>
      </c>
      <c r="I74" s="26">
        <f>E74*F74</f>
        <v>0</v>
      </c>
      <c r="J74" s="72">
        <v>0.00133</v>
      </c>
      <c r="K74" s="72">
        <f>E74*J74</f>
        <v>0.0725249</v>
      </c>
      <c r="L74" s="35" t="s">
        <v>1961</v>
      </c>
      <c r="M74" s="35" t="s">
        <v>122</v>
      </c>
      <c r="N74" s="26">
        <f>IF(M74="5",H74,0)</f>
        <v>0</v>
      </c>
      <c r="Y74" s="26">
        <f>IF(AC74=0,I74,0)</f>
        <v>0</v>
      </c>
      <c r="Z74" s="26">
        <f>IF(AC74=15,I74,0)</f>
        <v>0</v>
      </c>
      <c r="AA74" s="26">
        <f>IF(AC74=21,I74,0)</f>
        <v>0</v>
      </c>
      <c r="AC74" s="12">
        <v>21</v>
      </c>
      <c r="AD74" s="12">
        <f>F74*0.821256157635468</f>
        <v>0</v>
      </c>
      <c r="AE74" s="12">
        <f>F74*(1-0.821256157635468)</f>
        <v>0</v>
      </c>
      <c r="AL74" s="12">
        <f>E74*AD74</f>
        <v>0</v>
      </c>
      <c r="AM74" s="12">
        <f>E74*AE74</f>
        <v>0</v>
      </c>
      <c r="AN74" s="38" t="s">
        <v>1984</v>
      </c>
      <c r="AO74" s="38" t="s">
        <v>2024</v>
      </c>
      <c r="AP74" s="32" t="s">
        <v>2037</v>
      </c>
    </row>
    <row r="75" ht="34.5" customHeight="1">
      <c r="C75" s="24" t="s">
        <v>1245</v>
      </c>
    </row>
    <row r="76" spans="1:36" ht="12.75">
      <c r="A76" s="52"/>
      <c r="B76" s="23" t="s">
        <v>15</v>
      </c>
      <c r="C76" s="121" t="s">
        <v>62</v>
      </c>
      <c r="D76" s="122"/>
      <c r="E76" s="122"/>
      <c r="F76" s="122"/>
      <c r="G76" s="40">
        <f>SUM(G77:G135)</f>
        <v>0</v>
      </c>
      <c r="H76" s="40">
        <f>SUM(H77:H135)</f>
        <v>0</v>
      </c>
      <c r="I76" s="40">
        <f>G76+H76</f>
        <v>0</v>
      </c>
      <c r="J76" s="74"/>
      <c r="K76" s="74">
        <f>SUM(K77:K135)</f>
        <v>163.0720335</v>
      </c>
      <c r="L76" s="32"/>
      <c r="O76" s="40">
        <f>IF(P76="PR",I76,SUM(N77:N135))</f>
        <v>0</v>
      </c>
      <c r="P76" s="32" t="s">
        <v>1967</v>
      </c>
      <c r="Q76" s="40">
        <f>IF(P76="HS",G76,0)</f>
        <v>0</v>
      </c>
      <c r="R76" s="40">
        <f>IF(P76="HS",H76-O76,0)</f>
        <v>0</v>
      </c>
      <c r="S76" s="40">
        <f>IF(P76="PS",G76,0)</f>
        <v>0</v>
      </c>
      <c r="T76" s="40">
        <f>IF(P76="PS",H76-O76,0)</f>
        <v>0</v>
      </c>
      <c r="U76" s="40">
        <f>IF(P76="MP",G76,0)</f>
        <v>0</v>
      </c>
      <c r="V76" s="40">
        <f>IF(P76="MP",H76-O76,0)</f>
        <v>0</v>
      </c>
      <c r="W76" s="40">
        <f>IF(P76="OM",G76,0)</f>
        <v>0</v>
      </c>
      <c r="X76" s="32"/>
      <c r="AH76" s="40">
        <f>SUM(Y77:Y135)</f>
        <v>0</v>
      </c>
      <c r="AI76" s="40">
        <f>SUM(Z77:Z135)</f>
        <v>0</v>
      </c>
      <c r="AJ76" s="40">
        <f>SUM(AA77:AA135)</f>
        <v>0</v>
      </c>
    </row>
    <row r="77" spans="1:42" ht="12.75">
      <c r="A77" s="53" t="s">
        <v>16</v>
      </c>
      <c r="B77" s="18" t="s">
        <v>691</v>
      </c>
      <c r="C77" s="18" t="s">
        <v>1246</v>
      </c>
      <c r="D77" s="18" t="s">
        <v>1945</v>
      </c>
      <c r="E77" s="27">
        <v>0.57</v>
      </c>
      <c r="F77" s="27">
        <v>0</v>
      </c>
      <c r="G77" s="27">
        <f aca="true" t="shared" si="0" ref="G77:G83">E77*AD77</f>
        <v>0</v>
      </c>
      <c r="H77" s="27">
        <f aca="true" t="shared" si="1" ref="H77:H83">I77-G77</f>
        <v>0</v>
      </c>
      <c r="I77" s="27">
        <f aca="true" t="shared" si="2" ref="I77:I83">E77*F77</f>
        <v>0</v>
      </c>
      <c r="J77" s="76">
        <v>1</v>
      </c>
      <c r="K77" s="76">
        <f aca="true" t="shared" si="3" ref="K77:K83">E77*J77</f>
        <v>0.57</v>
      </c>
      <c r="L77" s="36" t="s">
        <v>1959</v>
      </c>
      <c r="M77" s="36" t="s">
        <v>7</v>
      </c>
      <c r="N77" s="27">
        <f aca="true" t="shared" si="4" ref="N77:N83">IF(M77="5",H77,0)</f>
        <v>0</v>
      </c>
      <c r="Y77" s="27">
        <f aca="true" t="shared" si="5" ref="Y77:Y83">IF(AC77=0,I77,0)</f>
        <v>0</v>
      </c>
      <c r="Z77" s="27">
        <f aca="true" t="shared" si="6" ref="Z77:Z83">IF(AC77=15,I77,0)</f>
        <v>0</v>
      </c>
      <c r="AA77" s="27">
        <f aca="true" t="shared" si="7" ref="AA77:AA83">IF(AC77=21,I77,0)</f>
        <v>0</v>
      </c>
      <c r="AC77" s="12">
        <v>21</v>
      </c>
      <c r="AD77" s="12">
        <f>F77*1</f>
        <v>0</v>
      </c>
      <c r="AE77" s="12">
        <f>F77*(1-1)</f>
        <v>0</v>
      </c>
      <c r="AL77" s="12">
        <f aca="true" t="shared" si="8" ref="AL77:AL83">E77*AD77</f>
        <v>0</v>
      </c>
      <c r="AM77" s="12">
        <f aca="true" t="shared" si="9" ref="AM77:AM83">E77*AE77</f>
        <v>0</v>
      </c>
      <c r="AN77" s="38" t="s">
        <v>1985</v>
      </c>
      <c r="AO77" s="38" t="s">
        <v>2025</v>
      </c>
      <c r="AP77" s="32" t="s">
        <v>2039</v>
      </c>
    </row>
    <row r="78" spans="1:42" ht="12.75">
      <c r="A78" s="53" t="s">
        <v>147</v>
      </c>
      <c r="B78" s="18" t="s">
        <v>692</v>
      </c>
      <c r="C78" s="18" t="s">
        <v>1247</v>
      </c>
      <c r="D78" s="18" t="s">
        <v>1945</v>
      </c>
      <c r="E78" s="27">
        <v>0.69</v>
      </c>
      <c r="F78" s="27">
        <v>0</v>
      </c>
      <c r="G78" s="27">
        <f t="shared" si="0"/>
        <v>0</v>
      </c>
      <c r="H78" s="27">
        <f t="shared" si="1"/>
        <v>0</v>
      </c>
      <c r="I78" s="27">
        <f t="shared" si="2"/>
        <v>0</v>
      </c>
      <c r="J78" s="76">
        <v>1</v>
      </c>
      <c r="K78" s="76">
        <f t="shared" si="3"/>
        <v>0.69</v>
      </c>
      <c r="L78" s="36" t="s">
        <v>1959</v>
      </c>
      <c r="M78" s="36" t="s">
        <v>7</v>
      </c>
      <c r="N78" s="27">
        <f t="shared" si="4"/>
        <v>0</v>
      </c>
      <c r="Y78" s="27">
        <f t="shared" si="5"/>
        <v>0</v>
      </c>
      <c r="Z78" s="27">
        <f t="shared" si="6"/>
        <v>0</v>
      </c>
      <c r="AA78" s="27">
        <f t="shared" si="7"/>
        <v>0</v>
      </c>
      <c r="AC78" s="12">
        <v>21</v>
      </c>
      <c r="AD78" s="12">
        <f>F78*1</f>
        <v>0</v>
      </c>
      <c r="AE78" s="12">
        <f>F78*(1-1)</f>
        <v>0</v>
      </c>
      <c r="AL78" s="12">
        <f t="shared" si="8"/>
        <v>0</v>
      </c>
      <c r="AM78" s="12">
        <f t="shared" si="9"/>
        <v>0</v>
      </c>
      <c r="AN78" s="38" t="s">
        <v>1985</v>
      </c>
      <c r="AO78" s="38" t="s">
        <v>2025</v>
      </c>
      <c r="AP78" s="32" t="s">
        <v>2039</v>
      </c>
    </row>
    <row r="79" spans="1:42" ht="12.75">
      <c r="A79" s="53" t="s">
        <v>148</v>
      </c>
      <c r="B79" s="18" t="s">
        <v>693</v>
      </c>
      <c r="C79" s="18" t="s">
        <v>1248</v>
      </c>
      <c r="D79" s="18" t="s">
        <v>1945</v>
      </c>
      <c r="E79" s="27">
        <v>1.45</v>
      </c>
      <c r="F79" s="27">
        <v>0</v>
      </c>
      <c r="G79" s="27">
        <f t="shared" si="0"/>
        <v>0</v>
      </c>
      <c r="H79" s="27">
        <f t="shared" si="1"/>
        <v>0</v>
      </c>
      <c r="I79" s="27">
        <f t="shared" si="2"/>
        <v>0</v>
      </c>
      <c r="J79" s="76">
        <v>1</v>
      </c>
      <c r="K79" s="76">
        <f t="shared" si="3"/>
        <v>1.45</v>
      </c>
      <c r="L79" s="36" t="s">
        <v>1959</v>
      </c>
      <c r="M79" s="36" t="s">
        <v>7</v>
      </c>
      <c r="N79" s="27">
        <f t="shared" si="4"/>
        <v>0</v>
      </c>
      <c r="Y79" s="27">
        <f t="shared" si="5"/>
        <v>0</v>
      </c>
      <c r="Z79" s="27">
        <f t="shared" si="6"/>
        <v>0</v>
      </c>
      <c r="AA79" s="27">
        <f t="shared" si="7"/>
        <v>0</v>
      </c>
      <c r="AC79" s="12">
        <v>21</v>
      </c>
      <c r="AD79" s="12">
        <f>F79*1</f>
        <v>0</v>
      </c>
      <c r="AE79" s="12">
        <f>F79*(1-1)</f>
        <v>0</v>
      </c>
      <c r="AL79" s="12">
        <f t="shared" si="8"/>
        <v>0</v>
      </c>
      <c r="AM79" s="12">
        <f t="shared" si="9"/>
        <v>0</v>
      </c>
      <c r="AN79" s="38" t="s">
        <v>1985</v>
      </c>
      <c r="AO79" s="38" t="s">
        <v>2025</v>
      </c>
      <c r="AP79" s="32" t="s">
        <v>2039</v>
      </c>
    </row>
    <row r="80" spans="1:42" ht="12.75">
      <c r="A80" s="53" t="s">
        <v>149</v>
      </c>
      <c r="B80" s="18" t="s">
        <v>694</v>
      </c>
      <c r="C80" s="18" t="s">
        <v>1249</v>
      </c>
      <c r="D80" s="18" t="s">
        <v>1945</v>
      </c>
      <c r="E80" s="27">
        <v>1.08</v>
      </c>
      <c r="F80" s="27">
        <v>0</v>
      </c>
      <c r="G80" s="27">
        <f t="shared" si="0"/>
        <v>0</v>
      </c>
      <c r="H80" s="27">
        <f t="shared" si="1"/>
        <v>0</v>
      </c>
      <c r="I80" s="27">
        <f t="shared" si="2"/>
        <v>0</v>
      </c>
      <c r="J80" s="76">
        <v>1</v>
      </c>
      <c r="K80" s="76">
        <f t="shared" si="3"/>
        <v>1.08</v>
      </c>
      <c r="L80" s="36" t="s">
        <v>1959</v>
      </c>
      <c r="M80" s="36" t="s">
        <v>7</v>
      </c>
      <c r="N80" s="27">
        <f t="shared" si="4"/>
        <v>0</v>
      </c>
      <c r="Y80" s="27">
        <f t="shared" si="5"/>
        <v>0</v>
      </c>
      <c r="Z80" s="27">
        <f t="shared" si="6"/>
        <v>0</v>
      </c>
      <c r="AA80" s="27">
        <f t="shared" si="7"/>
        <v>0</v>
      </c>
      <c r="AC80" s="12">
        <v>21</v>
      </c>
      <c r="AD80" s="12">
        <f>F80*1</f>
        <v>0</v>
      </c>
      <c r="AE80" s="12">
        <f>F80*(1-1)</f>
        <v>0</v>
      </c>
      <c r="AL80" s="12">
        <f t="shared" si="8"/>
        <v>0</v>
      </c>
      <c r="AM80" s="12">
        <f t="shared" si="9"/>
        <v>0</v>
      </c>
      <c r="AN80" s="38" t="s">
        <v>1985</v>
      </c>
      <c r="AO80" s="38" t="s">
        <v>2025</v>
      </c>
      <c r="AP80" s="32" t="s">
        <v>2039</v>
      </c>
    </row>
    <row r="81" spans="1:42" ht="12.75">
      <c r="A81" s="53" t="s">
        <v>17</v>
      </c>
      <c r="B81" s="18" t="s">
        <v>695</v>
      </c>
      <c r="C81" s="18" t="s">
        <v>1250</v>
      </c>
      <c r="D81" s="18" t="s">
        <v>1941</v>
      </c>
      <c r="E81" s="27">
        <v>1.08</v>
      </c>
      <c r="F81" s="27">
        <v>0</v>
      </c>
      <c r="G81" s="27">
        <f t="shared" si="0"/>
        <v>0</v>
      </c>
      <c r="H81" s="27">
        <f t="shared" si="1"/>
        <v>0</v>
      </c>
      <c r="I81" s="27">
        <f t="shared" si="2"/>
        <v>0</v>
      </c>
      <c r="J81" s="76">
        <v>0.00053</v>
      </c>
      <c r="K81" s="76">
        <f t="shared" si="3"/>
        <v>0.0005724</v>
      </c>
      <c r="L81" s="36" t="s">
        <v>1959</v>
      </c>
      <c r="M81" s="36" t="s">
        <v>7</v>
      </c>
      <c r="N81" s="27">
        <f t="shared" si="4"/>
        <v>0</v>
      </c>
      <c r="Y81" s="27">
        <f t="shared" si="5"/>
        <v>0</v>
      </c>
      <c r="Z81" s="27">
        <f t="shared" si="6"/>
        <v>0</v>
      </c>
      <c r="AA81" s="27">
        <f t="shared" si="7"/>
        <v>0</v>
      </c>
      <c r="AC81" s="12">
        <v>21</v>
      </c>
      <c r="AD81" s="12">
        <f>F81*1</f>
        <v>0</v>
      </c>
      <c r="AE81" s="12">
        <f>F81*(1-1)</f>
        <v>0</v>
      </c>
      <c r="AL81" s="12">
        <f t="shared" si="8"/>
        <v>0</v>
      </c>
      <c r="AM81" s="12">
        <f t="shared" si="9"/>
        <v>0</v>
      </c>
      <c r="AN81" s="38" t="s">
        <v>1985</v>
      </c>
      <c r="AO81" s="38" t="s">
        <v>2025</v>
      </c>
      <c r="AP81" s="32" t="s">
        <v>2039</v>
      </c>
    </row>
    <row r="82" spans="1:42" ht="12.75">
      <c r="A82" s="50" t="s">
        <v>150</v>
      </c>
      <c r="B82" s="17" t="s">
        <v>696</v>
      </c>
      <c r="C82" s="17" t="s">
        <v>1251</v>
      </c>
      <c r="D82" s="17" t="s">
        <v>1940</v>
      </c>
      <c r="E82" s="26">
        <v>26.69</v>
      </c>
      <c r="F82" s="26">
        <v>0</v>
      </c>
      <c r="G82" s="26">
        <f t="shared" si="0"/>
        <v>0</v>
      </c>
      <c r="H82" s="26">
        <f t="shared" si="1"/>
        <v>0</v>
      </c>
      <c r="I82" s="26">
        <f t="shared" si="2"/>
        <v>0</v>
      </c>
      <c r="J82" s="72">
        <v>1.95224</v>
      </c>
      <c r="K82" s="72">
        <f t="shared" si="3"/>
        <v>52.1052856</v>
      </c>
      <c r="L82" s="35" t="s">
        <v>1959</v>
      </c>
      <c r="M82" s="35" t="s">
        <v>122</v>
      </c>
      <c r="N82" s="26">
        <f t="shared" si="4"/>
        <v>0</v>
      </c>
      <c r="Y82" s="26">
        <f t="shared" si="5"/>
        <v>0</v>
      </c>
      <c r="Z82" s="26">
        <f t="shared" si="6"/>
        <v>0</v>
      </c>
      <c r="AA82" s="26">
        <f t="shared" si="7"/>
        <v>0</v>
      </c>
      <c r="AC82" s="12">
        <v>21</v>
      </c>
      <c r="AD82" s="12">
        <f>F82*0.70428391959799</f>
        <v>0</v>
      </c>
      <c r="AE82" s="12">
        <f>F82*(1-0.70428391959799)</f>
        <v>0</v>
      </c>
      <c r="AL82" s="12">
        <f t="shared" si="8"/>
        <v>0</v>
      </c>
      <c r="AM82" s="12">
        <f t="shared" si="9"/>
        <v>0</v>
      </c>
      <c r="AN82" s="38" t="s">
        <v>1985</v>
      </c>
      <c r="AO82" s="38" t="s">
        <v>2025</v>
      </c>
      <c r="AP82" s="32" t="s">
        <v>2034</v>
      </c>
    </row>
    <row r="83" spans="1:42" ht="12.75">
      <c r="A83" s="50" t="s">
        <v>151</v>
      </c>
      <c r="B83" s="17" t="s">
        <v>697</v>
      </c>
      <c r="C83" s="17" t="s">
        <v>1252</v>
      </c>
      <c r="D83" s="17" t="s">
        <v>1941</v>
      </c>
      <c r="E83" s="26">
        <v>11</v>
      </c>
      <c r="F83" s="26">
        <v>0</v>
      </c>
      <c r="G83" s="26">
        <f t="shared" si="0"/>
        <v>0</v>
      </c>
      <c r="H83" s="26">
        <f t="shared" si="1"/>
        <v>0</v>
      </c>
      <c r="I83" s="26">
        <f t="shared" si="2"/>
        <v>0</v>
      </c>
      <c r="J83" s="72">
        <v>0.5921</v>
      </c>
      <c r="K83" s="72">
        <f t="shared" si="3"/>
        <v>6.5131</v>
      </c>
      <c r="L83" s="35" t="s">
        <v>1959</v>
      </c>
      <c r="M83" s="35" t="s">
        <v>122</v>
      </c>
      <c r="N83" s="26">
        <f t="shared" si="4"/>
        <v>0</v>
      </c>
      <c r="Y83" s="26">
        <f t="shared" si="5"/>
        <v>0</v>
      </c>
      <c r="Z83" s="26">
        <f t="shared" si="6"/>
        <v>0</v>
      </c>
      <c r="AA83" s="26">
        <f t="shared" si="7"/>
        <v>0</v>
      </c>
      <c r="AC83" s="12">
        <v>21</v>
      </c>
      <c r="AD83" s="12">
        <f>F83*0.726485148514852</f>
        <v>0</v>
      </c>
      <c r="AE83" s="12">
        <f>F83*(1-0.726485148514852)</f>
        <v>0</v>
      </c>
      <c r="AL83" s="12">
        <f t="shared" si="8"/>
        <v>0</v>
      </c>
      <c r="AM83" s="12">
        <f t="shared" si="9"/>
        <v>0</v>
      </c>
      <c r="AN83" s="38" t="s">
        <v>1985</v>
      </c>
      <c r="AO83" s="38" t="s">
        <v>2025</v>
      </c>
      <c r="AP83" s="32" t="s">
        <v>2034</v>
      </c>
    </row>
    <row r="84" ht="12.75">
      <c r="C84" s="24" t="s">
        <v>1253</v>
      </c>
    </row>
    <row r="85" spans="1:42" ht="12.75">
      <c r="A85" s="50" t="s">
        <v>18</v>
      </c>
      <c r="B85" s="17" t="s">
        <v>698</v>
      </c>
      <c r="C85" s="17" t="s">
        <v>1254</v>
      </c>
      <c r="D85" s="17" t="s">
        <v>1941</v>
      </c>
      <c r="E85" s="26">
        <v>14.3</v>
      </c>
      <c r="F85" s="26">
        <v>0</v>
      </c>
      <c r="G85" s="26">
        <f>E85*AD85</f>
        <v>0</v>
      </c>
      <c r="H85" s="26">
        <f>I85-G85</f>
        <v>0</v>
      </c>
      <c r="I85" s="26">
        <f>E85*F85</f>
        <v>0</v>
      </c>
      <c r="J85" s="72">
        <v>0.2128</v>
      </c>
      <c r="K85" s="72">
        <f>E85*J85</f>
        <v>3.04304</v>
      </c>
      <c r="L85" s="35" t="s">
        <v>1959</v>
      </c>
      <c r="M85" s="35" t="s">
        <v>122</v>
      </c>
      <c r="N85" s="26">
        <f>IF(M85="5",H85,0)</f>
        <v>0</v>
      </c>
      <c r="Y85" s="26">
        <f>IF(AC85=0,I85,0)</f>
        <v>0</v>
      </c>
      <c r="Z85" s="26">
        <f>IF(AC85=15,I85,0)</f>
        <v>0</v>
      </c>
      <c r="AA85" s="26">
        <f>IF(AC85=21,I85,0)</f>
        <v>0</v>
      </c>
      <c r="AC85" s="12">
        <v>21</v>
      </c>
      <c r="AD85" s="12">
        <f>F85*0.738922363847045</f>
        <v>0</v>
      </c>
      <c r="AE85" s="12">
        <f>F85*(1-0.738922363847045)</f>
        <v>0</v>
      </c>
      <c r="AL85" s="12">
        <f>E85*AD85</f>
        <v>0</v>
      </c>
      <c r="AM85" s="12">
        <f>E85*AE85</f>
        <v>0</v>
      </c>
      <c r="AN85" s="38" t="s">
        <v>1985</v>
      </c>
      <c r="AO85" s="38" t="s">
        <v>2025</v>
      </c>
      <c r="AP85" s="32" t="s">
        <v>2034</v>
      </c>
    </row>
    <row r="86" spans="1:42" ht="12.75">
      <c r="A86" s="50" t="s">
        <v>152</v>
      </c>
      <c r="B86" s="17" t="s">
        <v>699</v>
      </c>
      <c r="C86" s="17" t="s">
        <v>1255</v>
      </c>
      <c r="D86" s="17" t="s">
        <v>1941</v>
      </c>
      <c r="E86" s="26">
        <v>29</v>
      </c>
      <c r="F86" s="26">
        <v>0</v>
      </c>
      <c r="G86" s="26">
        <f>E86*AD86</f>
        <v>0</v>
      </c>
      <c r="H86" s="26">
        <f>I86-G86</f>
        <v>0</v>
      </c>
      <c r="I86" s="26">
        <f>E86*F86</f>
        <v>0</v>
      </c>
      <c r="J86" s="72">
        <v>0.29018</v>
      </c>
      <c r="K86" s="72">
        <f>E86*J86</f>
        <v>8.41522</v>
      </c>
      <c r="L86" s="35" t="s">
        <v>1959</v>
      </c>
      <c r="M86" s="35" t="s">
        <v>122</v>
      </c>
      <c r="N86" s="26">
        <f>IF(M86="5",H86,0)</f>
        <v>0</v>
      </c>
      <c r="Y86" s="26">
        <f>IF(AC86=0,I86,0)</f>
        <v>0</v>
      </c>
      <c r="Z86" s="26">
        <f>IF(AC86=15,I86,0)</f>
        <v>0</v>
      </c>
      <c r="AA86" s="26">
        <f>IF(AC86=21,I86,0)</f>
        <v>0</v>
      </c>
      <c r="AC86" s="12">
        <v>21</v>
      </c>
      <c r="AD86" s="12">
        <f>F86*0.794500756429652</f>
        <v>0</v>
      </c>
      <c r="AE86" s="12">
        <f>F86*(1-0.794500756429652)</f>
        <v>0</v>
      </c>
      <c r="AL86" s="12">
        <f>E86*AD86</f>
        <v>0</v>
      </c>
      <c r="AM86" s="12">
        <f>E86*AE86</f>
        <v>0</v>
      </c>
      <c r="AN86" s="38" t="s">
        <v>1985</v>
      </c>
      <c r="AO86" s="38" t="s">
        <v>2025</v>
      </c>
      <c r="AP86" s="32" t="s">
        <v>2034</v>
      </c>
    </row>
    <row r="87" spans="1:42" ht="12.75">
      <c r="A87" s="50" t="s">
        <v>19</v>
      </c>
      <c r="B87" s="17" t="s">
        <v>700</v>
      </c>
      <c r="C87" s="17" t="s">
        <v>1256</v>
      </c>
      <c r="D87" s="17" t="s">
        <v>1945</v>
      </c>
      <c r="E87" s="26">
        <v>0.24</v>
      </c>
      <c r="F87" s="26">
        <v>0</v>
      </c>
      <c r="G87" s="26">
        <f>E87*AD87</f>
        <v>0</v>
      </c>
      <c r="H87" s="26">
        <f>I87-G87</f>
        <v>0</v>
      </c>
      <c r="I87" s="26">
        <f>E87*F87</f>
        <v>0</v>
      </c>
      <c r="J87" s="72">
        <v>1.02029</v>
      </c>
      <c r="K87" s="72">
        <f>E87*J87</f>
        <v>0.24486959999999997</v>
      </c>
      <c r="L87" s="35" t="s">
        <v>1959</v>
      </c>
      <c r="M87" s="35" t="s">
        <v>122</v>
      </c>
      <c r="N87" s="26">
        <f>IF(M87="5",H87,0)</f>
        <v>0</v>
      </c>
      <c r="Y87" s="26">
        <f>IF(AC87=0,I87,0)</f>
        <v>0</v>
      </c>
      <c r="Z87" s="26">
        <f>IF(AC87=15,I87,0)</f>
        <v>0</v>
      </c>
      <c r="AA87" s="26">
        <f>IF(AC87=21,I87,0)</f>
        <v>0</v>
      </c>
      <c r="AC87" s="12">
        <v>21</v>
      </c>
      <c r="AD87" s="12">
        <f>F87*0.718782752403846</f>
        <v>0</v>
      </c>
      <c r="AE87" s="12">
        <f>F87*(1-0.718782752403846)</f>
        <v>0</v>
      </c>
      <c r="AL87" s="12">
        <f>E87*AD87</f>
        <v>0</v>
      </c>
      <c r="AM87" s="12">
        <f>E87*AE87</f>
        <v>0</v>
      </c>
      <c r="AN87" s="38" t="s">
        <v>1985</v>
      </c>
      <c r="AO87" s="38" t="s">
        <v>2025</v>
      </c>
      <c r="AP87" s="32" t="s">
        <v>2034</v>
      </c>
    </row>
    <row r="88" ht="26.25">
      <c r="C88" s="24" t="s">
        <v>1257</v>
      </c>
    </row>
    <row r="89" spans="1:42" ht="12.75">
      <c r="A89" s="50" t="s">
        <v>153</v>
      </c>
      <c r="B89" s="17" t="s">
        <v>701</v>
      </c>
      <c r="C89" s="17" t="s">
        <v>1258</v>
      </c>
      <c r="D89" s="17" t="s">
        <v>1940</v>
      </c>
      <c r="E89" s="26">
        <v>1.23</v>
      </c>
      <c r="F89" s="26">
        <v>0</v>
      </c>
      <c r="G89" s="26">
        <f>E89*AD89</f>
        <v>0</v>
      </c>
      <c r="H89" s="26">
        <f>I89-G89</f>
        <v>0</v>
      </c>
      <c r="I89" s="26">
        <f>E89*F89</f>
        <v>0</v>
      </c>
      <c r="J89" s="72">
        <v>1.86078</v>
      </c>
      <c r="K89" s="72">
        <f>E89*J89</f>
        <v>2.2887594</v>
      </c>
      <c r="L89" s="35" t="s">
        <v>1959</v>
      </c>
      <c r="M89" s="35" t="s">
        <v>122</v>
      </c>
      <c r="N89" s="26">
        <f>IF(M89="5",H89,0)</f>
        <v>0</v>
      </c>
      <c r="Y89" s="26">
        <f>IF(AC89=0,I89,0)</f>
        <v>0</v>
      </c>
      <c r="Z89" s="26">
        <f>IF(AC89=15,I89,0)</f>
        <v>0</v>
      </c>
      <c r="AA89" s="26">
        <f>IF(AC89=21,I89,0)</f>
        <v>0</v>
      </c>
      <c r="AC89" s="12">
        <v>21</v>
      </c>
      <c r="AD89" s="12">
        <f>F89*0.666608391608391</f>
        <v>0</v>
      </c>
      <c r="AE89" s="12">
        <f>F89*(1-0.666608391608391)</f>
        <v>0</v>
      </c>
      <c r="AL89" s="12">
        <f>E89*AD89</f>
        <v>0</v>
      </c>
      <c r="AM89" s="12">
        <f>E89*AE89</f>
        <v>0</v>
      </c>
      <c r="AN89" s="38" t="s">
        <v>1985</v>
      </c>
      <c r="AO89" s="38" t="s">
        <v>2025</v>
      </c>
      <c r="AP89" s="32" t="s">
        <v>2034</v>
      </c>
    </row>
    <row r="90" ht="12.75">
      <c r="C90" s="24" t="s">
        <v>1259</v>
      </c>
    </row>
    <row r="91" spans="1:42" s="60" customFormat="1" ht="26.25">
      <c r="A91" s="56" t="s">
        <v>154</v>
      </c>
      <c r="B91" s="57" t="s">
        <v>702</v>
      </c>
      <c r="C91" s="57" t="s">
        <v>1260</v>
      </c>
      <c r="D91" s="57" t="s">
        <v>1940</v>
      </c>
      <c r="E91" s="58">
        <v>0.73</v>
      </c>
      <c r="F91" s="58">
        <v>0</v>
      </c>
      <c r="G91" s="58">
        <f>E91*AD91</f>
        <v>0</v>
      </c>
      <c r="H91" s="58">
        <f>I91-G91</f>
        <v>0</v>
      </c>
      <c r="I91" s="58">
        <f>E91*F91</f>
        <v>0</v>
      </c>
      <c r="J91" s="77">
        <v>1.75928</v>
      </c>
      <c r="K91" s="77">
        <f>E91*J91</f>
        <v>1.2842744</v>
      </c>
      <c r="L91" s="59" t="s">
        <v>1961</v>
      </c>
      <c r="M91" s="59" t="s">
        <v>122</v>
      </c>
      <c r="N91" s="58">
        <f>IF(M91="5",H91,0)</f>
        <v>0</v>
      </c>
      <c r="Y91" s="58">
        <f>IF(AC91=0,I91,0)</f>
        <v>0</v>
      </c>
      <c r="Z91" s="58">
        <f>IF(AC91=15,I91,0)</f>
        <v>0</v>
      </c>
      <c r="AA91" s="58">
        <f>IF(AC91=21,I91,0)</f>
        <v>0</v>
      </c>
      <c r="AC91" s="61">
        <v>21</v>
      </c>
      <c r="AD91" s="61">
        <f>F91*0.864671178793006</f>
        <v>0</v>
      </c>
      <c r="AE91" s="61">
        <f>F91*(1-0.864671178793006)</f>
        <v>0</v>
      </c>
      <c r="AL91" s="61">
        <f>E91*AD91</f>
        <v>0</v>
      </c>
      <c r="AM91" s="61">
        <f>E91*AE91</f>
        <v>0</v>
      </c>
      <c r="AN91" s="62" t="s">
        <v>1985</v>
      </c>
      <c r="AO91" s="62" t="s">
        <v>2025</v>
      </c>
      <c r="AP91" s="63" t="s">
        <v>2034</v>
      </c>
    </row>
    <row r="92" spans="1:42" ht="12.75">
      <c r="A92" s="50" t="s">
        <v>155</v>
      </c>
      <c r="B92" s="17" t="s">
        <v>703</v>
      </c>
      <c r="C92" s="17" t="s">
        <v>1261</v>
      </c>
      <c r="D92" s="17" t="s">
        <v>1944</v>
      </c>
      <c r="E92" s="26">
        <v>1</v>
      </c>
      <c r="F92" s="26">
        <v>0</v>
      </c>
      <c r="G92" s="26">
        <f>E92*AD92</f>
        <v>0</v>
      </c>
      <c r="H92" s="26">
        <f>I92-G92</f>
        <v>0</v>
      </c>
      <c r="I92" s="26">
        <f>E92*F92</f>
        <v>0</v>
      </c>
      <c r="J92" s="72">
        <v>0.0109</v>
      </c>
      <c r="K92" s="72">
        <f>E92*J92</f>
        <v>0.0109</v>
      </c>
      <c r="L92" s="35" t="s">
        <v>1959</v>
      </c>
      <c r="M92" s="35" t="s">
        <v>122</v>
      </c>
      <c r="N92" s="26">
        <f>IF(M92="5",H92,0)</f>
        <v>0</v>
      </c>
      <c r="Y92" s="26">
        <f>IF(AC92=0,I92,0)</f>
        <v>0</v>
      </c>
      <c r="Z92" s="26">
        <f>IF(AC92=15,I92,0)</f>
        <v>0</v>
      </c>
      <c r="AA92" s="26">
        <f>IF(AC92=21,I92,0)</f>
        <v>0</v>
      </c>
      <c r="AC92" s="12">
        <v>21</v>
      </c>
      <c r="AD92" s="12">
        <f>F92*0.870549205964103</f>
        <v>0</v>
      </c>
      <c r="AE92" s="12">
        <f>F92*(1-0.870549205964103)</f>
        <v>0</v>
      </c>
      <c r="AL92" s="12">
        <f>E92*AD92</f>
        <v>0</v>
      </c>
      <c r="AM92" s="12">
        <f>E92*AE92</f>
        <v>0</v>
      </c>
      <c r="AN92" s="38" t="s">
        <v>1985</v>
      </c>
      <c r="AO92" s="38" t="s">
        <v>2025</v>
      </c>
      <c r="AP92" s="32" t="s">
        <v>2034</v>
      </c>
    </row>
    <row r="93" ht="12.75">
      <c r="C93" s="24" t="s">
        <v>1262</v>
      </c>
    </row>
    <row r="94" spans="1:42" ht="12.75">
      <c r="A94" s="50" t="s">
        <v>156</v>
      </c>
      <c r="B94" s="17" t="s">
        <v>704</v>
      </c>
      <c r="C94" s="17" t="s">
        <v>1263</v>
      </c>
      <c r="D94" s="17" t="s">
        <v>1944</v>
      </c>
      <c r="E94" s="26">
        <v>32</v>
      </c>
      <c r="F94" s="26">
        <v>0</v>
      </c>
      <c r="G94" s="26">
        <f>E94*AD94</f>
        <v>0</v>
      </c>
      <c r="H94" s="26">
        <f>I94-G94</f>
        <v>0</v>
      </c>
      <c r="I94" s="26">
        <f>E94*F94</f>
        <v>0</v>
      </c>
      <c r="J94" s="72">
        <v>0.01137</v>
      </c>
      <c r="K94" s="72">
        <f>E94*J94</f>
        <v>0.36384</v>
      </c>
      <c r="L94" s="35" t="s">
        <v>1959</v>
      </c>
      <c r="M94" s="35" t="s">
        <v>122</v>
      </c>
      <c r="N94" s="26">
        <f>IF(M94="5",H94,0)</f>
        <v>0</v>
      </c>
      <c r="Y94" s="26">
        <f>IF(AC94=0,I94,0)</f>
        <v>0</v>
      </c>
      <c r="Z94" s="26">
        <f>IF(AC94=15,I94,0)</f>
        <v>0</v>
      </c>
      <c r="AA94" s="26">
        <f>IF(AC94=21,I94,0)</f>
        <v>0</v>
      </c>
      <c r="AC94" s="12">
        <v>21</v>
      </c>
      <c r="AD94" s="12">
        <f>F94*0.231508771929825</f>
        <v>0</v>
      </c>
      <c r="AE94" s="12">
        <f>F94*(1-0.231508771929825)</f>
        <v>0</v>
      </c>
      <c r="AL94" s="12">
        <f>E94*AD94</f>
        <v>0</v>
      </c>
      <c r="AM94" s="12">
        <f>E94*AE94</f>
        <v>0</v>
      </c>
      <c r="AN94" s="38" t="s">
        <v>1985</v>
      </c>
      <c r="AO94" s="38" t="s">
        <v>2025</v>
      </c>
      <c r="AP94" s="32" t="s">
        <v>2039</v>
      </c>
    </row>
    <row r="95" spans="1:42" ht="12.75">
      <c r="A95" s="50" t="s">
        <v>157</v>
      </c>
      <c r="B95" s="17" t="s">
        <v>705</v>
      </c>
      <c r="C95" s="17" t="s">
        <v>1264</v>
      </c>
      <c r="D95" s="17" t="s">
        <v>1944</v>
      </c>
      <c r="E95" s="26">
        <v>4</v>
      </c>
      <c r="F95" s="26">
        <v>0</v>
      </c>
      <c r="G95" s="26">
        <f>E95*AD95</f>
        <v>0</v>
      </c>
      <c r="H95" s="26">
        <f>I95-G95</f>
        <v>0</v>
      </c>
      <c r="I95" s="26">
        <f>E95*F95</f>
        <v>0</v>
      </c>
      <c r="J95" s="72">
        <v>0.01562</v>
      </c>
      <c r="K95" s="72">
        <f>E95*J95</f>
        <v>0.06248</v>
      </c>
      <c r="L95" s="35" t="s">
        <v>1959</v>
      </c>
      <c r="M95" s="35" t="s">
        <v>122</v>
      </c>
      <c r="N95" s="26">
        <f>IF(M95="5",H95,0)</f>
        <v>0</v>
      </c>
      <c r="Y95" s="26">
        <f>IF(AC95=0,I95,0)</f>
        <v>0</v>
      </c>
      <c r="Z95" s="26">
        <f>IF(AC95=15,I95,0)</f>
        <v>0</v>
      </c>
      <c r="AA95" s="26">
        <f>IF(AC95=21,I95,0)</f>
        <v>0</v>
      </c>
      <c r="AC95" s="12">
        <v>21</v>
      </c>
      <c r="AD95" s="12">
        <f>F95*0.257722095671982</f>
        <v>0</v>
      </c>
      <c r="AE95" s="12">
        <f>F95*(1-0.257722095671982)</f>
        <v>0</v>
      </c>
      <c r="AL95" s="12">
        <f>E95*AD95</f>
        <v>0</v>
      </c>
      <c r="AM95" s="12">
        <f>E95*AE95</f>
        <v>0</v>
      </c>
      <c r="AN95" s="38" t="s">
        <v>1985</v>
      </c>
      <c r="AO95" s="38" t="s">
        <v>2025</v>
      </c>
      <c r="AP95" s="32" t="s">
        <v>2039</v>
      </c>
    </row>
    <row r="96" spans="1:42" ht="12.75">
      <c r="A96" s="50" t="s">
        <v>158</v>
      </c>
      <c r="B96" s="17" t="s">
        <v>706</v>
      </c>
      <c r="C96" s="17" t="s">
        <v>1265</v>
      </c>
      <c r="D96" s="17" t="s">
        <v>1944</v>
      </c>
      <c r="E96" s="26">
        <v>67</v>
      </c>
      <c r="F96" s="26">
        <v>0</v>
      </c>
      <c r="G96" s="26">
        <f>E96*AD96</f>
        <v>0</v>
      </c>
      <c r="H96" s="26">
        <f>I96-G96</f>
        <v>0</v>
      </c>
      <c r="I96" s="26">
        <f>E96*F96</f>
        <v>0</v>
      </c>
      <c r="J96" s="72">
        <v>0.02877</v>
      </c>
      <c r="K96" s="72">
        <f>E96*J96</f>
        <v>1.9275900000000001</v>
      </c>
      <c r="L96" s="35" t="s">
        <v>1959</v>
      </c>
      <c r="M96" s="35" t="s">
        <v>122</v>
      </c>
      <c r="N96" s="26">
        <f>IF(M96="5",H96,0)</f>
        <v>0</v>
      </c>
      <c r="Y96" s="26">
        <f>IF(AC96=0,I96,0)</f>
        <v>0</v>
      </c>
      <c r="Z96" s="26">
        <f>IF(AC96=15,I96,0)</f>
        <v>0</v>
      </c>
      <c r="AA96" s="26">
        <f>IF(AC96=21,I96,0)</f>
        <v>0</v>
      </c>
      <c r="AC96" s="12">
        <v>21</v>
      </c>
      <c r="AD96" s="12">
        <f>F96*0.234933333333333</f>
        <v>0</v>
      </c>
      <c r="AE96" s="12">
        <f>F96*(1-0.234933333333333)</f>
        <v>0</v>
      </c>
      <c r="AL96" s="12">
        <f>E96*AD96</f>
        <v>0</v>
      </c>
      <c r="AM96" s="12">
        <f>E96*AE96</f>
        <v>0</v>
      </c>
      <c r="AN96" s="38" t="s">
        <v>1985</v>
      </c>
      <c r="AO96" s="38" t="s">
        <v>2025</v>
      </c>
      <c r="AP96" s="32" t="s">
        <v>2039</v>
      </c>
    </row>
    <row r="97" spans="1:42" ht="12.75">
      <c r="A97" s="50" t="s">
        <v>159</v>
      </c>
      <c r="B97" s="17" t="s">
        <v>707</v>
      </c>
      <c r="C97" s="17" t="s">
        <v>1266</v>
      </c>
      <c r="D97" s="17" t="s">
        <v>1944</v>
      </c>
      <c r="E97" s="26">
        <v>46</v>
      </c>
      <c r="F97" s="26">
        <v>0</v>
      </c>
      <c r="G97" s="26">
        <f>E97*AD97</f>
        <v>0</v>
      </c>
      <c r="H97" s="26">
        <f>I97-G97</f>
        <v>0</v>
      </c>
      <c r="I97" s="26">
        <f>E97*F97</f>
        <v>0</v>
      </c>
      <c r="J97" s="72">
        <v>0.03375</v>
      </c>
      <c r="K97" s="72">
        <f>E97*J97</f>
        <v>1.5525000000000002</v>
      </c>
      <c r="L97" s="35" t="s">
        <v>1959</v>
      </c>
      <c r="M97" s="35" t="s">
        <v>122</v>
      </c>
      <c r="N97" s="26">
        <f>IF(M97="5",H97,0)</f>
        <v>0</v>
      </c>
      <c r="Y97" s="26">
        <f>IF(AC97=0,I97,0)</f>
        <v>0</v>
      </c>
      <c r="Z97" s="26">
        <f>IF(AC97=15,I97,0)</f>
        <v>0</v>
      </c>
      <c r="AA97" s="26">
        <f>IF(AC97=21,I97,0)</f>
        <v>0</v>
      </c>
      <c r="AC97" s="12">
        <v>21</v>
      </c>
      <c r="AD97" s="12">
        <f>F97*0.252789115646258</f>
        <v>0</v>
      </c>
      <c r="AE97" s="12">
        <f>F97*(1-0.252789115646258)</f>
        <v>0</v>
      </c>
      <c r="AL97" s="12">
        <f>E97*AD97</f>
        <v>0</v>
      </c>
      <c r="AM97" s="12">
        <f>E97*AE97</f>
        <v>0</v>
      </c>
      <c r="AN97" s="38" t="s">
        <v>1985</v>
      </c>
      <c r="AO97" s="38" t="s">
        <v>2025</v>
      </c>
      <c r="AP97" s="32" t="s">
        <v>2039</v>
      </c>
    </row>
    <row r="98" spans="1:42" ht="12.75">
      <c r="A98" s="50" t="s">
        <v>160</v>
      </c>
      <c r="B98" s="17" t="s">
        <v>708</v>
      </c>
      <c r="C98" s="17" t="s">
        <v>1267</v>
      </c>
      <c r="D98" s="17" t="s">
        <v>1940</v>
      </c>
      <c r="E98" s="26">
        <v>0.1</v>
      </c>
      <c r="F98" s="26">
        <v>0</v>
      </c>
      <c r="G98" s="26">
        <f>E98*AD98</f>
        <v>0</v>
      </c>
      <c r="H98" s="26">
        <f>I98-G98</f>
        <v>0</v>
      </c>
      <c r="I98" s="26">
        <f>E98*F98</f>
        <v>0</v>
      </c>
      <c r="J98" s="72">
        <v>2.52501</v>
      </c>
      <c r="K98" s="72">
        <f>E98*J98</f>
        <v>0.25250100000000003</v>
      </c>
      <c r="L98" s="35" t="s">
        <v>1959</v>
      </c>
      <c r="M98" s="35" t="s">
        <v>122</v>
      </c>
      <c r="N98" s="26">
        <f>IF(M98="5",H98,0)</f>
        <v>0</v>
      </c>
      <c r="Y98" s="26">
        <f>IF(AC98=0,I98,0)</f>
        <v>0</v>
      </c>
      <c r="Z98" s="26">
        <f>IF(AC98=15,I98,0)</f>
        <v>0</v>
      </c>
      <c r="AA98" s="26">
        <f>IF(AC98=21,I98,0)</f>
        <v>0</v>
      </c>
      <c r="AC98" s="12">
        <v>21</v>
      </c>
      <c r="AD98" s="12">
        <f>F98*0.812776202985396</f>
        <v>0</v>
      </c>
      <c r="AE98" s="12">
        <f>F98*(1-0.812776202985396)</f>
        <v>0</v>
      </c>
      <c r="AL98" s="12">
        <f>E98*AD98</f>
        <v>0</v>
      </c>
      <c r="AM98" s="12">
        <f>E98*AE98</f>
        <v>0</v>
      </c>
      <c r="AN98" s="38" t="s">
        <v>1985</v>
      </c>
      <c r="AO98" s="38" t="s">
        <v>2025</v>
      </c>
      <c r="AP98" s="32" t="s">
        <v>2039</v>
      </c>
    </row>
    <row r="99" ht="12.75">
      <c r="C99" s="24" t="s">
        <v>1268</v>
      </c>
    </row>
    <row r="100" spans="1:42" ht="12.75">
      <c r="A100" s="50" t="s">
        <v>161</v>
      </c>
      <c r="B100" s="17" t="s">
        <v>709</v>
      </c>
      <c r="C100" s="17" t="s">
        <v>1269</v>
      </c>
      <c r="D100" s="17" t="s">
        <v>1941</v>
      </c>
      <c r="E100" s="26">
        <v>2.6</v>
      </c>
      <c r="F100" s="26">
        <v>0</v>
      </c>
      <c r="G100" s="26">
        <f>E100*AD100</f>
        <v>0</v>
      </c>
      <c r="H100" s="26">
        <f>I100-G100</f>
        <v>0</v>
      </c>
      <c r="I100" s="26">
        <f>E100*F100</f>
        <v>0</v>
      </c>
      <c r="J100" s="72">
        <v>0.00884</v>
      </c>
      <c r="K100" s="72">
        <f>E100*J100</f>
        <v>0.022984</v>
      </c>
      <c r="L100" s="35" t="s">
        <v>1959</v>
      </c>
      <c r="M100" s="35" t="s">
        <v>122</v>
      </c>
      <c r="N100" s="26">
        <f>IF(M100="5",H100,0)</f>
        <v>0</v>
      </c>
      <c r="Y100" s="26">
        <f>IF(AC100=0,I100,0)</f>
        <v>0</v>
      </c>
      <c r="Z100" s="26">
        <f>IF(AC100=15,I100,0)</f>
        <v>0</v>
      </c>
      <c r="AA100" s="26">
        <f>IF(AC100=21,I100,0)</f>
        <v>0</v>
      </c>
      <c r="AC100" s="12">
        <v>21</v>
      </c>
      <c r="AD100" s="12">
        <f>F100*0.247644469233681</f>
        <v>0</v>
      </c>
      <c r="AE100" s="12">
        <f>F100*(1-0.247644469233681)</f>
        <v>0</v>
      </c>
      <c r="AL100" s="12">
        <f>E100*AD100</f>
        <v>0</v>
      </c>
      <c r="AM100" s="12">
        <f>E100*AE100</f>
        <v>0</v>
      </c>
      <c r="AN100" s="38" t="s">
        <v>1985</v>
      </c>
      <c r="AO100" s="38" t="s">
        <v>2025</v>
      </c>
      <c r="AP100" s="32" t="s">
        <v>2039</v>
      </c>
    </row>
    <row r="101" spans="1:42" ht="12.75">
      <c r="A101" s="50" t="s">
        <v>162</v>
      </c>
      <c r="B101" s="17" t="s">
        <v>710</v>
      </c>
      <c r="C101" s="17" t="s">
        <v>1270</v>
      </c>
      <c r="D101" s="17" t="s">
        <v>1941</v>
      </c>
      <c r="E101" s="26">
        <v>2.6</v>
      </c>
      <c r="F101" s="26">
        <v>0</v>
      </c>
      <c r="G101" s="26">
        <f>E101*AD101</f>
        <v>0</v>
      </c>
      <c r="H101" s="26">
        <f>I101-G101</f>
        <v>0</v>
      </c>
      <c r="I101" s="26">
        <f>E101*F101</f>
        <v>0</v>
      </c>
      <c r="J101" s="72">
        <v>0</v>
      </c>
      <c r="K101" s="72">
        <f>E101*J101</f>
        <v>0</v>
      </c>
      <c r="L101" s="35" t="s">
        <v>1959</v>
      </c>
      <c r="M101" s="35" t="s">
        <v>122</v>
      </c>
      <c r="N101" s="26">
        <f>IF(M101="5",H101,0)</f>
        <v>0</v>
      </c>
      <c r="Y101" s="26">
        <f>IF(AC101=0,I101,0)</f>
        <v>0</v>
      </c>
      <c r="Z101" s="26">
        <f>IF(AC101=15,I101,0)</f>
        <v>0</v>
      </c>
      <c r="AA101" s="26">
        <f>IF(AC101=21,I101,0)</f>
        <v>0</v>
      </c>
      <c r="AC101" s="12">
        <v>21</v>
      </c>
      <c r="AD101" s="12">
        <f>F101*0</f>
        <v>0</v>
      </c>
      <c r="AE101" s="12">
        <f>F101*(1-0)</f>
        <v>0</v>
      </c>
      <c r="AL101" s="12">
        <f>E101*AD101</f>
        <v>0</v>
      </c>
      <c r="AM101" s="12">
        <f>E101*AE101</f>
        <v>0</v>
      </c>
      <c r="AN101" s="38" t="s">
        <v>1985</v>
      </c>
      <c r="AO101" s="38" t="s">
        <v>2025</v>
      </c>
      <c r="AP101" s="32" t="s">
        <v>2039</v>
      </c>
    </row>
    <row r="102" spans="1:42" ht="12.75">
      <c r="A102" s="50" t="s">
        <v>163</v>
      </c>
      <c r="B102" s="17" t="s">
        <v>711</v>
      </c>
      <c r="C102" s="17" t="s">
        <v>1271</v>
      </c>
      <c r="D102" s="17" t="s">
        <v>1945</v>
      </c>
      <c r="E102" s="26">
        <v>0.53</v>
      </c>
      <c r="F102" s="26">
        <v>0</v>
      </c>
      <c r="G102" s="26">
        <f>E102*AD102</f>
        <v>0</v>
      </c>
      <c r="H102" s="26">
        <f>I102-G102</f>
        <v>0</v>
      </c>
      <c r="I102" s="26">
        <f>E102*F102</f>
        <v>0</v>
      </c>
      <c r="J102" s="72">
        <v>0.01709</v>
      </c>
      <c r="K102" s="72">
        <f>E102*J102</f>
        <v>0.009057700000000002</v>
      </c>
      <c r="L102" s="35" t="s">
        <v>1959</v>
      </c>
      <c r="M102" s="35" t="s">
        <v>122</v>
      </c>
      <c r="N102" s="26">
        <f>IF(M102="5",H102,0)</f>
        <v>0</v>
      </c>
      <c r="Y102" s="26">
        <f>IF(AC102=0,I102,0)</f>
        <v>0</v>
      </c>
      <c r="Z102" s="26">
        <f>IF(AC102=15,I102,0)</f>
        <v>0</v>
      </c>
      <c r="AA102" s="26">
        <f>IF(AC102=21,I102,0)</f>
        <v>0</v>
      </c>
      <c r="AC102" s="12">
        <v>21</v>
      </c>
      <c r="AD102" s="12">
        <f>F102*0.00263600525624179</f>
        <v>0</v>
      </c>
      <c r="AE102" s="12">
        <f>F102*(1-0.00263600525624179)</f>
        <v>0</v>
      </c>
      <c r="AL102" s="12">
        <f>E102*AD102</f>
        <v>0</v>
      </c>
      <c r="AM102" s="12">
        <f>E102*AE102</f>
        <v>0</v>
      </c>
      <c r="AN102" s="38" t="s">
        <v>1985</v>
      </c>
      <c r="AO102" s="38" t="s">
        <v>2025</v>
      </c>
      <c r="AP102" s="32" t="s">
        <v>2039</v>
      </c>
    </row>
    <row r="103" ht="12.75">
      <c r="C103" s="24" t="s">
        <v>1272</v>
      </c>
    </row>
    <row r="104" spans="1:42" ht="12.75">
      <c r="A104" s="50" t="s">
        <v>164</v>
      </c>
      <c r="B104" s="17" t="s">
        <v>712</v>
      </c>
      <c r="C104" s="17" t="s">
        <v>1273</v>
      </c>
      <c r="D104" s="17" t="s">
        <v>1945</v>
      </c>
      <c r="E104" s="26">
        <v>1.48</v>
      </c>
      <c r="F104" s="26">
        <v>0</v>
      </c>
      <c r="G104" s="26">
        <f>E104*AD104</f>
        <v>0</v>
      </c>
      <c r="H104" s="26">
        <f>I104-G104</f>
        <v>0</v>
      </c>
      <c r="I104" s="26">
        <f>E104*F104</f>
        <v>0</v>
      </c>
      <c r="J104" s="72">
        <v>1.09709</v>
      </c>
      <c r="K104" s="72">
        <f>E104*J104</f>
        <v>1.6236931999999997</v>
      </c>
      <c r="L104" s="35" t="s">
        <v>1959</v>
      </c>
      <c r="M104" s="35" t="s">
        <v>122</v>
      </c>
      <c r="N104" s="26">
        <f>IF(M104="5",H104,0)</f>
        <v>0</v>
      </c>
      <c r="Y104" s="26">
        <f>IF(AC104=0,I104,0)</f>
        <v>0</v>
      </c>
      <c r="Z104" s="26">
        <f>IF(AC104=15,I104,0)</f>
        <v>0</v>
      </c>
      <c r="AA104" s="26">
        <f>IF(AC104=21,I104,0)</f>
        <v>0</v>
      </c>
      <c r="AC104" s="12">
        <v>21</v>
      </c>
      <c r="AD104" s="12">
        <f>F104*0.724257994186047</f>
        <v>0</v>
      </c>
      <c r="AE104" s="12">
        <f>F104*(1-0.724257994186047)</f>
        <v>0</v>
      </c>
      <c r="AL104" s="12">
        <f>E104*AD104</f>
        <v>0</v>
      </c>
      <c r="AM104" s="12">
        <f>E104*AE104</f>
        <v>0</v>
      </c>
      <c r="AN104" s="38" t="s">
        <v>1985</v>
      </c>
      <c r="AO104" s="38" t="s">
        <v>2025</v>
      </c>
      <c r="AP104" s="32" t="s">
        <v>2040</v>
      </c>
    </row>
    <row r="105" ht="12.75">
      <c r="C105" s="24" t="s">
        <v>1274</v>
      </c>
    </row>
    <row r="106" spans="1:42" ht="12.75">
      <c r="A106" s="50" t="s">
        <v>165</v>
      </c>
      <c r="B106" s="17" t="s">
        <v>713</v>
      </c>
      <c r="C106" s="17" t="s">
        <v>1275</v>
      </c>
      <c r="D106" s="17" t="s">
        <v>1945</v>
      </c>
      <c r="E106" s="26">
        <v>2.98</v>
      </c>
      <c r="F106" s="26">
        <v>0</v>
      </c>
      <c r="G106" s="26">
        <f>E106*AD106</f>
        <v>0</v>
      </c>
      <c r="H106" s="26">
        <f>I106-G106</f>
        <v>0</v>
      </c>
      <c r="I106" s="26">
        <f>E106*F106</f>
        <v>0</v>
      </c>
      <c r="J106" s="72">
        <v>0.01221</v>
      </c>
      <c r="K106" s="72">
        <f>E106*J106</f>
        <v>0.0363858</v>
      </c>
      <c r="L106" s="35" t="s">
        <v>1959</v>
      </c>
      <c r="M106" s="35" t="s">
        <v>122</v>
      </c>
      <c r="N106" s="26">
        <f>IF(M106="5",H106,0)</f>
        <v>0</v>
      </c>
      <c r="Y106" s="26">
        <f>IF(AC106=0,I106,0)</f>
        <v>0</v>
      </c>
      <c r="Z106" s="26">
        <f>IF(AC106=15,I106,0)</f>
        <v>0</v>
      </c>
      <c r="AA106" s="26">
        <f>IF(AC106=21,I106,0)</f>
        <v>0</v>
      </c>
      <c r="AC106" s="12">
        <v>21</v>
      </c>
      <c r="AD106" s="12">
        <f>F106*0.0020098148529946</f>
        <v>0</v>
      </c>
      <c r="AE106" s="12">
        <f>F106*(1-0.0020098148529946)</f>
        <v>0</v>
      </c>
      <c r="AL106" s="12">
        <f>E106*AD106</f>
        <v>0</v>
      </c>
      <c r="AM106" s="12">
        <f>E106*AE106</f>
        <v>0</v>
      </c>
      <c r="AN106" s="38" t="s">
        <v>1985</v>
      </c>
      <c r="AO106" s="38" t="s">
        <v>2025</v>
      </c>
      <c r="AP106" s="32" t="s">
        <v>2039</v>
      </c>
    </row>
    <row r="107" ht="12.75">
      <c r="C107" s="24" t="s">
        <v>1276</v>
      </c>
    </row>
    <row r="108" spans="1:42" ht="12.75">
      <c r="A108" s="50" t="s">
        <v>166</v>
      </c>
      <c r="B108" s="17" t="s">
        <v>714</v>
      </c>
      <c r="C108" s="17" t="s">
        <v>1277</v>
      </c>
      <c r="D108" s="17" t="s">
        <v>1941</v>
      </c>
      <c r="E108" s="26">
        <v>349.51</v>
      </c>
      <c r="F108" s="26">
        <v>0</v>
      </c>
      <c r="G108" s="26">
        <f>E108*AD108</f>
        <v>0</v>
      </c>
      <c r="H108" s="26">
        <f>I108-G108</f>
        <v>0</v>
      </c>
      <c r="I108" s="26">
        <f>E108*F108</f>
        <v>0</v>
      </c>
      <c r="J108" s="72">
        <v>0.03767</v>
      </c>
      <c r="K108" s="72">
        <f>E108*J108</f>
        <v>13.166041700000001</v>
      </c>
      <c r="L108" s="35" t="s">
        <v>1959</v>
      </c>
      <c r="M108" s="35" t="s">
        <v>122</v>
      </c>
      <c r="N108" s="26">
        <f>IF(M108="5",H108,0)</f>
        <v>0</v>
      </c>
      <c r="Y108" s="26">
        <f>IF(AC108=0,I108,0)</f>
        <v>0</v>
      </c>
      <c r="Z108" s="26">
        <f>IF(AC108=15,I108,0)</f>
        <v>0</v>
      </c>
      <c r="AA108" s="26">
        <f>IF(AC108=21,I108,0)</f>
        <v>0</v>
      </c>
      <c r="AC108" s="12">
        <v>21</v>
      </c>
      <c r="AD108" s="12">
        <f>F108*0.251270358306189</f>
        <v>0</v>
      </c>
      <c r="AE108" s="12">
        <f>F108*(1-0.251270358306189)</f>
        <v>0</v>
      </c>
      <c r="AL108" s="12">
        <f>E108*AD108</f>
        <v>0</v>
      </c>
      <c r="AM108" s="12">
        <f>E108*AE108</f>
        <v>0</v>
      </c>
      <c r="AN108" s="38" t="s">
        <v>1985</v>
      </c>
      <c r="AO108" s="38" t="s">
        <v>2025</v>
      </c>
      <c r="AP108" s="32" t="s">
        <v>2037</v>
      </c>
    </row>
    <row r="109" ht="27" customHeight="1">
      <c r="C109" s="24" t="s">
        <v>1278</v>
      </c>
    </row>
    <row r="110" spans="1:42" s="60" customFormat="1" ht="26.25">
      <c r="A110" s="56" t="s">
        <v>167</v>
      </c>
      <c r="B110" s="57" t="s">
        <v>715</v>
      </c>
      <c r="C110" s="57" t="s">
        <v>1279</v>
      </c>
      <c r="D110" s="57" t="s">
        <v>1941</v>
      </c>
      <c r="E110" s="58">
        <v>118.1</v>
      </c>
      <c r="F110" s="58">
        <v>0</v>
      </c>
      <c r="G110" s="58">
        <f>E110*AD110</f>
        <v>0</v>
      </c>
      <c r="H110" s="58">
        <f>I110-G110</f>
        <v>0</v>
      </c>
      <c r="I110" s="58">
        <f>E110*F110</f>
        <v>0</v>
      </c>
      <c r="J110" s="77">
        <v>0.05306</v>
      </c>
      <c r="K110" s="77">
        <f>E110*J110</f>
        <v>6.266386</v>
      </c>
      <c r="L110" s="59" t="s">
        <v>1959</v>
      </c>
      <c r="M110" s="59" t="s">
        <v>122</v>
      </c>
      <c r="N110" s="58">
        <f>IF(M110="5",H110,0)</f>
        <v>0</v>
      </c>
      <c r="Y110" s="58">
        <f>IF(AC110=0,I110,0)</f>
        <v>0</v>
      </c>
      <c r="Z110" s="58">
        <f>IF(AC110=15,I110,0)</f>
        <v>0</v>
      </c>
      <c r="AA110" s="58">
        <f>IF(AC110=21,I110,0)</f>
        <v>0</v>
      </c>
      <c r="AC110" s="61">
        <v>21</v>
      </c>
      <c r="AD110" s="61">
        <f>F110*0.31512</f>
        <v>0</v>
      </c>
      <c r="AE110" s="61">
        <f>F110*(1-0.31512)</f>
        <v>0</v>
      </c>
      <c r="AL110" s="61">
        <f>E110*AD110</f>
        <v>0</v>
      </c>
      <c r="AM110" s="61">
        <f>E110*AE110</f>
        <v>0</v>
      </c>
      <c r="AN110" s="62" t="s">
        <v>1985</v>
      </c>
      <c r="AO110" s="62" t="s">
        <v>2025</v>
      </c>
      <c r="AP110" s="63" t="s">
        <v>2041</v>
      </c>
    </row>
    <row r="111" spans="1:42" ht="12.75">
      <c r="A111" s="50" t="s">
        <v>168</v>
      </c>
      <c r="B111" s="17" t="s">
        <v>716</v>
      </c>
      <c r="C111" s="17" t="s">
        <v>1280</v>
      </c>
      <c r="D111" s="17" t="s">
        <v>1941</v>
      </c>
      <c r="E111" s="26">
        <v>13.02</v>
      </c>
      <c r="F111" s="26">
        <v>0</v>
      </c>
      <c r="G111" s="26">
        <f>E111*AD111</f>
        <v>0</v>
      </c>
      <c r="H111" s="26">
        <f>I111-G111</f>
        <v>0</v>
      </c>
      <c r="I111" s="26">
        <f>E111*F111</f>
        <v>0</v>
      </c>
      <c r="J111" s="72">
        <v>0.01158</v>
      </c>
      <c r="K111" s="72">
        <f>E111*J111</f>
        <v>0.1507716</v>
      </c>
      <c r="L111" s="35" t="s">
        <v>1961</v>
      </c>
      <c r="M111" s="35" t="s">
        <v>122</v>
      </c>
      <c r="N111" s="26">
        <f>IF(M111="5",H111,0)</f>
        <v>0</v>
      </c>
      <c r="Y111" s="26">
        <f>IF(AC111=0,I111,0)</f>
        <v>0</v>
      </c>
      <c r="Z111" s="26">
        <f>IF(AC111=15,I111,0)</f>
        <v>0</v>
      </c>
      <c r="AA111" s="26">
        <f>IF(AC111=21,I111,0)</f>
        <v>0</v>
      </c>
      <c r="AC111" s="12">
        <v>21</v>
      </c>
      <c r="AD111" s="12">
        <f>F111*0.230228915662651</f>
        <v>0</v>
      </c>
      <c r="AE111" s="12">
        <f>F111*(1-0.230228915662651)</f>
        <v>0</v>
      </c>
      <c r="AL111" s="12">
        <f>E111*AD111</f>
        <v>0</v>
      </c>
      <c r="AM111" s="12">
        <f>E111*AE111</f>
        <v>0</v>
      </c>
      <c r="AN111" s="38" t="s">
        <v>1985</v>
      </c>
      <c r="AO111" s="38" t="s">
        <v>2025</v>
      </c>
      <c r="AP111" s="32" t="s">
        <v>2037</v>
      </c>
    </row>
    <row r="112" ht="12.75">
      <c r="C112" s="24" t="s">
        <v>1281</v>
      </c>
    </row>
    <row r="113" spans="1:42" ht="12.75">
      <c r="A113" s="50" t="s">
        <v>169</v>
      </c>
      <c r="B113" s="17" t="s">
        <v>717</v>
      </c>
      <c r="C113" s="17" t="s">
        <v>1282</v>
      </c>
      <c r="D113" s="17" t="s">
        <v>1941</v>
      </c>
      <c r="E113" s="26">
        <v>170.83</v>
      </c>
      <c r="F113" s="26">
        <v>0</v>
      </c>
      <c r="G113" s="26">
        <f>E113*AD113</f>
        <v>0</v>
      </c>
      <c r="H113" s="26">
        <f>I113-G113</f>
        <v>0</v>
      </c>
      <c r="I113" s="26">
        <f>E113*F113</f>
        <v>0</v>
      </c>
      <c r="J113" s="72">
        <v>0.00977</v>
      </c>
      <c r="K113" s="72">
        <f>E113*J113</f>
        <v>1.6690091</v>
      </c>
      <c r="L113" s="35" t="s">
        <v>1961</v>
      </c>
      <c r="M113" s="35" t="s">
        <v>122</v>
      </c>
      <c r="N113" s="26">
        <f>IF(M113="5",H113,0)</f>
        <v>0</v>
      </c>
      <c r="Y113" s="26">
        <f>IF(AC113=0,I113,0)</f>
        <v>0</v>
      </c>
      <c r="Z113" s="26">
        <f>IF(AC113=15,I113,0)</f>
        <v>0</v>
      </c>
      <c r="AA113" s="26">
        <f>IF(AC113=21,I113,0)</f>
        <v>0</v>
      </c>
      <c r="AC113" s="12">
        <v>21</v>
      </c>
      <c r="AD113" s="12">
        <f>F113*0.105602108036891</f>
        <v>0</v>
      </c>
      <c r="AE113" s="12">
        <f>F113*(1-0.105602108036891)</f>
        <v>0</v>
      </c>
      <c r="AL113" s="12">
        <f>E113*AD113</f>
        <v>0</v>
      </c>
      <c r="AM113" s="12">
        <f>E113*AE113</f>
        <v>0</v>
      </c>
      <c r="AN113" s="38" t="s">
        <v>1985</v>
      </c>
      <c r="AO113" s="38" t="s">
        <v>2025</v>
      </c>
      <c r="AP113" s="32" t="s">
        <v>2037</v>
      </c>
    </row>
    <row r="114" ht="12.75">
      <c r="C114" s="24" t="s">
        <v>1283</v>
      </c>
    </row>
    <row r="115" spans="1:42" ht="12.75">
      <c r="A115" s="50" t="s">
        <v>20</v>
      </c>
      <c r="B115" s="17" t="s">
        <v>718</v>
      </c>
      <c r="C115" s="17" t="s">
        <v>1284</v>
      </c>
      <c r="D115" s="17" t="s">
        <v>1941</v>
      </c>
      <c r="E115" s="26">
        <v>109.1</v>
      </c>
      <c r="F115" s="26">
        <v>0</v>
      </c>
      <c r="G115" s="26">
        <f>E115*AD115</f>
        <v>0</v>
      </c>
      <c r="H115" s="26">
        <f>I115-G115</f>
        <v>0</v>
      </c>
      <c r="I115" s="26">
        <f>E115*F115</f>
        <v>0</v>
      </c>
      <c r="J115" s="72">
        <v>0.29836</v>
      </c>
      <c r="K115" s="72">
        <f>E115*J115</f>
        <v>32.551076</v>
      </c>
      <c r="L115" s="35" t="s">
        <v>1959</v>
      </c>
      <c r="M115" s="35" t="s">
        <v>122</v>
      </c>
      <c r="N115" s="26">
        <f>IF(M115="5",H115,0)</f>
        <v>0</v>
      </c>
      <c r="Y115" s="26">
        <f>IF(AC115=0,I115,0)</f>
        <v>0</v>
      </c>
      <c r="Z115" s="26">
        <f>IF(AC115=15,I115,0)</f>
        <v>0</v>
      </c>
      <c r="AA115" s="26">
        <f>IF(AC115=21,I115,0)</f>
        <v>0</v>
      </c>
      <c r="AC115" s="12">
        <v>21</v>
      </c>
      <c r="AD115" s="12">
        <f>F115*0.473610526315789</f>
        <v>0</v>
      </c>
      <c r="AE115" s="12">
        <f>F115*(1-0.473610526315789)</f>
        <v>0</v>
      </c>
      <c r="AL115" s="12">
        <f>E115*AD115</f>
        <v>0</v>
      </c>
      <c r="AM115" s="12">
        <f>E115*AE115</f>
        <v>0</v>
      </c>
      <c r="AN115" s="38" t="s">
        <v>1985</v>
      </c>
      <c r="AO115" s="38" t="s">
        <v>2025</v>
      </c>
      <c r="AP115" s="32" t="s">
        <v>2041</v>
      </c>
    </row>
    <row r="116" ht="12.75">
      <c r="C116" s="24" t="s">
        <v>1285</v>
      </c>
    </row>
    <row r="117" spans="1:42" ht="12.75">
      <c r="A117" s="53" t="s">
        <v>21</v>
      </c>
      <c r="B117" s="18" t="s">
        <v>719</v>
      </c>
      <c r="C117" s="18" t="s">
        <v>1286</v>
      </c>
      <c r="D117" s="18" t="s">
        <v>1944</v>
      </c>
      <c r="E117" s="27">
        <v>12</v>
      </c>
      <c r="F117" s="27">
        <v>0</v>
      </c>
      <c r="G117" s="27">
        <f aca="true" t="shared" si="10" ref="G117:G129">E117*AD117</f>
        <v>0</v>
      </c>
      <c r="H117" s="27">
        <f aca="true" t="shared" si="11" ref="H117:H129">I117-G117</f>
        <v>0</v>
      </c>
      <c r="I117" s="27">
        <f aca="true" t="shared" si="12" ref="I117:I129">E117*F117</f>
        <v>0</v>
      </c>
      <c r="J117" s="76">
        <v>0.058</v>
      </c>
      <c r="K117" s="76">
        <f aca="true" t="shared" si="13" ref="K117:K129">E117*J117</f>
        <v>0.6960000000000001</v>
      </c>
      <c r="L117" s="36" t="s">
        <v>1959</v>
      </c>
      <c r="M117" s="36" t="s">
        <v>7</v>
      </c>
      <c r="N117" s="27">
        <f aca="true" t="shared" si="14" ref="N117:N129">IF(M117="5",H117,0)</f>
        <v>0</v>
      </c>
      <c r="Y117" s="27">
        <f aca="true" t="shared" si="15" ref="Y117:Y129">IF(AC117=0,I117,0)</f>
        <v>0</v>
      </c>
      <c r="Z117" s="27">
        <f aca="true" t="shared" si="16" ref="Z117:Z129">IF(AC117=15,I117,0)</f>
        <v>0</v>
      </c>
      <c r="AA117" s="27">
        <f aca="true" t="shared" si="17" ref="AA117:AA129">IF(AC117=21,I117,0)</f>
        <v>0</v>
      </c>
      <c r="AC117" s="12">
        <v>21</v>
      </c>
      <c r="AD117" s="12">
        <f aca="true" t="shared" si="18" ref="AD117:AD128">F117*1</f>
        <v>0</v>
      </c>
      <c r="AE117" s="12">
        <f aca="true" t="shared" si="19" ref="AE117:AE128">F117*(1-1)</f>
        <v>0</v>
      </c>
      <c r="AL117" s="12">
        <f aca="true" t="shared" si="20" ref="AL117:AL129">E117*AD117</f>
        <v>0</v>
      </c>
      <c r="AM117" s="12">
        <f aca="true" t="shared" si="21" ref="AM117:AM129">E117*AE117</f>
        <v>0</v>
      </c>
      <c r="AN117" s="38" t="s">
        <v>1985</v>
      </c>
      <c r="AO117" s="38" t="s">
        <v>2025</v>
      </c>
      <c r="AP117" s="32" t="s">
        <v>2039</v>
      </c>
    </row>
    <row r="118" spans="1:42" ht="12.75">
      <c r="A118" s="53" t="s">
        <v>22</v>
      </c>
      <c r="B118" s="18" t="s">
        <v>720</v>
      </c>
      <c r="C118" s="18" t="s">
        <v>1287</v>
      </c>
      <c r="D118" s="18" t="s">
        <v>1944</v>
      </c>
      <c r="E118" s="27">
        <v>17</v>
      </c>
      <c r="F118" s="27">
        <v>0</v>
      </c>
      <c r="G118" s="27">
        <f t="shared" si="10"/>
        <v>0</v>
      </c>
      <c r="H118" s="27">
        <f t="shared" si="11"/>
        <v>0</v>
      </c>
      <c r="I118" s="27">
        <f t="shared" si="12"/>
        <v>0</v>
      </c>
      <c r="J118" s="76">
        <v>0.073</v>
      </c>
      <c r="K118" s="76">
        <f t="shared" si="13"/>
        <v>1.2409999999999999</v>
      </c>
      <c r="L118" s="36" t="s">
        <v>1959</v>
      </c>
      <c r="M118" s="36" t="s">
        <v>7</v>
      </c>
      <c r="N118" s="27">
        <f t="shared" si="14"/>
        <v>0</v>
      </c>
      <c r="Y118" s="27">
        <f t="shared" si="15"/>
        <v>0</v>
      </c>
      <c r="Z118" s="27">
        <f t="shared" si="16"/>
        <v>0</v>
      </c>
      <c r="AA118" s="27">
        <f t="shared" si="17"/>
        <v>0</v>
      </c>
      <c r="AC118" s="12">
        <v>21</v>
      </c>
      <c r="AD118" s="12">
        <f t="shared" si="18"/>
        <v>0</v>
      </c>
      <c r="AE118" s="12">
        <f t="shared" si="19"/>
        <v>0</v>
      </c>
      <c r="AL118" s="12">
        <f t="shared" si="20"/>
        <v>0</v>
      </c>
      <c r="AM118" s="12">
        <f t="shared" si="21"/>
        <v>0</v>
      </c>
      <c r="AN118" s="38" t="s">
        <v>1985</v>
      </c>
      <c r="AO118" s="38" t="s">
        <v>2025</v>
      </c>
      <c r="AP118" s="32" t="s">
        <v>2039</v>
      </c>
    </row>
    <row r="119" spans="1:42" ht="12.75">
      <c r="A119" s="53" t="s">
        <v>23</v>
      </c>
      <c r="B119" s="18" t="s">
        <v>721</v>
      </c>
      <c r="C119" s="18" t="s">
        <v>1288</v>
      </c>
      <c r="D119" s="18" t="s">
        <v>1944</v>
      </c>
      <c r="E119" s="27">
        <v>38</v>
      </c>
      <c r="F119" s="27">
        <v>0</v>
      </c>
      <c r="G119" s="27">
        <f t="shared" si="10"/>
        <v>0</v>
      </c>
      <c r="H119" s="27">
        <f t="shared" si="11"/>
        <v>0</v>
      </c>
      <c r="I119" s="27">
        <f t="shared" si="12"/>
        <v>0</v>
      </c>
      <c r="J119" s="76">
        <v>0.088</v>
      </c>
      <c r="K119" s="76">
        <f t="shared" si="13"/>
        <v>3.344</v>
      </c>
      <c r="L119" s="36" t="s">
        <v>1959</v>
      </c>
      <c r="M119" s="36" t="s">
        <v>7</v>
      </c>
      <c r="N119" s="27">
        <f t="shared" si="14"/>
        <v>0</v>
      </c>
      <c r="Y119" s="27">
        <f t="shared" si="15"/>
        <v>0</v>
      </c>
      <c r="Z119" s="27">
        <f t="shared" si="16"/>
        <v>0</v>
      </c>
      <c r="AA119" s="27">
        <f t="shared" si="17"/>
        <v>0</v>
      </c>
      <c r="AC119" s="12">
        <v>21</v>
      </c>
      <c r="AD119" s="12">
        <f t="shared" si="18"/>
        <v>0</v>
      </c>
      <c r="AE119" s="12">
        <f t="shared" si="19"/>
        <v>0</v>
      </c>
      <c r="AL119" s="12">
        <f t="shared" si="20"/>
        <v>0</v>
      </c>
      <c r="AM119" s="12">
        <f t="shared" si="21"/>
        <v>0</v>
      </c>
      <c r="AN119" s="38" t="s">
        <v>1985</v>
      </c>
      <c r="AO119" s="38" t="s">
        <v>2025</v>
      </c>
      <c r="AP119" s="32" t="s">
        <v>2039</v>
      </c>
    </row>
    <row r="120" spans="1:42" ht="12.75">
      <c r="A120" s="53" t="s">
        <v>170</v>
      </c>
      <c r="B120" s="18" t="s">
        <v>722</v>
      </c>
      <c r="C120" s="18" t="s">
        <v>1289</v>
      </c>
      <c r="D120" s="18" t="s">
        <v>1944</v>
      </c>
      <c r="E120" s="27">
        <v>34</v>
      </c>
      <c r="F120" s="27">
        <v>0</v>
      </c>
      <c r="G120" s="27">
        <f t="shared" si="10"/>
        <v>0</v>
      </c>
      <c r="H120" s="27">
        <f t="shared" si="11"/>
        <v>0</v>
      </c>
      <c r="I120" s="27">
        <f t="shared" si="12"/>
        <v>0</v>
      </c>
      <c r="J120" s="76">
        <v>0.118</v>
      </c>
      <c r="K120" s="76">
        <f t="shared" si="13"/>
        <v>4.012</v>
      </c>
      <c r="L120" s="36" t="s">
        <v>1959</v>
      </c>
      <c r="M120" s="36" t="s">
        <v>7</v>
      </c>
      <c r="N120" s="27">
        <f t="shared" si="14"/>
        <v>0</v>
      </c>
      <c r="Y120" s="27">
        <f t="shared" si="15"/>
        <v>0</v>
      </c>
      <c r="Z120" s="27">
        <f t="shared" si="16"/>
        <v>0</v>
      </c>
      <c r="AA120" s="27">
        <f t="shared" si="17"/>
        <v>0</v>
      </c>
      <c r="AC120" s="12">
        <v>21</v>
      </c>
      <c r="AD120" s="12">
        <f t="shared" si="18"/>
        <v>0</v>
      </c>
      <c r="AE120" s="12">
        <f t="shared" si="19"/>
        <v>0</v>
      </c>
      <c r="AL120" s="12">
        <f t="shared" si="20"/>
        <v>0</v>
      </c>
      <c r="AM120" s="12">
        <f t="shared" si="21"/>
        <v>0</v>
      </c>
      <c r="AN120" s="38" t="s">
        <v>1985</v>
      </c>
      <c r="AO120" s="38" t="s">
        <v>2025</v>
      </c>
      <c r="AP120" s="32" t="s">
        <v>2039</v>
      </c>
    </row>
    <row r="121" spans="1:42" ht="12.75">
      <c r="A121" s="53" t="s">
        <v>171</v>
      </c>
      <c r="B121" s="18" t="s">
        <v>723</v>
      </c>
      <c r="C121" s="18" t="s">
        <v>1290</v>
      </c>
      <c r="D121" s="18" t="s">
        <v>1944</v>
      </c>
      <c r="E121" s="27">
        <v>8</v>
      </c>
      <c r="F121" s="27">
        <v>0</v>
      </c>
      <c r="G121" s="27">
        <f t="shared" si="10"/>
        <v>0</v>
      </c>
      <c r="H121" s="27">
        <f t="shared" si="11"/>
        <v>0</v>
      </c>
      <c r="I121" s="27">
        <f t="shared" si="12"/>
        <v>0</v>
      </c>
      <c r="J121" s="76">
        <v>0.125</v>
      </c>
      <c r="K121" s="76">
        <f t="shared" si="13"/>
        <v>1</v>
      </c>
      <c r="L121" s="36" t="s">
        <v>1959</v>
      </c>
      <c r="M121" s="36" t="s">
        <v>7</v>
      </c>
      <c r="N121" s="27">
        <f t="shared" si="14"/>
        <v>0</v>
      </c>
      <c r="Y121" s="27">
        <f t="shared" si="15"/>
        <v>0</v>
      </c>
      <c r="Z121" s="27">
        <f t="shared" si="16"/>
        <v>0</v>
      </c>
      <c r="AA121" s="27">
        <f t="shared" si="17"/>
        <v>0</v>
      </c>
      <c r="AC121" s="12">
        <v>21</v>
      </c>
      <c r="AD121" s="12">
        <f t="shared" si="18"/>
        <v>0</v>
      </c>
      <c r="AE121" s="12">
        <f t="shared" si="19"/>
        <v>0</v>
      </c>
      <c r="AL121" s="12">
        <f t="shared" si="20"/>
        <v>0</v>
      </c>
      <c r="AM121" s="12">
        <f t="shared" si="21"/>
        <v>0</v>
      </c>
      <c r="AN121" s="38" t="s">
        <v>1985</v>
      </c>
      <c r="AO121" s="38" t="s">
        <v>2025</v>
      </c>
      <c r="AP121" s="32" t="s">
        <v>2039</v>
      </c>
    </row>
    <row r="122" spans="1:42" ht="12.75">
      <c r="A122" s="53" t="s">
        <v>172</v>
      </c>
      <c r="B122" s="18" t="s">
        <v>724</v>
      </c>
      <c r="C122" s="18" t="s">
        <v>1291</v>
      </c>
      <c r="D122" s="18" t="s">
        <v>1944</v>
      </c>
      <c r="E122" s="27">
        <v>4</v>
      </c>
      <c r="F122" s="27">
        <v>0</v>
      </c>
      <c r="G122" s="27">
        <f t="shared" si="10"/>
        <v>0</v>
      </c>
      <c r="H122" s="27">
        <f t="shared" si="11"/>
        <v>0</v>
      </c>
      <c r="I122" s="27">
        <f t="shared" si="12"/>
        <v>0</v>
      </c>
      <c r="J122" s="76">
        <v>0.139</v>
      </c>
      <c r="K122" s="76">
        <f t="shared" si="13"/>
        <v>0.556</v>
      </c>
      <c r="L122" s="36" t="s">
        <v>1959</v>
      </c>
      <c r="M122" s="36" t="s">
        <v>7</v>
      </c>
      <c r="N122" s="27">
        <f t="shared" si="14"/>
        <v>0</v>
      </c>
      <c r="Y122" s="27">
        <f t="shared" si="15"/>
        <v>0</v>
      </c>
      <c r="Z122" s="27">
        <f t="shared" si="16"/>
        <v>0</v>
      </c>
      <c r="AA122" s="27">
        <f t="shared" si="17"/>
        <v>0</v>
      </c>
      <c r="AC122" s="12">
        <v>21</v>
      </c>
      <c r="AD122" s="12">
        <f t="shared" si="18"/>
        <v>0</v>
      </c>
      <c r="AE122" s="12">
        <f t="shared" si="19"/>
        <v>0</v>
      </c>
      <c r="AL122" s="12">
        <f t="shared" si="20"/>
        <v>0</v>
      </c>
      <c r="AM122" s="12">
        <f t="shared" si="21"/>
        <v>0</v>
      </c>
      <c r="AN122" s="38" t="s">
        <v>1985</v>
      </c>
      <c r="AO122" s="38" t="s">
        <v>2025</v>
      </c>
      <c r="AP122" s="32" t="s">
        <v>2039</v>
      </c>
    </row>
    <row r="123" spans="1:42" ht="12.75">
      <c r="A123" s="53" t="s">
        <v>173</v>
      </c>
      <c r="B123" s="18" t="s">
        <v>725</v>
      </c>
      <c r="C123" s="18" t="s">
        <v>1292</v>
      </c>
      <c r="D123" s="18" t="s">
        <v>1944</v>
      </c>
      <c r="E123" s="27">
        <v>1</v>
      </c>
      <c r="F123" s="27">
        <v>0</v>
      </c>
      <c r="G123" s="27">
        <f t="shared" si="10"/>
        <v>0</v>
      </c>
      <c r="H123" s="27">
        <f t="shared" si="11"/>
        <v>0</v>
      </c>
      <c r="I123" s="27">
        <f t="shared" si="12"/>
        <v>0</v>
      </c>
      <c r="J123" s="76">
        <v>0.016</v>
      </c>
      <c r="K123" s="76">
        <f t="shared" si="13"/>
        <v>0.016</v>
      </c>
      <c r="L123" s="36" t="s">
        <v>1959</v>
      </c>
      <c r="M123" s="36" t="s">
        <v>7</v>
      </c>
      <c r="N123" s="27">
        <f t="shared" si="14"/>
        <v>0</v>
      </c>
      <c r="Y123" s="27">
        <f t="shared" si="15"/>
        <v>0</v>
      </c>
      <c r="Z123" s="27">
        <f t="shared" si="16"/>
        <v>0</v>
      </c>
      <c r="AA123" s="27">
        <f t="shared" si="17"/>
        <v>0</v>
      </c>
      <c r="AC123" s="12">
        <v>21</v>
      </c>
      <c r="AD123" s="12">
        <f t="shared" si="18"/>
        <v>0</v>
      </c>
      <c r="AE123" s="12">
        <f t="shared" si="19"/>
        <v>0</v>
      </c>
      <c r="AL123" s="12">
        <f t="shared" si="20"/>
        <v>0</v>
      </c>
      <c r="AM123" s="12">
        <f t="shared" si="21"/>
        <v>0</v>
      </c>
      <c r="AN123" s="38" t="s">
        <v>1985</v>
      </c>
      <c r="AO123" s="38" t="s">
        <v>2025</v>
      </c>
      <c r="AP123" s="32" t="s">
        <v>2039</v>
      </c>
    </row>
    <row r="124" spans="1:42" ht="12.75">
      <c r="A124" s="53" t="s">
        <v>174</v>
      </c>
      <c r="B124" s="18" t="s">
        <v>726</v>
      </c>
      <c r="C124" s="18" t="s">
        <v>1293</v>
      </c>
      <c r="D124" s="18" t="s">
        <v>1944</v>
      </c>
      <c r="E124" s="27">
        <v>26</v>
      </c>
      <c r="F124" s="27">
        <v>0</v>
      </c>
      <c r="G124" s="27">
        <f t="shared" si="10"/>
        <v>0</v>
      </c>
      <c r="H124" s="27">
        <f t="shared" si="11"/>
        <v>0</v>
      </c>
      <c r="I124" s="27">
        <f t="shared" si="12"/>
        <v>0</v>
      </c>
      <c r="J124" s="76">
        <v>0.02</v>
      </c>
      <c r="K124" s="76">
        <f t="shared" si="13"/>
        <v>0.52</v>
      </c>
      <c r="L124" s="36" t="s">
        <v>1959</v>
      </c>
      <c r="M124" s="36" t="s">
        <v>7</v>
      </c>
      <c r="N124" s="27">
        <f t="shared" si="14"/>
        <v>0</v>
      </c>
      <c r="Y124" s="27">
        <f t="shared" si="15"/>
        <v>0</v>
      </c>
      <c r="Z124" s="27">
        <f t="shared" si="16"/>
        <v>0</v>
      </c>
      <c r="AA124" s="27">
        <f t="shared" si="17"/>
        <v>0</v>
      </c>
      <c r="AC124" s="12">
        <v>21</v>
      </c>
      <c r="AD124" s="12">
        <f t="shared" si="18"/>
        <v>0</v>
      </c>
      <c r="AE124" s="12">
        <f t="shared" si="19"/>
        <v>0</v>
      </c>
      <c r="AL124" s="12">
        <f t="shared" si="20"/>
        <v>0</v>
      </c>
      <c r="AM124" s="12">
        <f t="shared" si="21"/>
        <v>0</v>
      </c>
      <c r="AN124" s="38" t="s">
        <v>1985</v>
      </c>
      <c r="AO124" s="38" t="s">
        <v>2025</v>
      </c>
      <c r="AP124" s="32" t="s">
        <v>2039</v>
      </c>
    </row>
    <row r="125" spans="1:42" ht="12.75">
      <c r="A125" s="53" t="s">
        <v>175</v>
      </c>
      <c r="B125" s="18" t="s">
        <v>727</v>
      </c>
      <c r="C125" s="18" t="s">
        <v>1294</v>
      </c>
      <c r="D125" s="18" t="s">
        <v>1944</v>
      </c>
      <c r="E125" s="27">
        <v>4</v>
      </c>
      <c r="F125" s="27">
        <v>0</v>
      </c>
      <c r="G125" s="27">
        <f t="shared" si="10"/>
        <v>0</v>
      </c>
      <c r="H125" s="27">
        <f t="shared" si="11"/>
        <v>0</v>
      </c>
      <c r="I125" s="27">
        <f t="shared" si="12"/>
        <v>0</v>
      </c>
      <c r="J125" s="76">
        <v>0.024</v>
      </c>
      <c r="K125" s="76">
        <f t="shared" si="13"/>
        <v>0.096</v>
      </c>
      <c r="L125" s="36" t="s">
        <v>1959</v>
      </c>
      <c r="M125" s="36" t="s">
        <v>7</v>
      </c>
      <c r="N125" s="27">
        <f t="shared" si="14"/>
        <v>0</v>
      </c>
      <c r="Y125" s="27">
        <f t="shared" si="15"/>
        <v>0</v>
      </c>
      <c r="Z125" s="27">
        <f t="shared" si="16"/>
        <v>0</v>
      </c>
      <c r="AA125" s="27">
        <f t="shared" si="17"/>
        <v>0</v>
      </c>
      <c r="AC125" s="12">
        <v>21</v>
      </c>
      <c r="AD125" s="12">
        <f t="shared" si="18"/>
        <v>0</v>
      </c>
      <c r="AE125" s="12">
        <f t="shared" si="19"/>
        <v>0</v>
      </c>
      <c r="AL125" s="12">
        <f t="shared" si="20"/>
        <v>0</v>
      </c>
      <c r="AM125" s="12">
        <f t="shared" si="21"/>
        <v>0</v>
      </c>
      <c r="AN125" s="38" t="s">
        <v>1985</v>
      </c>
      <c r="AO125" s="38" t="s">
        <v>2025</v>
      </c>
      <c r="AP125" s="32" t="s">
        <v>2039</v>
      </c>
    </row>
    <row r="126" spans="1:42" ht="12.75">
      <c r="A126" s="53" t="s">
        <v>176</v>
      </c>
      <c r="B126" s="18" t="s">
        <v>728</v>
      </c>
      <c r="C126" s="18" t="s">
        <v>1295</v>
      </c>
      <c r="D126" s="18" t="s">
        <v>1944</v>
      </c>
      <c r="E126" s="27">
        <v>3</v>
      </c>
      <c r="F126" s="27">
        <v>0</v>
      </c>
      <c r="G126" s="27">
        <f t="shared" si="10"/>
        <v>0</v>
      </c>
      <c r="H126" s="27">
        <f t="shared" si="11"/>
        <v>0</v>
      </c>
      <c r="I126" s="27">
        <f t="shared" si="12"/>
        <v>0</v>
      </c>
      <c r="J126" s="76">
        <v>0.036</v>
      </c>
      <c r="K126" s="76">
        <f t="shared" si="13"/>
        <v>0.10799999999999998</v>
      </c>
      <c r="L126" s="36" t="s">
        <v>1959</v>
      </c>
      <c r="M126" s="36" t="s">
        <v>7</v>
      </c>
      <c r="N126" s="27">
        <f t="shared" si="14"/>
        <v>0</v>
      </c>
      <c r="Y126" s="27">
        <f t="shared" si="15"/>
        <v>0</v>
      </c>
      <c r="Z126" s="27">
        <f t="shared" si="16"/>
        <v>0</v>
      </c>
      <c r="AA126" s="27">
        <f t="shared" si="17"/>
        <v>0</v>
      </c>
      <c r="AC126" s="12">
        <v>21</v>
      </c>
      <c r="AD126" s="12">
        <f t="shared" si="18"/>
        <v>0</v>
      </c>
      <c r="AE126" s="12">
        <f t="shared" si="19"/>
        <v>0</v>
      </c>
      <c r="AL126" s="12">
        <f t="shared" si="20"/>
        <v>0</v>
      </c>
      <c r="AM126" s="12">
        <f t="shared" si="21"/>
        <v>0</v>
      </c>
      <c r="AN126" s="38" t="s">
        <v>1985</v>
      </c>
      <c r="AO126" s="38" t="s">
        <v>2025</v>
      </c>
      <c r="AP126" s="32" t="s">
        <v>2039</v>
      </c>
    </row>
    <row r="127" spans="1:42" ht="12.75">
      <c r="A127" s="53" t="s">
        <v>177</v>
      </c>
      <c r="B127" s="18" t="s">
        <v>729</v>
      </c>
      <c r="C127" s="18" t="s">
        <v>1296</v>
      </c>
      <c r="D127" s="18" t="s">
        <v>1944</v>
      </c>
      <c r="E127" s="27">
        <v>1</v>
      </c>
      <c r="F127" s="27">
        <v>0</v>
      </c>
      <c r="G127" s="27">
        <f t="shared" si="10"/>
        <v>0</v>
      </c>
      <c r="H127" s="27">
        <f t="shared" si="11"/>
        <v>0</v>
      </c>
      <c r="I127" s="27">
        <f t="shared" si="12"/>
        <v>0</v>
      </c>
      <c r="J127" s="76">
        <v>0.027</v>
      </c>
      <c r="K127" s="76">
        <f t="shared" si="13"/>
        <v>0.027</v>
      </c>
      <c r="L127" s="36" t="s">
        <v>1959</v>
      </c>
      <c r="M127" s="36" t="s">
        <v>7</v>
      </c>
      <c r="N127" s="27">
        <f t="shared" si="14"/>
        <v>0</v>
      </c>
      <c r="Y127" s="27">
        <f t="shared" si="15"/>
        <v>0</v>
      </c>
      <c r="Z127" s="27">
        <f t="shared" si="16"/>
        <v>0</v>
      </c>
      <c r="AA127" s="27">
        <f t="shared" si="17"/>
        <v>0</v>
      </c>
      <c r="AC127" s="12">
        <v>21</v>
      </c>
      <c r="AD127" s="12">
        <f t="shared" si="18"/>
        <v>0</v>
      </c>
      <c r="AE127" s="12">
        <f t="shared" si="19"/>
        <v>0</v>
      </c>
      <c r="AL127" s="12">
        <f t="shared" si="20"/>
        <v>0</v>
      </c>
      <c r="AM127" s="12">
        <f t="shared" si="21"/>
        <v>0</v>
      </c>
      <c r="AN127" s="38" t="s">
        <v>1985</v>
      </c>
      <c r="AO127" s="38" t="s">
        <v>2025</v>
      </c>
      <c r="AP127" s="32" t="s">
        <v>2039</v>
      </c>
    </row>
    <row r="128" spans="1:42" ht="12.75">
      <c r="A128" s="53" t="s">
        <v>178</v>
      </c>
      <c r="B128" s="18" t="s">
        <v>730</v>
      </c>
      <c r="C128" s="18" t="s">
        <v>1297</v>
      </c>
      <c r="D128" s="18" t="s">
        <v>1944</v>
      </c>
      <c r="E128" s="27">
        <v>1</v>
      </c>
      <c r="F128" s="27">
        <v>0</v>
      </c>
      <c r="G128" s="27">
        <f t="shared" si="10"/>
        <v>0</v>
      </c>
      <c r="H128" s="27">
        <f t="shared" si="11"/>
        <v>0</v>
      </c>
      <c r="I128" s="27">
        <f t="shared" si="12"/>
        <v>0</v>
      </c>
      <c r="J128" s="76">
        <v>0.0902</v>
      </c>
      <c r="K128" s="76">
        <f t="shared" si="13"/>
        <v>0.0902</v>
      </c>
      <c r="L128" s="36" t="s">
        <v>1959</v>
      </c>
      <c r="M128" s="36" t="s">
        <v>7</v>
      </c>
      <c r="N128" s="27">
        <f t="shared" si="14"/>
        <v>0</v>
      </c>
      <c r="Y128" s="27">
        <f t="shared" si="15"/>
        <v>0</v>
      </c>
      <c r="Z128" s="27">
        <f t="shared" si="16"/>
        <v>0</v>
      </c>
      <c r="AA128" s="27">
        <f t="shared" si="17"/>
        <v>0</v>
      </c>
      <c r="AC128" s="12">
        <v>21</v>
      </c>
      <c r="AD128" s="12">
        <f t="shared" si="18"/>
        <v>0</v>
      </c>
      <c r="AE128" s="12">
        <f t="shared" si="19"/>
        <v>0</v>
      </c>
      <c r="AL128" s="12">
        <f t="shared" si="20"/>
        <v>0</v>
      </c>
      <c r="AM128" s="12">
        <f t="shared" si="21"/>
        <v>0</v>
      </c>
      <c r="AN128" s="38" t="s">
        <v>1985</v>
      </c>
      <c r="AO128" s="38" t="s">
        <v>2025</v>
      </c>
      <c r="AP128" s="32" t="s">
        <v>2039</v>
      </c>
    </row>
    <row r="129" spans="1:42" s="60" customFormat="1" ht="26.25">
      <c r="A129" s="56" t="s">
        <v>179</v>
      </c>
      <c r="B129" s="57" t="s">
        <v>731</v>
      </c>
      <c r="C129" s="57" t="s">
        <v>1298</v>
      </c>
      <c r="D129" s="57" t="s">
        <v>1941</v>
      </c>
      <c r="E129" s="58">
        <v>45.2</v>
      </c>
      <c r="F129" s="58">
        <v>0</v>
      </c>
      <c r="G129" s="58">
        <f t="shared" si="10"/>
        <v>0</v>
      </c>
      <c r="H129" s="58">
        <f t="shared" si="11"/>
        <v>0</v>
      </c>
      <c r="I129" s="58">
        <f t="shared" si="12"/>
        <v>0</v>
      </c>
      <c r="J129" s="77">
        <v>0.01023</v>
      </c>
      <c r="K129" s="77">
        <f t="shared" si="13"/>
        <v>0.46239600000000003</v>
      </c>
      <c r="L129" s="59" t="s">
        <v>1959</v>
      </c>
      <c r="M129" s="59" t="s">
        <v>122</v>
      </c>
      <c r="N129" s="58">
        <f t="shared" si="14"/>
        <v>0</v>
      </c>
      <c r="Y129" s="58">
        <f t="shared" si="15"/>
        <v>0</v>
      </c>
      <c r="Z129" s="58">
        <f t="shared" si="16"/>
        <v>0</v>
      </c>
      <c r="AA129" s="58">
        <f t="shared" si="17"/>
        <v>0</v>
      </c>
      <c r="AC129" s="61">
        <v>21</v>
      </c>
      <c r="AD129" s="61">
        <f>F129*0.396298076923077</f>
        <v>0</v>
      </c>
      <c r="AE129" s="61">
        <f>F129*(1-0.396298076923077)</f>
        <v>0</v>
      </c>
      <c r="AL129" s="61">
        <f t="shared" si="20"/>
        <v>0</v>
      </c>
      <c r="AM129" s="61">
        <f t="shared" si="21"/>
        <v>0</v>
      </c>
      <c r="AN129" s="62" t="s">
        <v>1985</v>
      </c>
      <c r="AO129" s="62" t="s">
        <v>2025</v>
      </c>
      <c r="AP129" s="63" t="s">
        <v>2041</v>
      </c>
    </row>
    <row r="130" ht="12.75">
      <c r="C130" s="24" t="s">
        <v>1299</v>
      </c>
    </row>
    <row r="131" spans="1:42" s="60" customFormat="1" ht="26.25">
      <c r="A131" s="56" t="s">
        <v>180</v>
      </c>
      <c r="B131" s="57" t="s">
        <v>732</v>
      </c>
      <c r="C131" s="57" t="s">
        <v>1300</v>
      </c>
      <c r="D131" s="57" t="s">
        <v>1941</v>
      </c>
      <c r="E131" s="58">
        <v>53</v>
      </c>
      <c r="F131" s="58">
        <v>0</v>
      </c>
      <c r="G131" s="58">
        <f>E131*AD131</f>
        <v>0</v>
      </c>
      <c r="H131" s="58">
        <f>I131-G131</f>
        <v>0</v>
      </c>
      <c r="I131" s="58">
        <f>E131*F131</f>
        <v>0</v>
      </c>
      <c r="J131" s="77">
        <v>0.01041</v>
      </c>
      <c r="K131" s="77">
        <f>E131*J131</f>
        <v>0.55173</v>
      </c>
      <c r="L131" s="59" t="s">
        <v>1959</v>
      </c>
      <c r="M131" s="59" t="s">
        <v>122</v>
      </c>
      <c r="N131" s="58">
        <f>IF(M131="5",H131,0)</f>
        <v>0</v>
      </c>
      <c r="Y131" s="58">
        <f>IF(AC131=0,I131,0)</f>
        <v>0</v>
      </c>
      <c r="Z131" s="58">
        <f>IF(AC131=15,I131,0)</f>
        <v>0</v>
      </c>
      <c r="AA131" s="58">
        <f>IF(AC131=21,I131,0)</f>
        <v>0</v>
      </c>
      <c r="AC131" s="61">
        <v>21</v>
      </c>
      <c r="AD131" s="61">
        <f>F131*0.404411067193676</f>
        <v>0</v>
      </c>
      <c r="AE131" s="61">
        <f>F131*(1-0.404411067193676)</f>
        <v>0</v>
      </c>
      <c r="AL131" s="61">
        <f>E131*AD131</f>
        <v>0</v>
      </c>
      <c r="AM131" s="61">
        <f>E131*AE131</f>
        <v>0</v>
      </c>
      <c r="AN131" s="62" t="s">
        <v>1985</v>
      </c>
      <c r="AO131" s="62" t="s">
        <v>2025</v>
      </c>
      <c r="AP131" s="63" t="s">
        <v>2041</v>
      </c>
    </row>
    <row r="132" ht="12.75">
      <c r="C132" s="24" t="s">
        <v>1299</v>
      </c>
    </row>
    <row r="133" spans="1:42" ht="12.75">
      <c r="A133" s="50" t="s">
        <v>181</v>
      </c>
      <c r="B133" s="17" t="s">
        <v>733</v>
      </c>
      <c r="C133" s="17" t="s">
        <v>1301</v>
      </c>
      <c r="D133" s="17" t="s">
        <v>1940</v>
      </c>
      <c r="E133" s="26">
        <v>7.6</v>
      </c>
      <c r="F133" s="26">
        <v>0</v>
      </c>
      <c r="G133" s="26">
        <f>E133*AD133</f>
        <v>0</v>
      </c>
      <c r="H133" s="26">
        <f>I133-G133</f>
        <v>0</v>
      </c>
      <c r="I133" s="26">
        <f>E133*F133</f>
        <v>0</v>
      </c>
      <c r="J133" s="72">
        <v>1.212</v>
      </c>
      <c r="K133" s="72">
        <f>E133*J133</f>
        <v>9.2112</v>
      </c>
      <c r="L133" s="35" t="s">
        <v>1959</v>
      </c>
      <c r="M133" s="35" t="s">
        <v>122</v>
      </c>
      <c r="N133" s="26">
        <f>IF(M133="5",H133,0)</f>
        <v>0</v>
      </c>
      <c r="Y133" s="26">
        <f>IF(AC133=0,I133,0)</f>
        <v>0</v>
      </c>
      <c r="Z133" s="26">
        <f>IF(AC133=15,I133,0)</f>
        <v>0</v>
      </c>
      <c r="AA133" s="26">
        <f>IF(AC133=21,I133,0)</f>
        <v>0</v>
      </c>
      <c r="AC133" s="12">
        <v>21</v>
      </c>
      <c r="AD133" s="12">
        <f>F133*0.693663902454268</f>
        <v>0</v>
      </c>
      <c r="AE133" s="12">
        <f>F133*(1-0.693663902454268)</f>
        <v>0</v>
      </c>
      <c r="AL133" s="12">
        <f>E133*AD133</f>
        <v>0</v>
      </c>
      <c r="AM133" s="12">
        <f>E133*AE133</f>
        <v>0</v>
      </c>
      <c r="AN133" s="38" t="s">
        <v>1985</v>
      </c>
      <c r="AO133" s="38" t="s">
        <v>2025</v>
      </c>
      <c r="AP133" s="32" t="s">
        <v>2041</v>
      </c>
    </row>
    <row r="134" ht="12.75">
      <c r="C134" s="24" t="s">
        <v>1302</v>
      </c>
    </row>
    <row r="135" spans="1:42" ht="12.75">
      <c r="A135" s="50" t="s">
        <v>182</v>
      </c>
      <c r="B135" s="17" t="s">
        <v>734</v>
      </c>
      <c r="C135" s="17" t="s">
        <v>1303</v>
      </c>
      <c r="D135" s="17" t="s">
        <v>1942</v>
      </c>
      <c r="E135" s="26">
        <v>23</v>
      </c>
      <c r="F135" s="26">
        <v>0</v>
      </c>
      <c r="G135" s="26">
        <f>E135*AD135</f>
        <v>0</v>
      </c>
      <c r="H135" s="26">
        <f>I135-G135</f>
        <v>0</v>
      </c>
      <c r="I135" s="26">
        <f>E135*F135</f>
        <v>0</v>
      </c>
      <c r="J135" s="72">
        <v>0.16479</v>
      </c>
      <c r="K135" s="72">
        <f>E135*J135</f>
        <v>3.79017</v>
      </c>
      <c r="L135" s="35" t="s">
        <v>1961</v>
      </c>
      <c r="M135" s="35" t="s">
        <v>122</v>
      </c>
      <c r="N135" s="26">
        <f>IF(M135="5",H135,0)</f>
        <v>0</v>
      </c>
      <c r="Y135" s="26">
        <f>IF(AC135=0,I135,0)</f>
        <v>0</v>
      </c>
      <c r="Z135" s="26">
        <f>IF(AC135=15,I135,0)</f>
        <v>0</v>
      </c>
      <c r="AA135" s="26">
        <f>IF(AC135=21,I135,0)</f>
        <v>0</v>
      </c>
      <c r="AC135" s="12">
        <v>21</v>
      </c>
      <c r="AD135" s="12">
        <f>F135*0.864661654135338</f>
        <v>0</v>
      </c>
      <c r="AE135" s="12">
        <f>F135*(1-0.864661654135338)</f>
        <v>0</v>
      </c>
      <c r="AL135" s="12">
        <f>E135*AD135</f>
        <v>0</v>
      </c>
      <c r="AM135" s="12">
        <f>E135*AE135</f>
        <v>0</v>
      </c>
      <c r="AN135" s="38" t="s">
        <v>1985</v>
      </c>
      <c r="AO135" s="38" t="s">
        <v>2025</v>
      </c>
      <c r="AP135" s="32" t="s">
        <v>2034</v>
      </c>
    </row>
    <row r="136" ht="26.25">
      <c r="C136" s="24" t="s">
        <v>1304</v>
      </c>
    </row>
    <row r="137" spans="1:36" ht="12.75">
      <c r="A137" s="52"/>
      <c r="B137" s="23" t="s">
        <v>16</v>
      </c>
      <c r="C137" s="121" t="s">
        <v>63</v>
      </c>
      <c r="D137" s="122"/>
      <c r="E137" s="122"/>
      <c r="F137" s="122"/>
      <c r="G137" s="40">
        <f>SUM(G138:G177)</f>
        <v>0</v>
      </c>
      <c r="H137" s="40">
        <f>SUM(H138:H177)</f>
        <v>0</v>
      </c>
      <c r="I137" s="40">
        <f>G137+H137</f>
        <v>0</v>
      </c>
      <c r="J137" s="74"/>
      <c r="K137" s="74">
        <f>SUM(K138:K177)</f>
        <v>94.43075990000003</v>
      </c>
      <c r="L137" s="32"/>
      <c r="O137" s="40">
        <f>IF(P137="PR",I137,SUM(N138:N177))</f>
        <v>0</v>
      </c>
      <c r="P137" s="32" t="s">
        <v>1967</v>
      </c>
      <c r="Q137" s="40">
        <f>IF(P137="HS",G137,0)</f>
        <v>0</v>
      </c>
      <c r="R137" s="40">
        <f>IF(P137="HS",H137-O137,0)</f>
        <v>0</v>
      </c>
      <c r="S137" s="40">
        <f>IF(P137="PS",G137,0)</f>
        <v>0</v>
      </c>
      <c r="T137" s="40">
        <f>IF(P137="PS",H137-O137,0)</f>
        <v>0</v>
      </c>
      <c r="U137" s="40">
        <f>IF(P137="MP",G137,0)</f>
        <v>0</v>
      </c>
      <c r="V137" s="40">
        <f>IF(P137="MP",H137-O137,0)</f>
        <v>0</v>
      </c>
      <c r="W137" s="40">
        <f>IF(P137="OM",G137,0)</f>
        <v>0</v>
      </c>
      <c r="X137" s="32"/>
      <c r="AH137" s="40">
        <f>SUM(Y138:Y177)</f>
        <v>0</v>
      </c>
      <c r="AI137" s="40">
        <f>SUM(Z138:Z177)</f>
        <v>0</v>
      </c>
      <c r="AJ137" s="40">
        <f>SUM(AA138:AA177)</f>
        <v>0</v>
      </c>
    </row>
    <row r="138" spans="1:42" ht="12.75">
      <c r="A138" s="50" t="s">
        <v>183</v>
      </c>
      <c r="B138" s="17" t="s">
        <v>735</v>
      </c>
      <c r="C138" s="17" t="s">
        <v>1305</v>
      </c>
      <c r="D138" s="17" t="s">
        <v>1941</v>
      </c>
      <c r="E138" s="26">
        <v>94.83</v>
      </c>
      <c r="F138" s="26">
        <v>0</v>
      </c>
      <c r="G138" s="26">
        <f>E138*AD138</f>
        <v>0</v>
      </c>
      <c r="H138" s="26">
        <f>I138-G138</f>
        <v>0</v>
      </c>
      <c r="I138" s="26">
        <f>E138*F138</f>
        <v>0</v>
      </c>
      <c r="J138" s="72">
        <v>0.03609</v>
      </c>
      <c r="K138" s="72">
        <f>E138*J138</f>
        <v>3.4224146999999996</v>
      </c>
      <c r="L138" s="35" t="s">
        <v>1961</v>
      </c>
      <c r="M138" s="35" t="s">
        <v>122</v>
      </c>
      <c r="N138" s="26">
        <f>IF(M138="5",H138,0)</f>
        <v>0</v>
      </c>
      <c r="Y138" s="26">
        <f>IF(AC138=0,I138,0)</f>
        <v>0</v>
      </c>
      <c r="Z138" s="26">
        <f>IF(AC138=15,I138,0)</f>
        <v>0</v>
      </c>
      <c r="AA138" s="26">
        <f>IF(AC138=21,I138,0)</f>
        <v>0</v>
      </c>
      <c r="AC138" s="12">
        <v>21</v>
      </c>
      <c r="AD138" s="12">
        <f>F138*0.554908883826879</f>
        <v>0</v>
      </c>
      <c r="AE138" s="12">
        <f>F138*(1-0.554908883826879)</f>
        <v>0</v>
      </c>
      <c r="AL138" s="12">
        <f>E138*AD138</f>
        <v>0</v>
      </c>
      <c r="AM138" s="12">
        <f>E138*AE138</f>
        <v>0</v>
      </c>
      <c r="AN138" s="38" t="s">
        <v>1986</v>
      </c>
      <c r="AO138" s="38" t="s">
        <v>2025</v>
      </c>
      <c r="AP138" s="32" t="s">
        <v>2034</v>
      </c>
    </row>
    <row r="139" ht="12.75">
      <c r="C139" s="24" t="s">
        <v>1306</v>
      </c>
    </row>
    <row r="140" spans="1:42" ht="12.75">
      <c r="A140" s="50" t="s">
        <v>184</v>
      </c>
      <c r="B140" s="17" t="s">
        <v>736</v>
      </c>
      <c r="C140" s="17" t="s">
        <v>1307</v>
      </c>
      <c r="D140" s="17" t="s">
        <v>1941</v>
      </c>
      <c r="E140" s="26">
        <v>50.5</v>
      </c>
      <c r="F140" s="26">
        <v>0</v>
      </c>
      <c r="G140" s="26">
        <f>E140*AD140</f>
        <v>0</v>
      </c>
      <c r="H140" s="26">
        <f>I140-G140</f>
        <v>0</v>
      </c>
      <c r="I140" s="26">
        <f>E140*F140</f>
        <v>0</v>
      </c>
      <c r="J140" s="72">
        <v>0.03074</v>
      </c>
      <c r="K140" s="72">
        <f>E140*J140</f>
        <v>1.55237</v>
      </c>
      <c r="L140" s="35" t="s">
        <v>1961</v>
      </c>
      <c r="M140" s="35" t="s">
        <v>122</v>
      </c>
      <c r="N140" s="26">
        <f>IF(M140="5",H140,0)</f>
        <v>0</v>
      </c>
      <c r="Y140" s="26">
        <f>IF(AC140=0,I140,0)</f>
        <v>0</v>
      </c>
      <c r="Z140" s="26">
        <f>IF(AC140=15,I140,0)</f>
        <v>0</v>
      </c>
      <c r="AA140" s="26">
        <f>IF(AC140=21,I140,0)</f>
        <v>0</v>
      </c>
      <c r="AC140" s="12">
        <v>21</v>
      </c>
      <c r="AD140" s="12">
        <f>F140*0.735044059462196</f>
        <v>0</v>
      </c>
      <c r="AE140" s="12">
        <f>F140*(1-0.735044059462196)</f>
        <v>0</v>
      </c>
      <c r="AL140" s="12">
        <f>E140*AD140</f>
        <v>0</v>
      </c>
      <c r="AM140" s="12">
        <f>E140*AE140</f>
        <v>0</v>
      </c>
      <c r="AN140" s="38" t="s">
        <v>1986</v>
      </c>
      <c r="AO140" s="38" t="s">
        <v>2025</v>
      </c>
      <c r="AP140" s="32" t="s">
        <v>2034</v>
      </c>
    </row>
    <row r="141" ht="12.75">
      <c r="C141" s="24" t="s">
        <v>1308</v>
      </c>
    </row>
    <row r="142" spans="1:42" s="60" customFormat="1" ht="26.25">
      <c r="A142" s="56" t="s">
        <v>185</v>
      </c>
      <c r="B142" s="57" t="s">
        <v>737</v>
      </c>
      <c r="C142" s="57" t="s">
        <v>1309</v>
      </c>
      <c r="D142" s="57" t="s">
        <v>1941</v>
      </c>
      <c r="E142" s="58">
        <v>10.3</v>
      </c>
      <c r="F142" s="58">
        <v>0</v>
      </c>
      <c r="G142" s="58">
        <f aca="true" t="shared" si="22" ref="G142:G149">E142*AD142</f>
        <v>0</v>
      </c>
      <c r="H142" s="58">
        <f aca="true" t="shared" si="23" ref="H142:H149">I142-G142</f>
        <v>0</v>
      </c>
      <c r="I142" s="58">
        <f aca="true" t="shared" si="24" ref="I142:I149">E142*F142</f>
        <v>0</v>
      </c>
      <c r="J142" s="77">
        <v>0.03779</v>
      </c>
      <c r="K142" s="77">
        <f aca="true" t="shared" si="25" ref="K142:K149">E142*J142</f>
        <v>0.389237</v>
      </c>
      <c r="L142" s="59" t="s">
        <v>1961</v>
      </c>
      <c r="M142" s="59" t="s">
        <v>122</v>
      </c>
      <c r="N142" s="58">
        <f aca="true" t="shared" si="26" ref="N142:N149">IF(M142="5",H142,0)</f>
        <v>0</v>
      </c>
      <c r="Y142" s="58">
        <f aca="true" t="shared" si="27" ref="Y142:Y149">IF(AC142=0,I142,0)</f>
        <v>0</v>
      </c>
      <c r="Z142" s="58">
        <f aca="true" t="shared" si="28" ref="Z142:Z149">IF(AC142=15,I142,0)</f>
        <v>0</v>
      </c>
      <c r="AA142" s="58">
        <f aca="true" t="shared" si="29" ref="AA142:AA149">IF(AC142=21,I142,0)</f>
        <v>0</v>
      </c>
      <c r="AC142" s="61">
        <v>21</v>
      </c>
      <c r="AD142" s="61">
        <f>F142*0.60999001996008</f>
        <v>0</v>
      </c>
      <c r="AE142" s="61">
        <f>F142*(1-0.60999001996008)</f>
        <v>0</v>
      </c>
      <c r="AL142" s="61">
        <f aca="true" t="shared" si="30" ref="AL142:AL149">E142*AD142</f>
        <v>0</v>
      </c>
      <c r="AM142" s="61">
        <f aca="true" t="shared" si="31" ref="AM142:AM149">E142*AE142</f>
        <v>0</v>
      </c>
      <c r="AN142" s="62" t="s">
        <v>1986</v>
      </c>
      <c r="AO142" s="62" t="s">
        <v>2025</v>
      </c>
      <c r="AP142" s="63" t="s">
        <v>2034</v>
      </c>
    </row>
    <row r="143" spans="1:42" s="60" customFormat="1" ht="26.25">
      <c r="A143" s="56" t="s">
        <v>186</v>
      </c>
      <c r="B143" s="57" t="s">
        <v>738</v>
      </c>
      <c r="C143" s="57" t="s">
        <v>1310</v>
      </c>
      <c r="D143" s="57" t="s">
        <v>1941</v>
      </c>
      <c r="E143" s="58">
        <v>25.8</v>
      </c>
      <c r="F143" s="58">
        <v>0</v>
      </c>
      <c r="G143" s="58">
        <f t="shared" si="22"/>
        <v>0</v>
      </c>
      <c r="H143" s="58">
        <f t="shared" si="23"/>
        <v>0</v>
      </c>
      <c r="I143" s="58">
        <f t="shared" si="24"/>
        <v>0</v>
      </c>
      <c r="J143" s="77">
        <v>0.07044</v>
      </c>
      <c r="K143" s="77">
        <f t="shared" si="25"/>
        <v>1.817352</v>
      </c>
      <c r="L143" s="59" t="s">
        <v>1961</v>
      </c>
      <c r="M143" s="59" t="s">
        <v>122</v>
      </c>
      <c r="N143" s="58">
        <f t="shared" si="26"/>
        <v>0</v>
      </c>
      <c r="Y143" s="58">
        <f t="shared" si="27"/>
        <v>0</v>
      </c>
      <c r="Z143" s="58">
        <f t="shared" si="28"/>
        <v>0</v>
      </c>
      <c r="AA143" s="58">
        <f t="shared" si="29"/>
        <v>0</v>
      </c>
      <c r="AC143" s="61">
        <v>21</v>
      </c>
      <c r="AD143" s="61">
        <f>F143*0.636523412443874</f>
        <v>0</v>
      </c>
      <c r="AE143" s="61">
        <f>F143*(1-0.636523412443874)</f>
        <v>0</v>
      </c>
      <c r="AL143" s="61">
        <f t="shared" si="30"/>
        <v>0</v>
      </c>
      <c r="AM143" s="61">
        <f t="shared" si="31"/>
        <v>0</v>
      </c>
      <c r="AN143" s="62" t="s">
        <v>1986</v>
      </c>
      <c r="AO143" s="62" t="s">
        <v>2025</v>
      </c>
      <c r="AP143" s="63" t="s">
        <v>2034</v>
      </c>
    </row>
    <row r="144" spans="1:42" ht="12.75">
      <c r="A144" s="50" t="s">
        <v>187</v>
      </c>
      <c r="B144" s="17" t="s">
        <v>739</v>
      </c>
      <c r="C144" s="17" t="s">
        <v>1311</v>
      </c>
      <c r="D144" s="17" t="s">
        <v>1941</v>
      </c>
      <c r="E144" s="26">
        <v>89.7</v>
      </c>
      <c r="F144" s="26">
        <v>0</v>
      </c>
      <c r="G144" s="26">
        <f t="shared" si="22"/>
        <v>0</v>
      </c>
      <c r="H144" s="26">
        <f t="shared" si="23"/>
        <v>0</v>
      </c>
      <c r="I144" s="26">
        <f t="shared" si="24"/>
        <v>0</v>
      </c>
      <c r="J144" s="72">
        <v>0.07938</v>
      </c>
      <c r="K144" s="72">
        <f t="shared" si="25"/>
        <v>7.120386000000001</v>
      </c>
      <c r="L144" s="35" t="s">
        <v>1959</v>
      </c>
      <c r="M144" s="35" t="s">
        <v>122</v>
      </c>
      <c r="N144" s="26">
        <f t="shared" si="26"/>
        <v>0</v>
      </c>
      <c r="Y144" s="26">
        <f t="shared" si="27"/>
        <v>0</v>
      </c>
      <c r="Z144" s="26">
        <f t="shared" si="28"/>
        <v>0</v>
      </c>
      <c r="AA144" s="26">
        <f t="shared" si="29"/>
        <v>0</v>
      </c>
      <c r="AC144" s="12">
        <v>21</v>
      </c>
      <c r="AD144" s="12">
        <f>F144*0.610630268242526</f>
        <v>0</v>
      </c>
      <c r="AE144" s="12">
        <f>F144*(1-0.610630268242526)</f>
        <v>0</v>
      </c>
      <c r="AL144" s="12">
        <f t="shared" si="30"/>
        <v>0</v>
      </c>
      <c r="AM144" s="12">
        <f t="shared" si="31"/>
        <v>0</v>
      </c>
      <c r="AN144" s="38" t="s">
        <v>1986</v>
      </c>
      <c r="AO144" s="38" t="s">
        <v>2025</v>
      </c>
      <c r="AP144" s="32" t="s">
        <v>2034</v>
      </c>
    </row>
    <row r="145" spans="1:42" ht="12.75">
      <c r="A145" s="50" t="s">
        <v>188</v>
      </c>
      <c r="B145" s="17" t="s">
        <v>740</v>
      </c>
      <c r="C145" s="17" t="s">
        <v>1312</v>
      </c>
      <c r="D145" s="17" t="s">
        <v>1941</v>
      </c>
      <c r="E145" s="26">
        <v>437.5</v>
      </c>
      <c r="F145" s="26">
        <v>0</v>
      </c>
      <c r="G145" s="26">
        <f t="shared" si="22"/>
        <v>0</v>
      </c>
      <c r="H145" s="26">
        <f t="shared" si="23"/>
        <v>0</v>
      </c>
      <c r="I145" s="26">
        <f t="shared" si="24"/>
        <v>0</v>
      </c>
      <c r="J145" s="72">
        <v>0.124</v>
      </c>
      <c r="K145" s="72">
        <f t="shared" si="25"/>
        <v>54.25</v>
      </c>
      <c r="L145" s="35" t="s">
        <v>1959</v>
      </c>
      <c r="M145" s="35" t="s">
        <v>122</v>
      </c>
      <c r="N145" s="26">
        <f t="shared" si="26"/>
        <v>0</v>
      </c>
      <c r="Y145" s="26">
        <f t="shared" si="27"/>
        <v>0</v>
      </c>
      <c r="Z145" s="26">
        <f t="shared" si="28"/>
        <v>0</v>
      </c>
      <c r="AA145" s="26">
        <f t="shared" si="29"/>
        <v>0</v>
      </c>
      <c r="AC145" s="12">
        <v>21</v>
      </c>
      <c r="AD145" s="12">
        <f>F145*0.656876190476191</f>
        <v>0</v>
      </c>
      <c r="AE145" s="12">
        <f>F145*(1-0.656876190476191)</f>
        <v>0</v>
      </c>
      <c r="AL145" s="12">
        <f t="shared" si="30"/>
        <v>0</v>
      </c>
      <c r="AM145" s="12">
        <f t="shared" si="31"/>
        <v>0</v>
      </c>
      <c r="AN145" s="38" t="s">
        <v>1986</v>
      </c>
      <c r="AO145" s="38" t="s">
        <v>2025</v>
      </c>
      <c r="AP145" s="32" t="s">
        <v>2034</v>
      </c>
    </row>
    <row r="146" spans="1:42" ht="12.75">
      <c r="A146" s="50" t="s">
        <v>189</v>
      </c>
      <c r="B146" s="17" t="s">
        <v>741</v>
      </c>
      <c r="C146" s="17" t="s">
        <v>1313</v>
      </c>
      <c r="D146" s="17" t="s">
        <v>1941</v>
      </c>
      <c r="E146" s="26">
        <v>76.48</v>
      </c>
      <c r="F146" s="26">
        <v>0</v>
      </c>
      <c r="G146" s="26">
        <f t="shared" si="22"/>
        <v>0</v>
      </c>
      <c r="H146" s="26">
        <f t="shared" si="23"/>
        <v>0</v>
      </c>
      <c r="I146" s="26">
        <f t="shared" si="24"/>
        <v>0</v>
      </c>
      <c r="J146" s="72">
        <v>0.14137</v>
      </c>
      <c r="K146" s="72">
        <f t="shared" si="25"/>
        <v>10.8119776</v>
      </c>
      <c r="L146" s="35" t="s">
        <v>1959</v>
      </c>
      <c r="M146" s="35" t="s">
        <v>122</v>
      </c>
      <c r="N146" s="26">
        <f t="shared" si="26"/>
        <v>0</v>
      </c>
      <c r="Y146" s="26">
        <f t="shared" si="27"/>
        <v>0</v>
      </c>
      <c r="Z146" s="26">
        <f t="shared" si="28"/>
        <v>0</v>
      </c>
      <c r="AA146" s="26">
        <f t="shared" si="29"/>
        <v>0</v>
      </c>
      <c r="AC146" s="12">
        <v>21</v>
      </c>
      <c r="AD146" s="12">
        <f>F146*0.668669007682573</f>
        <v>0</v>
      </c>
      <c r="AE146" s="12">
        <f>F146*(1-0.668669007682573)</f>
        <v>0</v>
      </c>
      <c r="AL146" s="12">
        <f t="shared" si="30"/>
        <v>0</v>
      </c>
      <c r="AM146" s="12">
        <f t="shared" si="31"/>
        <v>0</v>
      </c>
      <c r="AN146" s="38" t="s">
        <v>1986</v>
      </c>
      <c r="AO146" s="38" t="s">
        <v>2025</v>
      </c>
      <c r="AP146" s="32" t="s">
        <v>2034</v>
      </c>
    </row>
    <row r="147" spans="1:42" ht="12.75">
      <c r="A147" s="50" t="s">
        <v>190</v>
      </c>
      <c r="B147" s="17" t="s">
        <v>742</v>
      </c>
      <c r="C147" s="17" t="s">
        <v>1314</v>
      </c>
      <c r="D147" s="17" t="s">
        <v>1941</v>
      </c>
      <c r="E147" s="26">
        <v>26.13</v>
      </c>
      <c r="F147" s="26">
        <v>0</v>
      </c>
      <c r="G147" s="26">
        <f t="shared" si="22"/>
        <v>0</v>
      </c>
      <c r="H147" s="26">
        <f t="shared" si="23"/>
        <v>0</v>
      </c>
      <c r="I147" s="26">
        <f t="shared" si="24"/>
        <v>0</v>
      </c>
      <c r="J147" s="72">
        <v>0.15232</v>
      </c>
      <c r="K147" s="72">
        <f t="shared" si="25"/>
        <v>3.9801216</v>
      </c>
      <c r="L147" s="35" t="s">
        <v>1961</v>
      </c>
      <c r="M147" s="35" t="s">
        <v>122</v>
      </c>
      <c r="N147" s="26">
        <f t="shared" si="26"/>
        <v>0</v>
      </c>
      <c r="Y147" s="26">
        <f t="shared" si="27"/>
        <v>0</v>
      </c>
      <c r="Z147" s="26">
        <f t="shared" si="28"/>
        <v>0</v>
      </c>
      <c r="AA147" s="26">
        <f t="shared" si="29"/>
        <v>0</v>
      </c>
      <c r="AC147" s="12">
        <v>21</v>
      </c>
      <c r="AD147" s="12">
        <f>F147*0.644360902255639</f>
        <v>0</v>
      </c>
      <c r="AE147" s="12">
        <f>F147*(1-0.644360902255639)</f>
        <v>0</v>
      </c>
      <c r="AL147" s="12">
        <f t="shared" si="30"/>
        <v>0</v>
      </c>
      <c r="AM147" s="12">
        <f t="shared" si="31"/>
        <v>0</v>
      </c>
      <c r="AN147" s="38" t="s">
        <v>1986</v>
      </c>
      <c r="AO147" s="38" t="s">
        <v>2025</v>
      </c>
      <c r="AP147" s="32" t="s">
        <v>2034</v>
      </c>
    </row>
    <row r="148" spans="1:42" ht="12.75">
      <c r="A148" s="50" t="s">
        <v>191</v>
      </c>
      <c r="B148" s="17" t="s">
        <v>743</v>
      </c>
      <c r="C148" s="17" t="s">
        <v>1315</v>
      </c>
      <c r="D148" s="17" t="s">
        <v>1941</v>
      </c>
      <c r="E148" s="26">
        <v>47.3</v>
      </c>
      <c r="F148" s="26">
        <v>0</v>
      </c>
      <c r="G148" s="26">
        <f t="shared" si="22"/>
        <v>0</v>
      </c>
      <c r="H148" s="26">
        <f t="shared" si="23"/>
        <v>0</v>
      </c>
      <c r="I148" s="26">
        <f t="shared" si="24"/>
        <v>0</v>
      </c>
      <c r="J148" s="72">
        <v>0.13437</v>
      </c>
      <c r="K148" s="72">
        <f t="shared" si="25"/>
        <v>6.355700999999999</v>
      </c>
      <c r="L148" s="35" t="s">
        <v>1959</v>
      </c>
      <c r="M148" s="35" t="s">
        <v>122</v>
      </c>
      <c r="N148" s="26">
        <f t="shared" si="26"/>
        <v>0</v>
      </c>
      <c r="Y148" s="26">
        <f t="shared" si="27"/>
        <v>0</v>
      </c>
      <c r="Z148" s="26">
        <f t="shared" si="28"/>
        <v>0</v>
      </c>
      <c r="AA148" s="26">
        <f t="shared" si="29"/>
        <v>0</v>
      </c>
      <c r="AC148" s="12">
        <v>21</v>
      </c>
      <c r="AD148" s="12">
        <f>F148*0.649105545617174</f>
        <v>0</v>
      </c>
      <c r="AE148" s="12">
        <f>F148*(1-0.649105545617174)</f>
        <v>0</v>
      </c>
      <c r="AL148" s="12">
        <f t="shared" si="30"/>
        <v>0</v>
      </c>
      <c r="AM148" s="12">
        <f t="shared" si="31"/>
        <v>0</v>
      </c>
      <c r="AN148" s="38" t="s">
        <v>1986</v>
      </c>
      <c r="AO148" s="38" t="s">
        <v>2025</v>
      </c>
      <c r="AP148" s="32" t="s">
        <v>2034</v>
      </c>
    </row>
    <row r="149" spans="1:42" ht="12.75">
      <c r="A149" s="50" t="s">
        <v>192</v>
      </c>
      <c r="B149" s="17" t="s">
        <v>744</v>
      </c>
      <c r="C149" s="17" t="s">
        <v>1316</v>
      </c>
      <c r="D149" s="17" t="s">
        <v>1946</v>
      </c>
      <c r="E149" s="26">
        <v>2</v>
      </c>
      <c r="F149" s="26">
        <v>0</v>
      </c>
      <c r="G149" s="26">
        <f t="shared" si="22"/>
        <v>0</v>
      </c>
      <c r="H149" s="26">
        <f t="shared" si="23"/>
        <v>0</v>
      </c>
      <c r="I149" s="26">
        <f t="shared" si="24"/>
        <v>0</v>
      </c>
      <c r="J149" s="72">
        <v>0.2</v>
      </c>
      <c r="K149" s="72">
        <f t="shared" si="25"/>
        <v>0.4</v>
      </c>
      <c r="L149" s="35" t="s">
        <v>1961</v>
      </c>
      <c r="M149" s="35" t="s">
        <v>122</v>
      </c>
      <c r="N149" s="26">
        <f t="shared" si="26"/>
        <v>0</v>
      </c>
      <c r="Y149" s="26">
        <f t="shared" si="27"/>
        <v>0</v>
      </c>
      <c r="Z149" s="26">
        <f t="shared" si="28"/>
        <v>0</v>
      </c>
      <c r="AA149" s="26">
        <f t="shared" si="29"/>
        <v>0</v>
      </c>
      <c r="AC149" s="12">
        <v>21</v>
      </c>
      <c r="AD149" s="12">
        <f>F149*0</f>
        <v>0</v>
      </c>
      <c r="AE149" s="12">
        <f>F149*(1-0)</f>
        <v>0</v>
      </c>
      <c r="AL149" s="12">
        <f t="shared" si="30"/>
        <v>0</v>
      </c>
      <c r="AM149" s="12">
        <f t="shared" si="31"/>
        <v>0</v>
      </c>
      <c r="AN149" s="38" t="s">
        <v>1986</v>
      </c>
      <c r="AO149" s="38" t="s">
        <v>2025</v>
      </c>
      <c r="AP149" s="32" t="s">
        <v>2005</v>
      </c>
    </row>
    <row r="150" ht="12.75">
      <c r="C150" s="24" t="s">
        <v>1317</v>
      </c>
    </row>
    <row r="151" spans="1:42" ht="12.75">
      <c r="A151" s="50" t="s">
        <v>193</v>
      </c>
      <c r="B151" s="17" t="s">
        <v>745</v>
      </c>
      <c r="C151" s="17" t="s">
        <v>1318</v>
      </c>
      <c r="D151" s="17" t="s">
        <v>1946</v>
      </c>
      <c r="E151" s="26">
        <v>1</v>
      </c>
      <c r="F151" s="26">
        <v>0</v>
      </c>
      <c r="G151" s="26">
        <f>E151*AD151</f>
        <v>0</v>
      </c>
      <c r="H151" s="26">
        <f>I151-G151</f>
        <v>0</v>
      </c>
      <c r="I151" s="26">
        <f>E151*F151</f>
        <v>0</v>
      </c>
      <c r="J151" s="72">
        <v>0.2</v>
      </c>
      <c r="K151" s="72">
        <f>E151*J151</f>
        <v>0.2</v>
      </c>
      <c r="L151" s="35" t="s">
        <v>1961</v>
      </c>
      <c r="M151" s="35" t="s">
        <v>122</v>
      </c>
      <c r="N151" s="26">
        <f>IF(M151="5",H151,0)</f>
        <v>0</v>
      </c>
      <c r="Y151" s="26">
        <f>IF(AC151=0,I151,0)</f>
        <v>0</v>
      </c>
      <c r="Z151" s="26">
        <f>IF(AC151=15,I151,0)</f>
        <v>0</v>
      </c>
      <c r="AA151" s="26">
        <f>IF(AC151=21,I151,0)</f>
        <v>0</v>
      </c>
      <c r="AC151" s="12">
        <v>21</v>
      </c>
      <c r="AD151" s="12">
        <f>F151*0</f>
        <v>0</v>
      </c>
      <c r="AE151" s="12">
        <f>F151*(1-0)</f>
        <v>0</v>
      </c>
      <c r="AL151" s="12">
        <f>E151*AD151</f>
        <v>0</v>
      </c>
      <c r="AM151" s="12">
        <f>E151*AE151</f>
        <v>0</v>
      </c>
      <c r="AN151" s="38" t="s">
        <v>1986</v>
      </c>
      <c r="AO151" s="38" t="s">
        <v>2025</v>
      </c>
      <c r="AP151" s="32" t="s">
        <v>2005</v>
      </c>
    </row>
    <row r="152" ht="12.75">
      <c r="C152" s="24" t="s">
        <v>1317</v>
      </c>
    </row>
    <row r="153" spans="1:42" ht="12.75">
      <c r="A153" s="50" t="s">
        <v>194</v>
      </c>
      <c r="B153" s="17" t="s">
        <v>746</v>
      </c>
      <c r="C153" s="17" t="s">
        <v>1319</v>
      </c>
      <c r="D153" s="17" t="s">
        <v>1942</v>
      </c>
      <c r="E153" s="26">
        <v>16</v>
      </c>
      <c r="F153" s="26">
        <v>0</v>
      </c>
      <c r="G153" s="26">
        <f>E153*AD153</f>
        <v>0</v>
      </c>
      <c r="H153" s="26">
        <f>I153-G153</f>
        <v>0</v>
      </c>
      <c r="I153" s="26">
        <f>E153*F153</f>
        <v>0</v>
      </c>
      <c r="J153" s="72">
        <v>0.24407</v>
      </c>
      <c r="K153" s="72">
        <f>E153*J153</f>
        <v>3.90512</v>
      </c>
      <c r="L153" s="35" t="s">
        <v>1959</v>
      </c>
      <c r="M153" s="35" t="s">
        <v>122</v>
      </c>
      <c r="N153" s="26">
        <f>IF(M153="5",H153,0)</f>
        <v>0</v>
      </c>
      <c r="Y153" s="26">
        <f>IF(AC153=0,I153,0)</f>
        <v>0</v>
      </c>
      <c r="Z153" s="26">
        <f>IF(AC153=15,I153,0)</f>
        <v>0</v>
      </c>
      <c r="AA153" s="26">
        <f>IF(AC153=21,I153,0)</f>
        <v>0</v>
      </c>
      <c r="AC153" s="12">
        <v>21</v>
      </c>
      <c r="AD153" s="12">
        <f>F153*0.568230383973289</f>
        <v>0</v>
      </c>
      <c r="AE153" s="12">
        <f>F153*(1-0.568230383973289)</f>
        <v>0</v>
      </c>
      <c r="AL153" s="12">
        <f>E153*AD153</f>
        <v>0</v>
      </c>
      <c r="AM153" s="12">
        <f>E153*AE153</f>
        <v>0</v>
      </c>
      <c r="AN153" s="38" t="s">
        <v>1986</v>
      </c>
      <c r="AO153" s="38" t="s">
        <v>2025</v>
      </c>
      <c r="AP153" s="32" t="s">
        <v>2034</v>
      </c>
    </row>
    <row r="154" ht="12.75">
      <c r="C154" s="24" t="s">
        <v>1320</v>
      </c>
    </row>
    <row r="155" spans="1:42" ht="12.75">
      <c r="A155" s="50" t="s">
        <v>42</v>
      </c>
      <c r="B155" s="17" t="s">
        <v>747</v>
      </c>
      <c r="C155" s="17" t="s">
        <v>1321</v>
      </c>
      <c r="D155" s="17" t="s">
        <v>1941</v>
      </c>
      <c r="E155" s="26">
        <v>18</v>
      </c>
      <c r="F155" s="26">
        <v>0</v>
      </c>
      <c r="G155" s="26">
        <f>E155*AD155</f>
        <v>0</v>
      </c>
      <c r="H155" s="26">
        <f>I155-G155</f>
        <v>0</v>
      </c>
      <c r="I155" s="26">
        <f>E155*F155</f>
        <v>0</v>
      </c>
      <c r="J155" s="72">
        <v>0.01218</v>
      </c>
      <c r="K155" s="72">
        <f>E155*J155</f>
        <v>0.21924</v>
      </c>
      <c r="L155" s="35" t="s">
        <v>1959</v>
      </c>
      <c r="M155" s="35" t="s">
        <v>122</v>
      </c>
      <c r="N155" s="26">
        <f>IF(M155="5",H155,0)</f>
        <v>0</v>
      </c>
      <c r="Y155" s="26">
        <f>IF(AC155=0,I155,0)</f>
        <v>0</v>
      </c>
      <c r="Z155" s="26">
        <f>IF(AC155=15,I155,0)</f>
        <v>0</v>
      </c>
      <c r="AA155" s="26">
        <f>IF(AC155=21,I155,0)</f>
        <v>0</v>
      </c>
      <c r="AC155" s="12">
        <v>21</v>
      </c>
      <c r="AD155" s="12">
        <f>F155*0.437575083426029</f>
        <v>0</v>
      </c>
      <c r="AE155" s="12">
        <f>F155*(1-0.437575083426029)</f>
        <v>0</v>
      </c>
      <c r="AL155" s="12">
        <f>E155*AD155</f>
        <v>0</v>
      </c>
      <c r="AM155" s="12">
        <f>E155*AE155</f>
        <v>0</v>
      </c>
      <c r="AN155" s="38" t="s">
        <v>1986</v>
      </c>
      <c r="AO155" s="38" t="s">
        <v>2025</v>
      </c>
      <c r="AP155" s="32" t="s">
        <v>2034</v>
      </c>
    </row>
    <row r="156" ht="12.75">
      <c r="C156" s="24" t="s">
        <v>1322</v>
      </c>
    </row>
    <row r="157" spans="1:42" ht="12.75">
      <c r="A157" s="50" t="s">
        <v>195</v>
      </c>
      <c r="B157" s="17" t="s">
        <v>748</v>
      </c>
      <c r="C157" s="17" t="s">
        <v>1323</v>
      </c>
      <c r="D157" s="17" t="s">
        <v>1941</v>
      </c>
      <c r="E157" s="26">
        <v>18</v>
      </c>
      <c r="F157" s="26">
        <v>0</v>
      </c>
      <c r="G157" s="26">
        <f>E157*AD157</f>
        <v>0</v>
      </c>
      <c r="H157" s="26">
        <f>I157-G157</f>
        <v>0</v>
      </c>
      <c r="I157" s="26">
        <f>E157*F157</f>
        <v>0</v>
      </c>
      <c r="J157" s="72">
        <v>0.00023</v>
      </c>
      <c r="K157" s="72">
        <f>E157*J157</f>
        <v>0.0041400000000000005</v>
      </c>
      <c r="L157" s="35" t="s">
        <v>1961</v>
      </c>
      <c r="M157" s="35" t="s">
        <v>122</v>
      </c>
      <c r="N157" s="26">
        <f>IF(M157="5",H157,0)</f>
        <v>0</v>
      </c>
      <c r="Y157" s="26">
        <f>IF(AC157=0,I157,0)</f>
        <v>0</v>
      </c>
      <c r="Z157" s="26">
        <f>IF(AC157=15,I157,0)</f>
        <v>0</v>
      </c>
      <c r="AA157" s="26">
        <f>IF(AC157=21,I157,0)</f>
        <v>0</v>
      </c>
      <c r="AC157" s="12">
        <v>21</v>
      </c>
      <c r="AD157" s="12">
        <f>F157*0.504387755102041</f>
        <v>0</v>
      </c>
      <c r="AE157" s="12">
        <f>F157*(1-0.504387755102041)</f>
        <v>0</v>
      </c>
      <c r="AL157" s="12">
        <f>E157*AD157</f>
        <v>0</v>
      </c>
      <c r="AM157" s="12">
        <f>E157*AE157</f>
        <v>0</v>
      </c>
      <c r="AN157" s="38" t="s">
        <v>1986</v>
      </c>
      <c r="AO157" s="38" t="s">
        <v>2025</v>
      </c>
      <c r="AP157" s="32" t="s">
        <v>2034</v>
      </c>
    </row>
    <row r="158" ht="12.75">
      <c r="C158" s="24" t="s">
        <v>1324</v>
      </c>
    </row>
    <row r="159" spans="1:42" ht="12.75">
      <c r="A159" s="50" t="s">
        <v>196</v>
      </c>
      <c r="B159" s="17" t="s">
        <v>749</v>
      </c>
      <c r="C159" s="17" t="s">
        <v>1325</v>
      </c>
      <c r="D159" s="17" t="s">
        <v>1941</v>
      </c>
      <c r="E159" s="26">
        <v>18</v>
      </c>
      <c r="F159" s="26">
        <v>0</v>
      </c>
      <c r="G159" s="26">
        <f>E159*AD159</f>
        <v>0</v>
      </c>
      <c r="H159" s="26">
        <f>I159-G159</f>
        <v>0</v>
      </c>
      <c r="I159" s="26">
        <f>E159*F159</f>
        <v>0</v>
      </c>
      <c r="J159" s="72">
        <v>0.00015</v>
      </c>
      <c r="K159" s="72">
        <f>E159*J159</f>
        <v>0.0026999999999999997</v>
      </c>
      <c r="L159" s="35" t="s">
        <v>1959</v>
      </c>
      <c r="M159" s="35" t="s">
        <v>122</v>
      </c>
      <c r="N159" s="26">
        <f>IF(M159="5",H159,0)</f>
        <v>0</v>
      </c>
      <c r="Y159" s="26">
        <f>IF(AC159=0,I159,0)</f>
        <v>0</v>
      </c>
      <c r="Z159" s="26">
        <f>IF(AC159=15,I159,0)</f>
        <v>0</v>
      </c>
      <c r="AA159" s="26">
        <f>IF(AC159=21,I159,0)</f>
        <v>0</v>
      </c>
      <c r="AC159" s="12">
        <v>21</v>
      </c>
      <c r="AD159" s="12">
        <f>F159*0.344774011299435</f>
        <v>0</v>
      </c>
      <c r="AE159" s="12">
        <f>F159*(1-0.344774011299435)</f>
        <v>0</v>
      </c>
      <c r="AL159" s="12">
        <f>E159*AD159</f>
        <v>0</v>
      </c>
      <c r="AM159" s="12">
        <f>E159*AE159</f>
        <v>0</v>
      </c>
      <c r="AN159" s="38" t="s">
        <v>1986</v>
      </c>
      <c r="AO159" s="38" t="s">
        <v>2025</v>
      </c>
      <c r="AP159" s="32" t="s">
        <v>2034</v>
      </c>
    </row>
    <row r="160" ht="12.75">
      <c r="C160" s="24" t="s">
        <v>1326</v>
      </c>
    </row>
    <row r="161" spans="1:42" ht="12.75">
      <c r="A161" s="50" t="s">
        <v>197</v>
      </c>
      <c r="B161" s="17" t="s">
        <v>750</v>
      </c>
      <c r="C161" s="17" t="s">
        <v>1327</v>
      </c>
      <c r="D161" s="17" t="s">
        <v>1947</v>
      </c>
      <c r="E161" s="26">
        <v>1</v>
      </c>
      <c r="F161" s="26">
        <v>0</v>
      </c>
      <c r="G161" s="26">
        <f>E161*AD161</f>
        <v>0</v>
      </c>
      <c r="H161" s="26">
        <f>I161-G161</f>
        <v>0</v>
      </c>
      <c r="I161" s="26">
        <f>E161*F161</f>
        <v>0</v>
      </c>
      <c r="J161" s="72">
        <v>0</v>
      </c>
      <c r="K161" s="72">
        <f>E161*J161</f>
        <v>0</v>
      </c>
      <c r="L161" s="35" t="s">
        <v>1961</v>
      </c>
      <c r="M161" s="35" t="s">
        <v>122</v>
      </c>
      <c r="N161" s="26">
        <f>IF(M161="5",H161,0)</f>
        <v>0</v>
      </c>
      <c r="Y161" s="26">
        <f>IF(AC161=0,I161,0)</f>
        <v>0</v>
      </c>
      <c r="Z161" s="26">
        <f>IF(AC161=15,I161,0)</f>
        <v>0</v>
      </c>
      <c r="AA161" s="26">
        <f>IF(AC161=21,I161,0)</f>
        <v>0</v>
      </c>
      <c r="AC161" s="12">
        <v>21</v>
      </c>
      <c r="AD161" s="12">
        <f>F161*0</f>
        <v>0</v>
      </c>
      <c r="AE161" s="12">
        <f>F161*(1-0)</f>
        <v>0</v>
      </c>
      <c r="AL161" s="12">
        <f>E161*AD161</f>
        <v>0</v>
      </c>
      <c r="AM161" s="12">
        <f>E161*AE161</f>
        <v>0</v>
      </c>
      <c r="AN161" s="38" t="s">
        <v>1986</v>
      </c>
      <c r="AO161" s="38" t="s">
        <v>2025</v>
      </c>
      <c r="AP161" s="32" t="s">
        <v>2005</v>
      </c>
    </row>
    <row r="162" ht="12.75">
      <c r="C162" s="24" t="s">
        <v>1317</v>
      </c>
    </row>
    <row r="163" spans="1:42" ht="12.75">
      <c r="A163" s="50" t="s">
        <v>43</v>
      </c>
      <c r="B163" s="17" t="s">
        <v>751</v>
      </c>
      <c r="C163" s="17" t="s">
        <v>1328</v>
      </c>
      <c r="D163" s="17" t="s">
        <v>1947</v>
      </c>
      <c r="E163" s="26">
        <v>1</v>
      </c>
      <c r="F163" s="26">
        <v>0</v>
      </c>
      <c r="G163" s="26">
        <f>E163*AD163</f>
        <v>0</v>
      </c>
      <c r="H163" s="26">
        <f>I163-G163</f>
        <v>0</v>
      </c>
      <c r="I163" s="26">
        <f>E163*F163</f>
        <v>0</v>
      </c>
      <c r="J163" s="72">
        <v>0</v>
      </c>
      <c r="K163" s="72">
        <f>E163*J163</f>
        <v>0</v>
      </c>
      <c r="L163" s="35" t="s">
        <v>1961</v>
      </c>
      <c r="M163" s="35" t="s">
        <v>122</v>
      </c>
      <c r="N163" s="26">
        <f>IF(M163="5",H163,0)</f>
        <v>0</v>
      </c>
      <c r="Y163" s="26">
        <f>IF(AC163=0,I163,0)</f>
        <v>0</v>
      </c>
      <c r="Z163" s="26">
        <f>IF(AC163=15,I163,0)</f>
        <v>0</v>
      </c>
      <c r="AA163" s="26">
        <f>IF(AC163=21,I163,0)</f>
        <v>0</v>
      </c>
      <c r="AC163" s="12">
        <v>21</v>
      </c>
      <c r="AD163" s="12">
        <f>F163*0</f>
        <v>0</v>
      </c>
      <c r="AE163" s="12">
        <f>F163*(1-0)</f>
        <v>0</v>
      </c>
      <c r="AL163" s="12">
        <f>E163*AD163</f>
        <v>0</v>
      </c>
      <c r="AM163" s="12">
        <f>E163*AE163</f>
        <v>0</v>
      </c>
      <c r="AN163" s="38" t="s">
        <v>1986</v>
      </c>
      <c r="AO163" s="38" t="s">
        <v>2025</v>
      </c>
      <c r="AP163" s="32" t="s">
        <v>2005</v>
      </c>
    </row>
    <row r="164" ht="12.75">
      <c r="C164" s="24" t="s">
        <v>1317</v>
      </c>
    </row>
    <row r="165" spans="1:42" ht="12.75">
      <c r="A165" s="50" t="s">
        <v>44</v>
      </c>
      <c r="B165" s="17" t="s">
        <v>752</v>
      </c>
      <c r="C165" s="17" t="s">
        <v>1329</v>
      </c>
      <c r="D165" s="17" t="s">
        <v>1947</v>
      </c>
      <c r="E165" s="26">
        <v>4</v>
      </c>
      <c r="F165" s="26">
        <v>0</v>
      </c>
      <c r="G165" s="26">
        <f>E165*AD165</f>
        <v>0</v>
      </c>
      <c r="H165" s="26">
        <f>I165-G165</f>
        <v>0</v>
      </c>
      <c r="I165" s="26">
        <f>E165*F165</f>
        <v>0</v>
      </c>
      <c r="J165" s="72">
        <v>0</v>
      </c>
      <c r="K165" s="72">
        <f>E165*J165</f>
        <v>0</v>
      </c>
      <c r="L165" s="35" t="s">
        <v>1961</v>
      </c>
      <c r="M165" s="35" t="s">
        <v>122</v>
      </c>
      <c r="N165" s="26">
        <f>IF(M165="5",H165,0)</f>
        <v>0</v>
      </c>
      <c r="Y165" s="26">
        <f>IF(AC165=0,I165,0)</f>
        <v>0</v>
      </c>
      <c r="Z165" s="26">
        <f>IF(AC165=15,I165,0)</f>
        <v>0</v>
      </c>
      <c r="AA165" s="26">
        <f>IF(AC165=21,I165,0)</f>
        <v>0</v>
      </c>
      <c r="AC165" s="12">
        <v>21</v>
      </c>
      <c r="AD165" s="12">
        <f>F165*0</f>
        <v>0</v>
      </c>
      <c r="AE165" s="12">
        <f>F165*(1-0)</f>
        <v>0</v>
      </c>
      <c r="AL165" s="12">
        <f>E165*AD165</f>
        <v>0</v>
      </c>
      <c r="AM165" s="12">
        <f>E165*AE165</f>
        <v>0</v>
      </c>
      <c r="AN165" s="38" t="s">
        <v>1986</v>
      </c>
      <c r="AO165" s="38" t="s">
        <v>2025</v>
      </c>
      <c r="AP165" s="32" t="s">
        <v>2005</v>
      </c>
    </row>
    <row r="166" ht="12.75">
      <c r="C166" s="24" t="s">
        <v>1317</v>
      </c>
    </row>
    <row r="167" spans="1:42" ht="12.75">
      <c r="A167" s="50" t="s">
        <v>45</v>
      </c>
      <c r="B167" s="17" t="s">
        <v>753</v>
      </c>
      <c r="C167" s="17" t="s">
        <v>1330</v>
      </c>
      <c r="D167" s="17" t="s">
        <v>1947</v>
      </c>
      <c r="E167" s="26">
        <v>1</v>
      </c>
      <c r="F167" s="26">
        <v>0</v>
      </c>
      <c r="G167" s="26">
        <f>E167*AD167</f>
        <v>0</v>
      </c>
      <c r="H167" s="26">
        <f>I167-G167</f>
        <v>0</v>
      </c>
      <c r="I167" s="26">
        <f>E167*F167</f>
        <v>0</v>
      </c>
      <c r="J167" s="72">
        <v>0</v>
      </c>
      <c r="K167" s="72">
        <f>E167*J167</f>
        <v>0</v>
      </c>
      <c r="L167" s="35" t="s">
        <v>1961</v>
      </c>
      <c r="M167" s="35" t="s">
        <v>122</v>
      </c>
      <c r="N167" s="26">
        <f>IF(M167="5",H167,0)</f>
        <v>0</v>
      </c>
      <c r="Y167" s="26">
        <f>IF(AC167=0,I167,0)</f>
        <v>0</v>
      </c>
      <c r="Z167" s="26">
        <f>IF(AC167=15,I167,0)</f>
        <v>0</v>
      </c>
      <c r="AA167" s="26">
        <f>IF(AC167=21,I167,0)</f>
        <v>0</v>
      </c>
      <c r="AC167" s="12">
        <v>21</v>
      </c>
      <c r="AD167" s="12">
        <f>F167*0</f>
        <v>0</v>
      </c>
      <c r="AE167" s="12">
        <f>F167*(1-0)</f>
        <v>0</v>
      </c>
      <c r="AL167" s="12">
        <f>E167*AD167</f>
        <v>0</v>
      </c>
      <c r="AM167" s="12">
        <f>E167*AE167</f>
        <v>0</v>
      </c>
      <c r="AN167" s="38" t="s">
        <v>1986</v>
      </c>
      <c r="AO167" s="38" t="s">
        <v>2025</v>
      </c>
      <c r="AP167" s="32" t="s">
        <v>2005</v>
      </c>
    </row>
    <row r="168" ht="12.75">
      <c r="C168" s="24" t="s">
        <v>1317</v>
      </c>
    </row>
    <row r="169" spans="1:42" ht="12.75">
      <c r="A169" s="50" t="s">
        <v>46</v>
      </c>
      <c r="B169" s="17" t="s">
        <v>754</v>
      </c>
      <c r="C169" s="17" t="s">
        <v>1331</v>
      </c>
      <c r="D169" s="17" t="s">
        <v>1947</v>
      </c>
      <c r="E169" s="26">
        <v>1</v>
      </c>
      <c r="F169" s="26">
        <v>0</v>
      </c>
      <c r="G169" s="26">
        <f>E169*AD169</f>
        <v>0</v>
      </c>
      <c r="H169" s="26">
        <f>I169-G169</f>
        <v>0</v>
      </c>
      <c r="I169" s="26">
        <f>E169*F169</f>
        <v>0</v>
      </c>
      <c r="J169" s="72">
        <v>0</v>
      </c>
      <c r="K169" s="72">
        <f>E169*J169</f>
        <v>0</v>
      </c>
      <c r="L169" s="35" t="s">
        <v>1961</v>
      </c>
      <c r="M169" s="35" t="s">
        <v>122</v>
      </c>
      <c r="N169" s="26">
        <f>IF(M169="5",H169,0)</f>
        <v>0</v>
      </c>
      <c r="Y169" s="26">
        <f>IF(AC169=0,I169,0)</f>
        <v>0</v>
      </c>
      <c r="Z169" s="26">
        <f>IF(AC169=15,I169,0)</f>
        <v>0</v>
      </c>
      <c r="AA169" s="26">
        <f>IF(AC169=21,I169,0)</f>
        <v>0</v>
      </c>
      <c r="AC169" s="12">
        <v>21</v>
      </c>
      <c r="AD169" s="12">
        <f>F169*0</f>
        <v>0</v>
      </c>
      <c r="AE169" s="12">
        <f>F169*(1-0)</f>
        <v>0</v>
      </c>
      <c r="AL169" s="12">
        <f>E169*AD169</f>
        <v>0</v>
      </c>
      <c r="AM169" s="12">
        <f>E169*AE169</f>
        <v>0</v>
      </c>
      <c r="AN169" s="38" t="s">
        <v>1986</v>
      </c>
      <c r="AO169" s="38" t="s">
        <v>2025</v>
      </c>
      <c r="AP169" s="32" t="s">
        <v>2005</v>
      </c>
    </row>
    <row r="170" ht="12.75">
      <c r="C170" s="24" t="s">
        <v>1317</v>
      </c>
    </row>
    <row r="171" spans="1:42" ht="12.75">
      <c r="A171" s="50" t="s">
        <v>198</v>
      </c>
      <c r="B171" s="17" t="s">
        <v>755</v>
      </c>
      <c r="C171" s="17" t="s">
        <v>1332</v>
      </c>
      <c r="D171" s="17" t="s">
        <v>1947</v>
      </c>
      <c r="E171" s="26">
        <v>1</v>
      </c>
      <c r="F171" s="26">
        <v>0</v>
      </c>
      <c r="G171" s="26">
        <f>E171*AD171</f>
        <v>0</v>
      </c>
      <c r="H171" s="26">
        <f>I171-G171</f>
        <v>0</v>
      </c>
      <c r="I171" s="26">
        <f>E171*F171</f>
        <v>0</v>
      </c>
      <c r="J171" s="72">
        <v>0</v>
      </c>
      <c r="K171" s="72">
        <f>E171*J171</f>
        <v>0</v>
      </c>
      <c r="L171" s="35" t="s">
        <v>1961</v>
      </c>
      <c r="M171" s="35" t="s">
        <v>122</v>
      </c>
      <c r="N171" s="26">
        <f>IF(M171="5",H171,0)</f>
        <v>0</v>
      </c>
      <c r="Y171" s="26">
        <f>IF(AC171=0,I171,0)</f>
        <v>0</v>
      </c>
      <c r="Z171" s="26">
        <f>IF(AC171=15,I171,0)</f>
        <v>0</v>
      </c>
      <c r="AA171" s="26">
        <f>IF(AC171=21,I171,0)</f>
        <v>0</v>
      </c>
      <c r="AC171" s="12">
        <v>21</v>
      </c>
      <c r="AD171" s="12">
        <f>F171*0</f>
        <v>0</v>
      </c>
      <c r="AE171" s="12">
        <f>F171*(1-0)</f>
        <v>0</v>
      </c>
      <c r="AL171" s="12">
        <f>E171*AD171</f>
        <v>0</v>
      </c>
      <c r="AM171" s="12">
        <f>E171*AE171</f>
        <v>0</v>
      </c>
      <c r="AN171" s="38" t="s">
        <v>1986</v>
      </c>
      <c r="AO171" s="38" t="s">
        <v>2025</v>
      </c>
      <c r="AP171" s="32" t="s">
        <v>2005</v>
      </c>
    </row>
    <row r="172" ht="12.75">
      <c r="C172" s="24" t="s">
        <v>1317</v>
      </c>
    </row>
    <row r="173" spans="1:42" ht="12.75">
      <c r="A173" s="50" t="s">
        <v>199</v>
      </c>
      <c r="B173" s="17" t="s">
        <v>756</v>
      </c>
      <c r="C173" s="17" t="s">
        <v>1333</v>
      </c>
      <c r="D173" s="17" t="s">
        <v>1947</v>
      </c>
      <c r="E173" s="26">
        <v>1</v>
      </c>
      <c r="F173" s="26">
        <v>0</v>
      </c>
      <c r="G173" s="26">
        <f>E173*AD173</f>
        <v>0</v>
      </c>
      <c r="H173" s="26">
        <f>I173-G173</f>
        <v>0</v>
      </c>
      <c r="I173" s="26">
        <f>E173*F173</f>
        <v>0</v>
      </c>
      <c r="J173" s="72">
        <v>0</v>
      </c>
      <c r="K173" s="72">
        <f>E173*J173</f>
        <v>0</v>
      </c>
      <c r="L173" s="35" t="s">
        <v>1961</v>
      </c>
      <c r="M173" s="35" t="s">
        <v>122</v>
      </c>
      <c r="N173" s="26">
        <f>IF(M173="5",H173,0)</f>
        <v>0</v>
      </c>
      <c r="Y173" s="26">
        <f>IF(AC173=0,I173,0)</f>
        <v>0</v>
      </c>
      <c r="Z173" s="26">
        <f>IF(AC173=15,I173,0)</f>
        <v>0</v>
      </c>
      <c r="AA173" s="26">
        <f>IF(AC173=21,I173,0)</f>
        <v>0</v>
      </c>
      <c r="AC173" s="12">
        <v>21</v>
      </c>
      <c r="AD173" s="12">
        <f>F173*0</f>
        <v>0</v>
      </c>
      <c r="AE173" s="12">
        <f>F173*(1-0)</f>
        <v>0</v>
      </c>
      <c r="AL173" s="12">
        <f>E173*AD173</f>
        <v>0</v>
      </c>
      <c r="AM173" s="12">
        <f>E173*AE173</f>
        <v>0</v>
      </c>
      <c r="AN173" s="38" t="s">
        <v>1986</v>
      </c>
      <c r="AO173" s="38" t="s">
        <v>2025</v>
      </c>
      <c r="AP173" s="32" t="s">
        <v>2005</v>
      </c>
    </row>
    <row r="174" ht="12.75">
      <c r="C174" s="24" t="s">
        <v>1317</v>
      </c>
    </row>
    <row r="175" spans="1:42" ht="12.75">
      <c r="A175" s="50" t="s">
        <v>200</v>
      </c>
      <c r="B175" s="17" t="s">
        <v>757</v>
      </c>
      <c r="C175" s="17" t="s">
        <v>1334</v>
      </c>
      <c r="D175" s="17" t="s">
        <v>1947</v>
      </c>
      <c r="E175" s="26">
        <v>1</v>
      </c>
      <c r="F175" s="26">
        <v>0</v>
      </c>
      <c r="G175" s="26">
        <f>E175*AD175</f>
        <v>0</v>
      </c>
      <c r="H175" s="26">
        <f>I175-G175</f>
        <v>0</v>
      </c>
      <c r="I175" s="26">
        <f>E175*F175</f>
        <v>0</v>
      </c>
      <c r="J175" s="72">
        <v>0</v>
      </c>
      <c r="K175" s="72">
        <f>E175*J175</f>
        <v>0</v>
      </c>
      <c r="L175" s="35" t="s">
        <v>1961</v>
      </c>
      <c r="M175" s="35" t="s">
        <v>122</v>
      </c>
      <c r="N175" s="26">
        <f>IF(M175="5",H175,0)</f>
        <v>0</v>
      </c>
      <c r="Y175" s="26">
        <f>IF(AC175=0,I175,0)</f>
        <v>0</v>
      </c>
      <c r="Z175" s="26">
        <f>IF(AC175=15,I175,0)</f>
        <v>0</v>
      </c>
      <c r="AA175" s="26">
        <f>IF(AC175=21,I175,0)</f>
        <v>0</v>
      </c>
      <c r="AC175" s="12">
        <v>21</v>
      </c>
      <c r="AD175" s="12">
        <f>F175*0</f>
        <v>0</v>
      </c>
      <c r="AE175" s="12">
        <f>F175*(1-0)</f>
        <v>0</v>
      </c>
      <c r="AL175" s="12">
        <f>E175*AD175</f>
        <v>0</v>
      </c>
      <c r="AM175" s="12">
        <f>E175*AE175</f>
        <v>0</v>
      </c>
      <c r="AN175" s="38" t="s">
        <v>1986</v>
      </c>
      <c r="AO175" s="38" t="s">
        <v>2025</v>
      </c>
      <c r="AP175" s="32" t="s">
        <v>2005</v>
      </c>
    </row>
    <row r="176" ht="12.75">
      <c r="C176" s="24" t="s">
        <v>1317</v>
      </c>
    </row>
    <row r="177" spans="1:42" ht="12.75">
      <c r="A177" s="50" t="s">
        <v>201</v>
      </c>
      <c r="B177" s="17" t="s">
        <v>758</v>
      </c>
      <c r="C177" s="17" t="s">
        <v>1335</v>
      </c>
      <c r="D177" s="17" t="s">
        <v>1947</v>
      </c>
      <c r="E177" s="26">
        <v>1</v>
      </c>
      <c r="F177" s="26">
        <v>0</v>
      </c>
      <c r="G177" s="26">
        <f>E177*AD177</f>
        <v>0</v>
      </c>
      <c r="H177" s="26">
        <f>I177-G177</f>
        <v>0</v>
      </c>
      <c r="I177" s="26">
        <f>E177*F177</f>
        <v>0</v>
      </c>
      <c r="J177" s="72">
        <v>0</v>
      </c>
      <c r="K177" s="72">
        <f>E177*J177</f>
        <v>0</v>
      </c>
      <c r="L177" s="35" t="s">
        <v>1961</v>
      </c>
      <c r="M177" s="35" t="s">
        <v>122</v>
      </c>
      <c r="N177" s="26">
        <f>IF(M177="5",H177,0)</f>
        <v>0</v>
      </c>
      <c r="Y177" s="26">
        <f>IF(AC177=0,I177,0)</f>
        <v>0</v>
      </c>
      <c r="Z177" s="26">
        <f>IF(AC177=15,I177,0)</f>
        <v>0</v>
      </c>
      <c r="AA177" s="26">
        <f>IF(AC177=21,I177,0)</f>
        <v>0</v>
      </c>
      <c r="AC177" s="12">
        <v>21</v>
      </c>
      <c r="AD177" s="12">
        <f>F177*0</f>
        <v>0</v>
      </c>
      <c r="AE177" s="12">
        <f>F177*(1-0)</f>
        <v>0</v>
      </c>
      <c r="AL177" s="12">
        <f>E177*AD177</f>
        <v>0</v>
      </c>
      <c r="AM177" s="12">
        <f>E177*AE177</f>
        <v>0</v>
      </c>
      <c r="AN177" s="38" t="s">
        <v>1986</v>
      </c>
      <c r="AO177" s="38" t="s">
        <v>2025</v>
      </c>
      <c r="AP177" s="32" t="s">
        <v>2005</v>
      </c>
    </row>
    <row r="178" ht="12.75">
      <c r="C178" s="24" t="s">
        <v>1317</v>
      </c>
    </row>
    <row r="179" spans="1:36" ht="12.75">
      <c r="A179" s="52"/>
      <c r="B179" s="23" t="s">
        <v>17</v>
      </c>
      <c r="C179" s="121" t="s">
        <v>64</v>
      </c>
      <c r="D179" s="122"/>
      <c r="E179" s="122"/>
      <c r="F179" s="122"/>
      <c r="G179" s="40">
        <f>SUM(G180:G182)</f>
        <v>0</v>
      </c>
      <c r="H179" s="40">
        <f>SUM(H180:H182)</f>
        <v>0</v>
      </c>
      <c r="I179" s="40">
        <f>G179+H179</f>
        <v>0</v>
      </c>
      <c r="J179" s="74"/>
      <c r="K179" s="74">
        <f>SUM(K180:K182)</f>
        <v>6.7562828999999995</v>
      </c>
      <c r="L179" s="32"/>
      <c r="O179" s="40">
        <f>IF(P179="PR",I179,SUM(N180:N182))</f>
        <v>0</v>
      </c>
      <c r="P179" s="32" t="s">
        <v>1967</v>
      </c>
      <c r="Q179" s="40">
        <f>IF(P179="HS",G179,0)</f>
        <v>0</v>
      </c>
      <c r="R179" s="40">
        <f>IF(P179="HS",H179-O179,0)</f>
        <v>0</v>
      </c>
      <c r="S179" s="40">
        <f>IF(P179="PS",G179,0)</f>
        <v>0</v>
      </c>
      <c r="T179" s="40">
        <f>IF(P179="PS",H179-O179,0)</f>
        <v>0</v>
      </c>
      <c r="U179" s="40">
        <f>IF(P179="MP",G179,0)</f>
        <v>0</v>
      </c>
      <c r="V179" s="40">
        <f>IF(P179="MP",H179-O179,0)</f>
        <v>0</v>
      </c>
      <c r="W179" s="40">
        <f>IF(P179="OM",G179,0)</f>
        <v>0</v>
      </c>
      <c r="X179" s="32"/>
      <c r="AH179" s="40">
        <f>SUM(Y180:Y182)</f>
        <v>0</v>
      </c>
      <c r="AI179" s="40">
        <f>SUM(Z180:Z182)</f>
        <v>0</v>
      </c>
      <c r="AJ179" s="40">
        <f>SUM(AA180:AA182)</f>
        <v>0</v>
      </c>
    </row>
    <row r="180" spans="1:42" ht="12.75">
      <c r="A180" s="50" t="s">
        <v>202</v>
      </c>
      <c r="B180" s="17" t="s">
        <v>759</v>
      </c>
      <c r="C180" s="17" t="s">
        <v>1336</v>
      </c>
      <c r="D180" s="17" t="s">
        <v>1942</v>
      </c>
      <c r="E180" s="26">
        <v>145</v>
      </c>
      <c r="F180" s="26">
        <v>0</v>
      </c>
      <c r="G180" s="26">
        <f>E180*AD180</f>
        <v>0</v>
      </c>
      <c r="H180" s="26">
        <f>I180-G180</f>
        <v>0</v>
      </c>
      <c r="I180" s="26">
        <f>E180*F180</f>
        <v>0</v>
      </c>
      <c r="J180" s="72">
        <v>0.045</v>
      </c>
      <c r="K180" s="72">
        <f>E180*J180</f>
        <v>6.5249999999999995</v>
      </c>
      <c r="L180" s="35" t="s">
        <v>1961</v>
      </c>
      <c r="M180" s="35" t="s">
        <v>122</v>
      </c>
      <c r="N180" s="26">
        <f>IF(M180="5",H180,0)</f>
        <v>0</v>
      </c>
      <c r="Y180" s="26">
        <f>IF(AC180=0,I180,0)</f>
        <v>0</v>
      </c>
      <c r="Z180" s="26">
        <f>IF(AC180=15,I180,0)</f>
        <v>0</v>
      </c>
      <c r="AA180" s="26">
        <f>IF(AC180=21,I180,0)</f>
        <v>0</v>
      </c>
      <c r="AC180" s="12">
        <v>21</v>
      </c>
      <c r="AD180" s="12">
        <f>F180*0.5</f>
        <v>0</v>
      </c>
      <c r="AE180" s="12">
        <f>F180*(1-0.5)</f>
        <v>0</v>
      </c>
      <c r="AL180" s="12">
        <f>E180*AD180</f>
        <v>0</v>
      </c>
      <c r="AM180" s="12">
        <f>E180*AE180</f>
        <v>0</v>
      </c>
      <c r="AN180" s="38" t="s">
        <v>1987</v>
      </c>
      <c r="AO180" s="38" t="s">
        <v>2025</v>
      </c>
      <c r="AP180" s="32" t="s">
        <v>2035</v>
      </c>
    </row>
    <row r="181" ht="12.75">
      <c r="C181" s="24" t="s">
        <v>1337</v>
      </c>
    </row>
    <row r="182" spans="1:42" ht="12.75">
      <c r="A182" s="50" t="s">
        <v>203</v>
      </c>
      <c r="B182" s="17" t="s">
        <v>760</v>
      </c>
      <c r="C182" s="17" t="s">
        <v>1338</v>
      </c>
      <c r="D182" s="17" t="s">
        <v>1940</v>
      </c>
      <c r="E182" s="26">
        <v>0.09</v>
      </c>
      <c r="F182" s="26">
        <v>0</v>
      </c>
      <c r="G182" s="26">
        <f>E182*AD182</f>
        <v>0</v>
      </c>
      <c r="H182" s="26">
        <f>I182-G182</f>
        <v>0</v>
      </c>
      <c r="I182" s="26">
        <f>E182*F182</f>
        <v>0</v>
      </c>
      <c r="J182" s="72">
        <v>2.56981</v>
      </c>
      <c r="K182" s="72">
        <f>E182*J182</f>
        <v>0.23128289999999999</v>
      </c>
      <c r="L182" s="35" t="s">
        <v>1959</v>
      </c>
      <c r="M182" s="35" t="s">
        <v>122</v>
      </c>
      <c r="N182" s="26">
        <f>IF(M182="5",H182,0)</f>
        <v>0</v>
      </c>
      <c r="Y182" s="26">
        <f>IF(AC182=0,I182,0)</f>
        <v>0</v>
      </c>
      <c r="Z182" s="26">
        <f>IF(AC182=15,I182,0)</f>
        <v>0</v>
      </c>
      <c r="AA182" s="26">
        <f>IF(AC182=21,I182,0)</f>
        <v>0</v>
      </c>
      <c r="AC182" s="12">
        <v>21</v>
      </c>
      <c r="AD182" s="12">
        <f>F182*0.730253521126761</f>
        <v>0</v>
      </c>
      <c r="AE182" s="12">
        <f>F182*(1-0.730253521126761)</f>
        <v>0</v>
      </c>
      <c r="AL182" s="12">
        <f>E182*AD182</f>
        <v>0</v>
      </c>
      <c r="AM182" s="12">
        <f>E182*AE182</f>
        <v>0</v>
      </c>
      <c r="AN182" s="38" t="s">
        <v>1987</v>
      </c>
      <c r="AO182" s="38" t="s">
        <v>2025</v>
      </c>
      <c r="AP182" s="32" t="s">
        <v>2042</v>
      </c>
    </row>
    <row r="183" ht="12.75">
      <c r="C183" s="24" t="s">
        <v>1339</v>
      </c>
    </row>
    <row r="184" spans="1:36" ht="12.75">
      <c r="A184" s="52"/>
      <c r="B184" s="23" t="s">
        <v>18</v>
      </c>
      <c r="C184" s="121" t="s">
        <v>65</v>
      </c>
      <c r="D184" s="122"/>
      <c r="E184" s="122"/>
      <c r="F184" s="122"/>
      <c r="G184" s="40">
        <f>SUM(G185:G223)</f>
        <v>0</v>
      </c>
      <c r="H184" s="40">
        <f>SUM(H185:H223)</f>
        <v>0</v>
      </c>
      <c r="I184" s="40">
        <f>G184+H184</f>
        <v>0</v>
      </c>
      <c r="J184" s="74"/>
      <c r="K184" s="74">
        <f>SUM(K185:K223)</f>
        <v>76.77923119999998</v>
      </c>
      <c r="L184" s="32"/>
      <c r="O184" s="40">
        <f>IF(P184="PR",I184,SUM(N185:N223))</f>
        <v>0</v>
      </c>
      <c r="P184" s="32" t="s">
        <v>1967</v>
      </c>
      <c r="Q184" s="40">
        <f>IF(P184="HS",G184,0)</f>
        <v>0</v>
      </c>
      <c r="R184" s="40">
        <f>IF(P184="HS",H184-O184,0)</f>
        <v>0</v>
      </c>
      <c r="S184" s="40">
        <f>IF(P184="PS",G184,0)</f>
        <v>0</v>
      </c>
      <c r="T184" s="40">
        <f>IF(P184="PS",H184-O184,0)</f>
        <v>0</v>
      </c>
      <c r="U184" s="40">
        <f>IF(P184="MP",G184,0)</f>
        <v>0</v>
      </c>
      <c r="V184" s="40">
        <f>IF(P184="MP",H184-O184,0)</f>
        <v>0</v>
      </c>
      <c r="W184" s="40">
        <f>IF(P184="OM",G184,0)</f>
        <v>0</v>
      </c>
      <c r="X184" s="32"/>
      <c r="AH184" s="40">
        <f>SUM(Y185:Y223)</f>
        <v>0</v>
      </c>
      <c r="AI184" s="40">
        <f>SUM(Z185:Z223)</f>
        <v>0</v>
      </c>
      <c r="AJ184" s="40">
        <f>SUM(AA185:AA223)</f>
        <v>0</v>
      </c>
    </row>
    <row r="185" spans="1:42" ht="12.75">
      <c r="A185" s="53" t="s">
        <v>204</v>
      </c>
      <c r="B185" s="18" t="s">
        <v>761</v>
      </c>
      <c r="C185" s="18" t="s">
        <v>1340</v>
      </c>
      <c r="D185" s="18" t="s">
        <v>1945</v>
      </c>
      <c r="E185" s="27">
        <v>0.37</v>
      </c>
      <c r="F185" s="27">
        <v>0</v>
      </c>
      <c r="G185" s="27">
        <f aca="true" t="shared" si="32" ref="G185:G192">E185*AD185</f>
        <v>0</v>
      </c>
      <c r="H185" s="27">
        <f aca="true" t="shared" si="33" ref="H185:H192">I185-G185</f>
        <v>0</v>
      </c>
      <c r="I185" s="27">
        <f aca="true" t="shared" si="34" ref="I185:I192">E185*F185</f>
        <v>0</v>
      </c>
      <c r="J185" s="76">
        <v>1</v>
      </c>
      <c r="K185" s="76">
        <f aca="true" t="shared" si="35" ref="K185:K192">E185*J185</f>
        <v>0.37</v>
      </c>
      <c r="L185" s="36" t="s">
        <v>1959</v>
      </c>
      <c r="M185" s="36" t="s">
        <v>7</v>
      </c>
      <c r="N185" s="27">
        <f aca="true" t="shared" si="36" ref="N185:N192">IF(M185="5",H185,0)</f>
        <v>0</v>
      </c>
      <c r="Y185" s="27">
        <f aca="true" t="shared" si="37" ref="Y185:Y192">IF(AC185=0,I185,0)</f>
        <v>0</v>
      </c>
      <c r="Z185" s="27">
        <f aca="true" t="shared" si="38" ref="Z185:Z192">IF(AC185=15,I185,0)</f>
        <v>0</v>
      </c>
      <c r="AA185" s="27">
        <f aca="true" t="shared" si="39" ref="AA185:AA192">IF(AC185=21,I185,0)</f>
        <v>0</v>
      </c>
      <c r="AC185" s="12">
        <v>21</v>
      </c>
      <c r="AD185" s="12">
        <f aca="true" t="shared" si="40" ref="AD185:AD191">F185*1</f>
        <v>0</v>
      </c>
      <c r="AE185" s="12">
        <f aca="true" t="shared" si="41" ref="AE185:AE191">F185*(1-1)</f>
        <v>0</v>
      </c>
      <c r="AL185" s="12">
        <f aca="true" t="shared" si="42" ref="AL185:AL192">E185*AD185</f>
        <v>0</v>
      </c>
      <c r="AM185" s="12">
        <f aca="true" t="shared" si="43" ref="AM185:AM192">E185*AE185</f>
        <v>0</v>
      </c>
      <c r="AN185" s="38" t="s">
        <v>1988</v>
      </c>
      <c r="AO185" s="38" t="s">
        <v>2026</v>
      </c>
      <c r="AP185" s="32" t="s">
        <v>2040</v>
      </c>
    </row>
    <row r="186" spans="1:42" ht="12.75">
      <c r="A186" s="53" t="s">
        <v>205</v>
      </c>
      <c r="B186" s="18" t="s">
        <v>762</v>
      </c>
      <c r="C186" s="18" t="s">
        <v>1341</v>
      </c>
      <c r="D186" s="18" t="s">
        <v>1945</v>
      </c>
      <c r="E186" s="27">
        <v>0.29</v>
      </c>
      <c r="F186" s="27">
        <v>0</v>
      </c>
      <c r="G186" s="27">
        <f t="shared" si="32"/>
        <v>0</v>
      </c>
      <c r="H186" s="27">
        <f t="shared" si="33"/>
        <v>0</v>
      </c>
      <c r="I186" s="27">
        <f t="shared" si="34"/>
        <v>0</v>
      </c>
      <c r="J186" s="76">
        <v>1</v>
      </c>
      <c r="K186" s="76">
        <f t="shared" si="35"/>
        <v>0.29</v>
      </c>
      <c r="L186" s="36" t="s">
        <v>1959</v>
      </c>
      <c r="M186" s="36" t="s">
        <v>7</v>
      </c>
      <c r="N186" s="27">
        <f t="shared" si="36"/>
        <v>0</v>
      </c>
      <c r="Y186" s="27">
        <f t="shared" si="37"/>
        <v>0</v>
      </c>
      <c r="Z186" s="27">
        <f t="shared" si="38"/>
        <v>0</v>
      </c>
      <c r="AA186" s="27">
        <f t="shared" si="39"/>
        <v>0</v>
      </c>
      <c r="AC186" s="12">
        <v>21</v>
      </c>
      <c r="AD186" s="12">
        <f t="shared" si="40"/>
        <v>0</v>
      </c>
      <c r="AE186" s="12">
        <f t="shared" si="41"/>
        <v>0</v>
      </c>
      <c r="AL186" s="12">
        <f t="shared" si="42"/>
        <v>0</v>
      </c>
      <c r="AM186" s="12">
        <f t="shared" si="43"/>
        <v>0</v>
      </c>
      <c r="AN186" s="38" t="s">
        <v>1988</v>
      </c>
      <c r="AO186" s="38" t="s">
        <v>2026</v>
      </c>
      <c r="AP186" s="32" t="s">
        <v>2040</v>
      </c>
    </row>
    <row r="187" spans="1:42" ht="12.75">
      <c r="A187" s="53" t="s">
        <v>206</v>
      </c>
      <c r="B187" s="18" t="s">
        <v>693</v>
      </c>
      <c r="C187" s="18" t="s">
        <v>1342</v>
      </c>
      <c r="D187" s="18" t="s">
        <v>1945</v>
      </c>
      <c r="E187" s="27">
        <v>2.38</v>
      </c>
      <c r="F187" s="27">
        <v>0</v>
      </c>
      <c r="G187" s="27">
        <f t="shared" si="32"/>
        <v>0</v>
      </c>
      <c r="H187" s="27">
        <f t="shared" si="33"/>
        <v>0</v>
      </c>
      <c r="I187" s="27">
        <f t="shared" si="34"/>
        <v>0</v>
      </c>
      <c r="J187" s="76">
        <v>1</v>
      </c>
      <c r="K187" s="76">
        <f t="shared" si="35"/>
        <v>2.38</v>
      </c>
      <c r="L187" s="36" t="s">
        <v>1959</v>
      </c>
      <c r="M187" s="36" t="s">
        <v>7</v>
      </c>
      <c r="N187" s="27">
        <f t="shared" si="36"/>
        <v>0</v>
      </c>
      <c r="Y187" s="27">
        <f t="shared" si="37"/>
        <v>0</v>
      </c>
      <c r="Z187" s="27">
        <f t="shared" si="38"/>
        <v>0</v>
      </c>
      <c r="AA187" s="27">
        <f t="shared" si="39"/>
        <v>0</v>
      </c>
      <c r="AC187" s="12">
        <v>21</v>
      </c>
      <c r="AD187" s="12">
        <f t="shared" si="40"/>
        <v>0</v>
      </c>
      <c r="AE187" s="12">
        <f t="shared" si="41"/>
        <v>0</v>
      </c>
      <c r="AL187" s="12">
        <f t="shared" si="42"/>
        <v>0</v>
      </c>
      <c r="AM187" s="12">
        <f t="shared" si="43"/>
        <v>0</v>
      </c>
      <c r="AN187" s="38" t="s">
        <v>1988</v>
      </c>
      <c r="AO187" s="38" t="s">
        <v>2026</v>
      </c>
      <c r="AP187" s="32" t="s">
        <v>2040</v>
      </c>
    </row>
    <row r="188" spans="1:42" ht="12.75">
      <c r="A188" s="53" t="s">
        <v>207</v>
      </c>
      <c r="B188" s="18" t="s">
        <v>763</v>
      </c>
      <c r="C188" s="18" t="s">
        <v>1343</v>
      </c>
      <c r="D188" s="18" t="s">
        <v>1945</v>
      </c>
      <c r="E188" s="27">
        <v>0.16</v>
      </c>
      <c r="F188" s="27">
        <v>0</v>
      </c>
      <c r="G188" s="27">
        <f t="shared" si="32"/>
        <v>0</v>
      </c>
      <c r="H188" s="27">
        <f t="shared" si="33"/>
        <v>0</v>
      </c>
      <c r="I188" s="27">
        <f t="shared" si="34"/>
        <v>0</v>
      </c>
      <c r="J188" s="76">
        <v>1</v>
      </c>
      <c r="K188" s="76">
        <f t="shared" si="35"/>
        <v>0.16</v>
      </c>
      <c r="L188" s="36" t="s">
        <v>1959</v>
      </c>
      <c r="M188" s="36" t="s">
        <v>7</v>
      </c>
      <c r="N188" s="27">
        <f t="shared" si="36"/>
        <v>0</v>
      </c>
      <c r="Y188" s="27">
        <f t="shared" si="37"/>
        <v>0</v>
      </c>
      <c r="Z188" s="27">
        <f t="shared" si="38"/>
        <v>0</v>
      </c>
      <c r="AA188" s="27">
        <f t="shared" si="39"/>
        <v>0</v>
      </c>
      <c r="AC188" s="12">
        <v>21</v>
      </c>
      <c r="AD188" s="12">
        <f t="shared" si="40"/>
        <v>0</v>
      </c>
      <c r="AE188" s="12">
        <f t="shared" si="41"/>
        <v>0</v>
      </c>
      <c r="AL188" s="12">
        <f t="shared" si="42"/>
        <v>0</v>
      </c>
      <c r="AM188" s="12">
        <f t="shared" si="43"/>
        <v>0</v>
      </c>
      <c r="AN188" s="38" t="s">
        <v>1988</v>
      </c>
      <c r="AO188" s="38" t="s">
        <v>2026</v>
      </c>
      <c r="AP188" s="32" t="s">
        <v>2040</v>
      </c>
    </row>
    <row r="189" spans="1:42" ht="12.75">
      <c r="A189" s="53" t="s">
        <v>208</v>
      </c>
      <c r="B189" s="18" t="s">
        <v>764</v>
      </c>
      <c r="C189" s="18" t="s">
        <v>1344</v>
      </c>
      <c r="D189" s="18" t="s">
        <v>1945</v>
      </c>
      <c r="E189" s="27">
        <v>2.07</v>
      </c>
      <c r="F189" s="27">
        <v>0</v>
      </c>
      <c r="G189" s="27">
        <f t="shared" si="32"/>
        <v>0</v>
      </c>
      <c r="H189" s="27">
        <f t="shared" si="33"/>
        <v>0</v>
      </c>
      <c r="I189" s="27">
        <f t="shared" si="34"/>
        <v>0</v>
      </c>
      <c r="J189" s="76">
        <v>1</v>
      </c>
      <c r="K189" s="76">
        <f t="shared" si="35"/>
        <v>2.07</v>
      </c>
      <c r="L189" s="36" t="s">
        <v>1959</v>
      </c>
      <c r="M189" s="36" t="s">
        <v>7</v>
      </c>
      <c r="N189" s="27">
        <f t="shared" si="36"/>
        <v>0</v>
      </c>
      <c r="Y189" s="27">
        <f t="shared" si="37"/>
        <v>0</v>
      </c>
      <c r="Z189" s="27">
        <f t="shared" si="38"/>
        <v>0</v>
      </c>
      <c r="AA189" s="27">
        <f t="shared" si="39"/>
        <v>0</v>
      </c>
      <c r="AC189" s="12">
        <v>21</v>
      </c>
      <c r="AD189" s="12">
        <f t="shared" si="40"/>
        <v>0</v>
      </c>
      <c r="AE189" s="12">
        <f t="shared" si="41"/>
        <v>0</v>
      </c>
      <c r="AL189" s="12">
        <f t="shared" si="42"/>
        <v>0</v>
      </c>
      <c r="AM189" s="12">
        <f t="shared" si="43"/>
        <v>0</v>
      </c>
      <c r="AN189" s="38" t="s">
        <v>1988</v>
      </c>
      <c r="AO189" s="38" t="s">
        <v>2026</v>
      </c>
      <c r="AP189" s="32" t="s">
        <v>2040</v>
      </c>
    </row>
    <row r="190" spans="1:42" ht="12.75">
      <c r="A190" s="53" t="s">
        <v>209</v>
      </c>
      <c r="B190" s="18" t="s">
        <v>694</v>
      </c>
      <c r="C190" s="18" t="s">
        <v>1345</v>
      </c>
      <c r="D190" s="18" t="s">
        <v>1945</v>
      </c>
      <c r="E190" s="27">
        <v>1.54</v>
      </c>
      <c r="F190" s="27">
        <v>0</v>
      </c>
      <c r="G190" s="27">
        <f t="shared" si="32"/>
        <v>0</v>
      </c>
      <c r="H190" s="27">
        <f t="shared" si="33"/>
        <v>0</v>
      </c>
      <c r="I190" s="27">
        <f t="shared" si="34"/>
        <v>0</v>
      </c>
      <c r="J190" s="76">
        <v>1</v>
      </c>
      <c r="K190" s="76">
        <f t="shared" si="35"/>
        <v>1.54</v>
      </c>
      <c r="L190" s="36" t="s">
        <v>1959</v>
      </c>
      <c r="M190" s="36" t="s">
        <v>7</v>
      </c>
      <c r="N190" s="27">
        <f t="shared" si="36"/>
        <v>0</v>
      </c>
      <c r="Y190" s="27">
        <f t="shared" si="37"/>
        <v>0</v>
      </c>
      <c r="Z190" s="27">
        <f t="shared" si="38"/>
        <v>0</v>
      </c>
      <c r="AA190" s="27">
        <f t="shared" si="39"/>
        <v>0</v>
      </c>
      <c r="AC190" s="12">
        <v>21</v>
      </c>
      <c r="AD190" s="12">
        <f t="shared" si="40"/>
        <v>0</v>
      </c>
      <c r="AE190" s="12">
        <f t="shared" si="41"/>
        <v>0</v>
      </c>
      <c r="AL190" s="12">
        <f t="shared" si="42"/>
        <v>0</v>
      </c>
      <c r="AM190" s="12">
        <f t="shared" si="43"/>
        <v>0</v>
      </c>
      <c r="AN190" s="38" t="s">
        <v>1988</v>
      </c>
      <c r="AO190" s="38" t="s">
        <v>2026</v>
      </c>
      <c r="AP190" s="32" t="s">
        <v>2040</v>
      </c>
    </row>
    <row r="191" spans="1:42" ht="12.75">
      <c r="A191" s="53" t="s">
        <v>210</v>
      </c>
      <c r="B191" s="18" t="s">
        <v>765</v>
      </c>
      <c r="C191" s="18" t="s">
        <v>1346</v>
      </c>
      <c r="D191" s="18" t="s">
        <v>1945</v>
      </c>
      <c r="E191" s="27">
        <v>0.54</v>
      </c>
      <c r="F191" s="27">
        <v>0</v>
      </c>
      <c r="G191" s="27">
        <f t="shared" si="32"/>
        <v>0</v>
      </c>
      <c r="H191" s="27">
        <f t="shared" si="33"/>
        <v>0</v>
      </c>
      <c r="I191" s="27">
        <f t="shared" si="34"/>
        <v>0</v>
      </c>
      <c r="J191" s="76">
        <v>1</v>
      </c>
      <c r="K191" s="76">
        <f t="shared" si="35"/>
        <v>0.54</v>
      </c>
      <c r="L191" s="36" t="s">
        <v>1959</v>
      </c>
      <c r="M191" s="36" t="s">
        <v>7</v>
      </c>
      <c r="N191" s="27">
        <f t="shared" si="36"/>
        <v>0</v>
      </c>
      <c r="Y191" s="27">
        <f t="shared" si="37"/>
        <v>0</v>
      </c>
      <c r="Z191" s="27">
        <f t="shared" si="38"/>
        <v>0</v>
      </c>
      <c r="AA191" s="27">
        <f t="shared" si="39"/>
        <v>0</v>
      </c>
      <c r="AC191" s="12">
        <v>21</v>
      </c>
      <c r="AD191" s="12">
        <f t="shared" si="40"/>
        <v>0</v>
      </c>
      <c r="AE191" s="12">
        <f t="shared" si="41"/>
        <v>0</v>
      </c>
      <c r="AL191" s="12">
        <f t="shared" si="42"/>
        <v>0</v>
      </c>
      <c r="AM191" s="12">
        <f t="shared" si="43"/>
        <v>0</v>
      </c>
      <c r="AN191" s="38" t="s">
        <v>1988</v>
      </c>
      <c r="AO191" s="38" t="s">
        <v>2026</v>
      </c>
      <c r="AP191" s="32" t="s">
        <v>2040</v>
      </c>
    </row>
    <row r="192" spans="1:42" ht="12.75">
      <c r="A192" s="50" t="s">
        <v>211</v>
      </c>
      <c r="B192" s="17" t="s">
        <v>766</v>
      </c>
      <c r="C192" s="17" t="s">
        <v>1347</v>
      </c>
      <c r="D192" s="17" t="s">
        <v>1940</v>
      </c>
      <c r="E192" s="26">
        <v>3.28</v>
      </c>
      <c r="F192" s="26">
        <v>0</v>
      </c>
      <c r="G192" s="26">
        <f t="shared" si="32"/>
        <v>0</v>
      </c>
      <c r="H192" s="26">
        <f t="shared" si="33"/>
        <v>0</v>
      </c>
      <c r="I192" s="26">
        <f t="shared" si="34"/>
        <v>0</v>
      </c>
      <c r="J192" s="72">
        <v>2.44644</v>
      </c>
      <c r="K192" s="72">
        <f t="shared" si="35"/>
        <v>8.0243232</v>
      </c>
      <c r="L192" s="35" t="s">
        <v>1959</v>
      </c>
      <c r="M192" s="35" t="s">
        <v>122</v>
      </c>
      <c r="N192" s="26">
        <f t="shared" si="36"/>
        <v>0</v>
      </c>
      <c r="Y192" s="26">
        <f t="shared" si="37"/>
        <v>0</v>
      </c>
      <c r="Z192" s="26">
        <f t="shared" si="38"/>
        <v>0</v>
      </c>
      <c r="AA192" s="26">
        <f t="shared" si="39"/>
        <v>0</v>
      </c>
      <c r="AC192" s="12">
        <v>21</v>
      </c>
      <c r="AD192" s="12">
        <f>F192*0.863917402676876</f>
        <v>0</v>
      </c>
      <c r="AE192" s="12">
        <f>F192*(1-0.863917402676876)</f>
        <v>0</v>
      </c>
      <c r="AL192" s="12">
        <f t="shared" si="42"/>
        <v>0</v>
      </c>
      <c r="AM192" s="12">
        <f t="shared" si="43"/>
        <v>0</v>
      </c>
      <c r="AN192" s="38" t="s">
        <v>1988</v>
      </c>
      <c r="AO192" s="38" t="s">
        <v>2026</v>
      </c>
      <c r="AP192" s="32" t="s">
        <v>2043</v>
      </c>
    </row>
    <row r="193" ht="12.75">
      <c r="C193" s="24" t="s">
        <v>1348</v>
      </c>
    </row>
    <row r="194" spans="1:42" ht="12.75">
      <c r="A194" s="50" t="s">
        <v>212</v>
      </c>
      <c r="B194" s="17" t="s">
        <v>766</v>
      </c>
      <c r="C194" s="17" t="s">
        <v>1349</v>
      </c>
      <c r="D194" s="17" t="s">
        <v>1940</v>
      </c>
      <c r="E194" s="26">
        <v>4.22</v>
      </c>
      <c r="F194" s="26">
        <v>0</v>
      </c>
      <c r="G194" s="26">
        <f>E194*AD194</f>
        <v>0</v>
      </c>
      <c r="H194" s="26">
        <f>I194-G194</f>
        <v>0</v>
      </c>
      <c r="I194" s="26">
        <f>E194*F194</f>
        <v>0</v>
      </c>
      <c r="J194" s="72">
        <v>2.44644</v>
      </c>
      <c r="K194" s="72">
        <f>E194*J194</f>
        <v>10.323976799999999</v>
      </c>
      <c r="L194" s="35" t="s">
        <v>1959</v>
      </c>
      <c r="M194" s="35" t="s">
        <v>122</v>
      </c>
      <c r="N194" s="26">
        <f>IF(M194="5",H194,0)</f>
        <v>0</v>
      </c>
      <c r="Y194" s="26">
        <f>IF(AC194=0,I194,0)</f>
        <v>0</v>
      </c>
      <c r="Z194" s="26">
        <f>IF(AC194=15,I194,0)</f>
        <v>0</v>
      </c>
      <c r="AA194" s="26">
        <f>IF(AC194=21,I194,0)</f>
        <v>0</v>
      </c>
      <c r="AC194" s="12">
        <v>21</v>
      </c>
      <c r="AD194" s="12">
        <f>F194*0.863917402676876</f>
        <v>0</v>
      </c>
      <c r="AE194" s="12">
        <f>F194*(1-0.863917402676876)</f>
        <v>0</v>
      </c>
      <c r="AL194" s="12">
        <f>E194*AD194</f>
        <v>0</v>
      </c>
      <c r="AM194" s="12">
        <f>E194*AE194</f>
        <v>0</v>
      </c>
      <c r="AN194" s="38" t="s">
        <v>1988</v>
      </c>
      <c r="AO194" s="38" t="s">
        <v>2026</v>
      </c>
      <c r="AP194" s="32" t="s">
        <v>2043</v>
      </c>
    </row>
    <row r="195" spans="1:42" ht="12.75">
      <c r="A195" s="50" t="s">
        <v>213</v>
      </c>
      <c r="B195" s="17" t="s">
        <v>767</v>
      </c>
      <c r="C195" s="17" t="s">
        <v>1350</v>
      </c>
      <c r="D195" s="17" t="s">
        <v>1941</v>
      </c>
      <c r="E195" s="26">
        <v>33.03</v>
      </c>
      <c r="F195" s="26">
        <v>0</v>
      </c>
      <c r="G195" s="26">
        <f>E195*AD195</f>
        <v>0</v>
      </c>
      <c r="H195" s="26">
        <f>I195-G195</f>
        <v>0</v>
      </c>
      <c r="I195" s="26">
        <f>E195*F195</f>
        <v>0</v>
      </c>
      <c r="J195" s="72">
        <v>0.19581</v>
      </c>
      <c r="K195" s="72">
        <f>E195*J195</f>
        <v>6.4676043000000005</v>
      </c>
      <c r="L195" s="35" t="s">
        <v>1959</v>
      </c>
      <c r="M195" s="35" t="s">
        <v>122</v>
      </c>
      <c r="N195" s="26">
        <f>IF(M195="5",H195,0)</f>
        <v>0</v>
      </c>
      <c r="Y195" s="26">
        <f>IF(AC195=0,I195,0)</f>
        <v>0</v>
      </c>
      <c r="Z195" s="26">
        <f>IF(AC195=15,I195,0)</f>
        <v>0</v>
      </c>
      <c r="AA195" s="26">
        <f>IF(AC195=21,I195,0)</f>
        <v>0</v>
      </c>
      <c r="AC195" s="12">
        <v>21</v>
      </c>
      <c r="AD195" s="12">
        <f>F195*0.246032419587541</f>
        <v>0</v>
      </c>
      <c r="AE195" s="12">
        <f>F195*(1-0.246032419587541)</f>
        <v>0</v>
      </c>
      <c r="AL195" s="12">
        <f>E195*AD195</f>
        <v>0</v>
      </c>
      <c r="AM195" s="12">
        <f>E195*AE195</f>
        <v>0</v>
      </c>
      <c r="AN195" s="38" t="s">
        <v>1988</v>
      </c>
      <c r="AO195" s="38" t="s">
        <v>2026</v>
      </c>
      <c r="AP195" s="32" t="s">
        <v>2043</v>
      </c>
    </row>
    <row r="196" ht="12.75">
      <c r="C196" s="24" t="s">
        <v>1351</v>
      </c>
    </row>
    <row r="197" spans="1:42" ht="12.75">
      <c r="A197" s="50" t="s">
        <v>214</v>
      </c>
      <c r="B197" s="17" t="s">
        <v>768</v>
      </c>
      <c r="C197" s="17" t="s">
        <v>1352</v>
      </c>
      <c r="D197" s="17" t="s">
        <v>1941</v>
      </c>
      <c r="E197" s="26">
        <v>33.03</v>
      </c>
      <c r="F197" s="26">
        <v>0</v>
      </c>
      <c r="G197" s="26">
        <f>E197*AD197</f>
        <v>0</v>
      </c>
      <c r="H197" s="26">
        <f>I197-G197</f>
        <v>0</v>
      </c>
      <c r="I197" s="26">
        <f>E197*F197</f>
        <v>0</v>
      </c>
      <c r="J197" s="72">
        <v>0</v>
      </c>
      <c r="K197" s="72">
        <f>E197*J197</f>
        <v>0</v>
      </c>
      <c r="L197" s="35" t="s">
        <v>1959</v>
      </c>
      <c r="M197" s="35" t="s">
        <v>122</v>
      </c>
      <c r="N197" s="26">
        <f>IF(M197="5",H197,0)</f>
        <v>0</v>
      </c>
      <c r="Y197" s="26">
        <f>IF(AC197=0,I197,0)</f>
        <v>0</v>
      </c>
      <c r="Z197" s="26">
        <f>IF(AC197=15,I197,0)</f>
        <v>0</v>
      </c>
      <c r="AA197" s="26">
        <f>IF(AC197=21,I197,0)</f>
        <v>0</v>
      </c>
      <c r="AC197" s="12">
        <v>21</v>
      </c>
      <c r="AD197" s="12">
        <f>F197*0</f>
        <v>0</v>
      </c>
      <c r="AE197" s="12">
        <f>F197*(1-0)</f>
        <v>0</v>
      </c>
      <c r="AL197" s="12">
        <f>E197*AD197</f>
        <v>0</v>
      </c>
      <c r="AM197" s="12">
        <f>E197*AE197</f>
        <v>0</v>
      </c>
      <c r="AN197" s="38" t="s">
        <v>1988</v>
      </c>
      <c r="AO197" s="38" t="s">
        <v>2026</v>
      </c>
      <c r="AP197" s="32" t="s">
        <v>2043</v>
      </c>
    </row>
    <row r="198" spans="1:42" ht="12.75">
      <c r="A198" s="50" t="s">
        <v>215</v>
      </c>
      <c r="B198" s="17" t="s">
        <v>769</v>
      </c>
      <c r="C198" s="17" t="s">
        <v>1353</v>
      </c>
      <c r="D198" s="17" t="s">
        <v>1941</v>
      </c>
      <c r="E198" s="26">
        <v>51.3</v>
      </c>
      <c r="F198" s="26">
        <v>0</v>
      </c>
      <c r="G198" s="26">
        <f>E198*AD198</f>
        <v>0</v>
      </c>
      <c r="H198" s="26">
        <f>I198-G198</f>
        <v>0</v>
      </c>
      <c r="I198" s="26">
        <f>E198*F198</f>
        <v>0</v>
      </c>
      <c r="J198" s="72">
        <v>0.01037</v>
      </c>
      <c r="K198" s="72">
        <f>E198*J198</f>
        <v>0.531981</v>
      </c>
      <c r="L198" s="35" t="s">
        <v>1959</v>
      </c>
      <c r="M198" s="35" t="s">
        <v>122</v>
      </c>
      <c r="N198" s="26">
        <f>IF(M198="5",H198,0)</f>
        <v>0</v>
      </c>
      <c r="Y198" s="26">
        <f>IF(AC198=0,I198,0)</f>
        <v>0</v>
      </c>
      <c r="Z198" s="26">
        <f>IF(AC198=15,I198,0)</f>
        <v>0</v>
      </c>
      <c r="AA198" s="26">
        <f>IF(AC198=21,I198,0)</f>
        <v>0</v>
      </c>
      <c r="AC198" s="12">
        <v>21</v>
      </c>
      <c r="AD198" s="12">
        <f>F198*0.888641221374046</f>
        <v>0</v>
      </c>
      <c r="AE198" s="12">
        <f>F198*(1-0.888641221374046)</f>
        <v>0</v>
      </c>
      <c r="AL198" s="12">
        <f>E198*AD198</f>
        <v>0</v>
      </c>
      <c r="AM198" s="12">
        <f>E198*AE198</f>
        <v>0</v>
      </c>
      <c r="AN198" s="38" t="s">
        <v>1988</v>
      </c>
      <c r="AO198" s="38" t="s">
        <v>2026</v>
      </c>
      <c r="AP198" s="32" t="s">
        <v>2043</v>
      </c>
    </row>
    <row r="199" ht="12.75">
      <c r="C199" s="24" t="s">
        <v>1348</v>
      </c>
    </row>
    <row r="200" spans="1:42" ht="12.75">
      <c r="A200" s="50" t="s">
        <v>216</v>
      </c>
      <c r="B200" s="17" t="s">
        <v>769</v>
      </c>
      <c r="C200" s="17" t="s">
        <v>1354</v>
      </c>
      <c r="D200" s="17" t="s">
        <v>1941</v>
      </c>
      <c r="E200" s="26">
        <v>4.8</v>
      </c>
      <c r="F200" s="26">
        <v>0</v>
      </c>
      <c r="G200" s="26">
        <f>E200*AD200</f>
        <v>0</v>
      </c>
      <c r="H200" s="26">
        <f>I200-G200</f>
        <v>0</v>
      </c>
      <c r="I200" s="26">
        <f>E200*F200</f>
        <v>0</v>
      </c>
      <c r="J200" s="72">
        <v>0.01037</v>
      </c>
      <c r="K200" s="72">
        <f>E200*J200</f>
        <v>0.049776</v>
      </c>
      <c r="L200" s="35" t="s">
        <v>1959</v>
      </c>
      <c r="M200" s="35" t="s">
        <v>122</v>
      </c>
      <c r="N200" s="26">
        <f>IF(M200="5",H200,0)</f>
        <v>0</v>
      </c>
      <c r="Y200" s="26">
        <f>IF(AC200=0,I200,0)</f>
        <v>0</v>
      </c>
      <c r="Z200" s="26">
        <f>IF(AC200=15,I200,0)</f>
        <v>0</v>
      </c>
      <c r="AA200" s="26">
        <f>IF(AC200=21,I200,0)</f>
        <v>0</v>
      </c>
      <c r="AC200" s="12">
        <v>21</v>
      </c>
      <c r="AD200" s="12">
        <f>F200*0.888641221374046</f>
        <v>0</v>
      </c>
      <c r="AE200" s="12">
        <f>F200*(1-0.888641221374046)</f>
        <v>0</v>
      </c>
      <c r="AL200" s="12">
        <f>E200*AD200</f>
        <v>0</v>
      </c>
      <c r="AM200" s="12">
        <f>E200*AE200</f>
        <v>0</v>
      </c>
      <c r="AN200" s="38" t="s">
        <v>1988</v>
      </c>
      <c r="AO200" s="38" t="s">
        <v>2026</v>
      </c>
      <c r="AP200" s="32" t="s">
        <v>2044</v>
      </c>
    </row>
    <row r="201" ht="12.75">
      <c r="C201" s="24" t="s">
        <v>1355</v>
      </c>
    </row>
    <row r="202" spans="1:42" ht="12.75">
      <c r="A202" s="50" t="s">
        <v>217</v>
      </c>
      <c r="B202" s="17" t="s">
        <v>770</v>
      </c>
      <c r="C202" s="17" t="s">
        <v>1356</v>
      </c>
      <c r="D202" s="17" t="s">
        <v>1945</v>
      </c>
      <c r="E202" s="26">
        <v>0.51</v>
      </c>
      <c r="F202" s="26">
        <v>0</v>
      </c>
      <c r="G202" s="26">
        <f>E202*AD202</f>
        <v>0</v>
      </c>
      <c r="H202" s="26">
        <f>I202-G202</f>
        <v>0</v>
      </c>
      <c r="I202" s="26">
        <f>E202*F202</f>
        <v>0</v>
      </c>
      <c r="J202" s="72">
        <v>1.02139</v>
      </c>
      <c r="K202" s="72">
        <f>E202*J202</f>
        <v>0.5209089</v>
      </c>
      <c r="L202" s="35" t="s">
        <v>1959</v>
      </c>
      <c r="M202" s="35" t="s">
        <v>122</v>
      </c>
      <c r="N202" s="26">
        <f>IF(M202="5",H202,0)</f>
        <v>0</v>
      </c>
      <c r="Y202" s="26">
        <f>IF(AC202=0,I202,0)</f>
        <v>0</v>
      </c>
      <c r="Z202" s="26">
        <f>IF(AC202=15,I202,0)</f>
        <v>0</v>
      </c>
      <c r="AA202" s="26">
        <f>IF(AC202=21,I202,0)</f>
        <v>0</v>
      </c>
      <c r="AC202" s="12">
        <v>21</v>
      </c>
      <c r="AD202" s="12">
        <f>F202*0.709733227918851</f>
        <v>0</v>
      </c>
      <c r="AE202" s="12">
        <f>F202*(1-0.709733227918851)</f>
        <v>0</v>
      </c>
      <c r="AL202" s="12">
        <f>E202*AD202</f>
        <v>0</v>
      </c>
      <c r="AM202" s="12">
        <f>E202*AE202</f>
        <v>0</v>
      </c>
      <c r="AN202" s="38" t="s">
        <v>1988</v>
      </c>
      <c r="AO202" s="38" t="s">
        <v>2026</v>
      </c>
      <c r="AP202" s="32" t="s">
        <v>2043</v>
      </c>
    </row>
    <row r="203" ht="12.75">
      <c r="C203" s="24" t="s">
        <v>1357</v>
      </c>
    </row>
    <row r="204" spans="1:42" ht="12.75">
      <c r="A204" s="50" t="s">
        <v>218</v>
      </c>
      <c r="B204" s="17" t="s">
        <v>771</v>
      </c>
      <c r="C204" s="17" t="s">
        <v>1358</v>
      </c>
      <c r="D204" s="17" t="s">
        <v>1945</v>
      </c>
      <c r="E204" s="26">
        <v>0.17</v>
      </c>
      <c r="F204" s="26">
        <v>0</v>
      </c>
      <c r="G204" s="26">
        <f>E204*AD204</f>
        <v>0</v>
      </c>
      <c r="H204" s="26">
        <f>I204-G204</f>
        <v>0</v>
      </c>
      <c r="I204" s="26">
        <f>E204*F204</f>
        <v>0</v>
      </c>
      <c r="J204" s="72">
        <v>1.05728</v>
      </c>
      <c r="K204" s="72">
        <f>E204*J204</f>
        <v>0.17973760000000003</v>
      </c>
      <c r="L204" s="35" t="s">
        <v>1959</v>
      </c>
      <c r="M204" s="35" t="s">
        <v>122</v>
      </c>
      <c r="N204" s="26">
        <f>IF(M204="5",H204,0)</f>
        <v>0</v>
      </c>
      <c r="Y204" s="26">
        <f>IF(AC204=0,I204,0)</f>
        <v>0</v>
      </c>
      <c r="Z204" s="26">
        <f>IF(AC204=15,I204,0)</f>
        <v>0</v>
      </c>
      <c r="AA204" s="26">
        <f>IF(AC204=21,I204,0)</f>
        <v>0</v>
      </c>
      <c r="AC204" s="12">
        <v>21</v>
      </c>
      <c r="AD204" s="12">
        <f>F204*0.811393362702551</f>
        <v>0</v>
      </c>
      <c r="AE204" s="12">
        <f>F204*(1-0.811393362702551)</f>
        <v>0</v>
      </c>
      <c r="AL204" s="12">
        <f>E204*AD204</f>
        <v>0</v>
      </c>
      <c r="AM204" s="12">
        <f>E204*AE204</f>
        <v>0</v>
      </c>
      <c r="AN204" s="38" t="s">
        <v>1988</v>
      </c>
      <c r="AO204" s="38" t="s">
        <v>2026</v>
      </c>
      <c r="AP204" s="32" t="s">
        <v>2043</v>
      </c>
    </row>
    <row r="205" ht="26.25">
      <c r="C205" s="24" t="s">
        <v>1359</v>
      </c>
    </row>
    <row r="206" spans="1:42" ht="12.75">
      <c r="A206" s="50" t="s">
        <v>219</v>
      </c>
      <c r="B206" s="17" t="s">
        <v>772</v>
      </c>
      <c r="C206" s="17" t="s">
        <v>1360</v>
      </c>
      <c r="D206" s="17" t="s">
        <v>1941</v>
      </c>
      <c r="E206" s="26">
        <v>11.63</v>
      </c>
      <c r="F206" s="26">
        <v>0</v>
      </c>
      <c r="G206" s="26">
        <f>E206*AD206</f>
        <v>0</v>
      </c>
      <c r="H206" s="26">
        <f>I206-G206</f>
        <v>0</v>
      </c>
      <c r="I206" s="26">
        <f>E206*F206</f>
        <v>0</v>
      </c>
      <c r="J206" s="72">
        <v>0.4012</v>
      </c>
      <c r="K206" s="72">
        <f>E206*J206</f>
        <v>4.665956</v>
      </c>
      <c r="L206" s="35" t="s">
        <v>1959</v>
      </c>
      <c r="M206" s="35" t="s">
        <v>124</v>
      </c>
      <c r="N206" s="26">
        <f>IF(M206="5",H206,0)</f>
        <v>0</v>
      </c>
      <c r="Y206" s="26">
        <f>IF(AC206=0,I206,0)</f>
        <v>0</v>
      </c>
      <c r="Z206" s="26">
        <f>IF(AC206=15,I206,0)</f>
        <v>0</v>
      </c>
      <c r="AA206" s="26">
        <f>IF(AC206=21,I206,0)</f>
        <v>0</v>
      </c>
      <c r="AC206" s="12">
        <v>21</v>
      </c>
      <c r="AD206" s="12">
        <f>F206*0.040034959158291</f>
        <v>0</v>
      </c>
      <c r="AE206" s="12">
        <f>F206*(1-0.040034959158291)</f>
        <v>0</v>
      </c>
      <c r="AL206" s="12">
        <f>E206*AD206</f>
        <v>0</v>
      </c>
      <c r="AM206" s="12">
        <f>E206*AE206</f>
        <v>0</v>
      </c>
      <c r="AN206" s="38" t="s">
        <v>1988</v>
      </c>
      <c r="AO206" s="38" t="s">
        <v>2026</v>
      </c>
      <c r="AP206" s="32" t="s">
        <v>2045</v>
      </c>
    </row>
    <row r="207" ht="12.75">
      <c r="C207" s="24" t="s">
        <v>1361</v>
      </c>
    </row>
    <row r="208" spans="1:42" ht="12.75">
      <c r="A208" s="50" t="s">
        <v>220</v>
      </c>
      <c r="B208" s="17" t="s">
        <v>773</v>
      </c>
      <c r="C208" s="17" t="s">
        <v>1362</v>
      </c>
      <c r="D208" s="17" t="s">
        <v>1942</v>
      </c>
      <c r="E208" s="26">
        <v>154.61</v>
      </c>
      <c r="F208" s="26">
        <v>0</v>
      </c>
      <c r="G208" s="26">
        <f>E208*AD208</f>
        <v>0</v>
      </c>
      <c r="H208" s="26">
        <f>I208-G208</f>
        <v>0</v>
      </c>
      <c r="I208" s="26">
        <f>E208*F208</f>
        <v>0</v>
      </c>
      <c r="J208" s="72">
        <v>0.06314</v>
      </c>
      <c r="K208" s="72">
        <f>E208*J208</f>
        <v>9.7620754</v>
      </c>
      <c r="L208" s="35" t="s">
        <v>1959</v>
      </c>
      <c r="M208" s="35" t="s">
        <v>124</v>
      </c>
      <c r="N208" s="26">
        <f>IF(M208="5",H208,0)</f>
        <v>0</v>
      </c>
      <c r="Y208" s="26">
        <f>IF(AC208=0,I208,0)</f>
        <v>0</v>
      </c>
      <c r="Z208" s="26">
        <f>IF(AC208=15,I208,0)</f>
        <v>0</v>
      </c>
      <c r="AA208" s="26">
        <f>IF(AC208=21,I208,0)</f>
        <v>0</v>
      </c>
      <c r="AC208" s="12">
        <v>21</v>
      </c>
      <c r="AD208" s="12">
        <f>F208*0.370051008015545</f>
        <v>0</v>
      </c>
      <c r="AE208" s="12">
        <f>F208*(1-0.370051008015545)</f>
        <v>0</v>
      </c>
      <c r="AL208" s="12">
        <f>E208*AD208</f>
        <v>0</v>
      </c>
      <c r="AM208" s="12">
        <f>E208*AE208</f>
        <v>0</v>
      </c>
      <c r="AN208" s="38" t="s">
        <v>1988</v>
      </c>
      <c r="AO208" s="38" t="s">
        <v>2026</v>
      </c>
      <c r="AP208" s="32" t="s">
        <v>2040</v>
      </c>
    </row>
    <row r="209" ht="12.75">
      <c r="C209" s="24" t="s">
        <v>1363</v>
      </c>
    </row>
    <row r="210" spans="1:42" ht="12.75">
      <c r="A210" s="50" t="s">
        <v>221</v>
      </c>
      <c r="B210" s="17" t="s">
        <v>774</v>
      </c>
      <c r="C210" s="17" t="s">
        <v>1364</v>
      </c>
      <c r="D210" s="17" t="s">
        <v>1942</v>
      </c>
      <c r="E210" s="26">
        <v>26.32</v>
      </c>
      <c r="F210" s="26">
        <v>0</v>
      </c>
      <c r="G210" s="26">
        <f>E210*AD210</f>
        <v>0</v>
      </c>
      <c r="H210" s="26">
        <f>I210-G210</f>
        <v>0</v>
      </c>
      <c r="I210" s="26">
        <f>E210*F210</f>
        <v>0</v>
      </c>
      <c r="J210" s="72">
        <v>0.06314</v>
      </c>
      <c r="K210" s="72">
        <f>E210*J210</f>
        <v>1.6618448000000001</v>
      </c>
      <c r="L210" s="35" t="s">
        <v>1959</v>
      </c>
      <c r="M210" s="35" t="s">
        <v>124</v>
      </c>
      <c r="N210" s="26">
        <f>IF(M210="5",H210,0)</f>
        <v>0</v>
      </c>
      <c r="Y210" s="26">
        <f>IF(AC210=0,I210,0)</f>
        <v>0</v>
      </c>
      <c r="Z210" s="26">
        <f>IF(AC210=15,I210,0)</f>
        <v>0</v>
      </c>
      <c r="AA210" s="26">
        <f>IF(AC210=21,I210,0)</f>
        <v>0</v>
      </c>
      <c r="AC210" s="12">
        <v>21</v>
      </c>
      <c r="AD210" s="12">
        <f>F210*0.370051008015545</f>
        <v>0</v>
      </c>
      <c r="AE210" s="12">
        <f>F210*(1-0.370051008015545)</f>
        <v>0</v>
      </c>
      <c r="AL210" s="12">
        <f>E210*AD210</f>
        <v>0</v>
      </c>
      <c r="AM210" s="12">
        <f>E210*AE210</f>
        <v>0</v>
      </c>
      <c r="AN210" s="38" t="s">
        <v>1988</v>
      </c>
      <c r="AO210" s="38" t="s">
        <v>2026</v>
      </c>
      <c r="AP210" s="32" t="s">
        <v>2040</v>
      </c>
    </row>
    <row r="211" ht="12.75">
      <c r="C211" s="24" t="s">
        <v>1365</v>
      </c>
    </row>
    <row r="212" spans="1:42" ht="12.75">
      <c r="A212" s="50" t="s">
        <v>222</v>
      </c>
      <c r="B212" s="17" t="s">
        <v>775</v>
      </c>
      <c r="C212" s="17" t="s">
        <v>1366</v>
      </c>
      <c r="D212" s="17" t="s">
        <v>1944</v>
      </c>
      <c r="E212" s="26">
        <v>7</v>
      </c>
      <c r="F212" s="26">
        <v>0</v>
      </c>
      <c r="G212" s="26">
        <f>E212*AD212</f>
        <v>0</v>
      </c>
      <c r="H212" s="26">
        <f>I212-G212</f>
        <v>0</v>
      </c>
      <c r="I212" s="26">
        <f>E212*F212</f>
        <v>0</v>
      </c>
      <c r="J212" s="72">
        <v>0.07487</v>
      </c>
      <c r="K212" s="72">
        <f>E212*J212</f>
        <v>0.5240900000000001</v>
      </c>
      <c r="L212" s="35" t="s">
        <v>1959</v>
      </c>
      <c r="M212" s="35" t="s">
        <v>122</v>
      </c>
      <c r="N212" s="26">
        <f>IF(M212="5",H212,0)</f>
        <v>0</v>
      </c>
      <c r="Y212" s="26">
        <f>IF(AC212=0,I212,0)</f>
        <v>0</v>
      </c>
      <c r="Z212" s="26">
        <f>IF(AC212=15,I212,0)</f>
        <v>0</v>
      </c>
      <c r="AA212" s="26">
        <f>IF(AC212=21,I212,0)</f>
        <v>0</v>
      </c>
      <c r="AC212" s="12">
        <v>21</v>
      </c>
      <c r="AD212" s="12">
        <f>F212*0.497109004739337</f>
        <v>0</v>
      </c>
      <c r="AE212" s="12">
        <f>F212*(1-0.497109004739337)</f>
        <v>0</v>
      </c>
      <c r="AL212" s="12">
        <f>E212*AD212</f>
        <v>0</v>
      </c>
      <c r="AM212" s="12">
        <f>E212*AE212</f>
        <v>0</v>
      </c>
      <c r="AN212" s="38" t="s">
        <v>1988</v>
      </c>
      <c r="AO212" s="38" t="s">
        <v>2026</v>
      </c>
      <c r="AP212" s="32" t="s">
        <v>2043</v>
      </c>
    </row>
    <row r="213" ht="12.75">
      <c r="C213" s="24" t="s">
        <v>1367</v>
      </c>
    </row>
    <row r="214" spans="1:42" ht="12.75">
      <c r="A214" s="50" t="s">
        <v>223</v>
      </c>
      <c r="B214" s="17" t="s">
        <v>776</v>
      </c>
      <c r="C214" s="17" t="s">
        <v>1368</v>
      </c>
      <c r="D214" s="17" t="s">
        <v>1940</v>
      </c>
      <c r="E214" s="26">
        <v>1.6</v>
      </c>
      <c r="F214" s="26">
        <v>0</v>
      </c>
      <c r="G214" s="26">
        <f aca="true" t="shared" si="44" ref="G214:G219">E214*AD214</f>
        <v>0</v>
      </c>
      <c r="H214" s="26">
        <f aca="true" t="shared" si="45" ref="H214:H219">I214-G214</f>
        <v>0</v>
      </c>
      <c r="I214" s="26">
        <f aca="true" t="shared" si="46" ref="I214:I219">E214*F214</f>
        <v>0</v>
      </c>
      <c r="J214" s="72">
        <v>2.52507</v>
      </c>
      <c r="K214" s="72">
        <f aca="true" t="shared" si="47" ref="K214:K219">E214*J214</f>
        <v>4.040112</v>
      </c>
      <c r="L214" s="35" t="s">
        <v>1959</v>
      </c>
      <c r="M214" s="35" t="s">
        <v>122</v>
      </c>
      <c r="N214" s="26">
        <f aca="true" t="shared" si="48" ref="N214:N219">IF(M214="5",H214,0)</f>
        <v>0</v>
      </c>
      <c r="Y214" s="26">
        <f aca="true" t="shared" si="49" ref="Y214:Y219">IF(AC214=0,I214,0)</f>
        <v>0</v>
      </c>
      <c r="Z214" s="26">
        <f aca="true" t="shared" si="50" ref="Z214:Z219">IF(AC214=15,I214,0)</f>
        <v>0</v>
      </c>
      <c r="AA214" s="26">
        <f aca="true" t="shared" si="51" ref="AA214:AA219">IF(AC214=21,I214,0)</f>
        <v>0</v>
      </c>
      <c r="AC214" s="12">
        <v>21</v>
      </c>
      <c r="AD214" s="12">
        <f>F214*0.867946871980722</f>
        <v>0</v>
      </c>
      <c r="AE214" s="12">
        <f>F214*(1-0.867946871980722)</f>
        <v>0</v>
      </c>
      <c r="AL214" s="12">
        <f aca="true" t="shared" si="52" ref="AL214:AL219">E214*AD214</f>
        <v>0</v>
      </c>
      <c r="AM214" s="12">
        <f aca="true" t="shared" si="53" ref="AM214:AM219">E214*AE214</f>
        <v>0</v>
      </c>
      <c r="AN214" s="38" t="s">
        <v>1988</v>
      </c>
      <c r="AO214" s="38" t="s">
        <v>2026</v>
      </c>
      <c r="AP214" s="32" t="s">
        <v>2043</v>
      </c>
    </row>
    <row r="215" spans="1:42" ht="12.75">
      <c r="A215" s="50" t="s">
        <v>224</v>
      </c>
      <c r="B215" s="17" t="s">
        <v>777</v>
      </c>
      <c r="C215" s="17" t="s">
        <v>1369</v>
      </c>
      <c r="D215" s="17" t="s">
        <v>1941</v>
      </c>
      <c r="E215" s="26">
        <v>9.52</v>
      </c>
      <c r="F215" s="26">
        <v>0</v>
      </c>
      <c r="G215" s="26">
        <f t="shared" si="44"/>
        <v>0</v>
      </c>
      <c r="H215" s="26">
        <f t="shared" si="45"/>
        <v>0</v>
      </c>
      <c r="I215" s="26">
        <f t="shared" si="46"/>
        <v>0</v>
      </c>
      <c r="J215" s="72">
        <v>0.0577</v>
      </c>
      <c r="K215" s="72">
        <f t="shared" si="47"/>
        <v>0.549304</v>
      </c>
      <c r="L215" s="35" t="s">
        <v>1959</v>
      </c>
      <c r="M215" s="35" t="s">
        <v>122</v>
      </c>
      <c r="N215" s="26">
        <f t="shared" si="48"/>
        <v>0</v>
      </c>
      <c r="Y215" s="26">
        <f t="shared" si="49"/>
        <v>0</v>
      </c>
      <c r="Z215" s="26">
        <f t="shared" si="50"/>
        <v>0</v>
      </c>
      <c r="AA215" s="26">
        <f t="shared" si="51"/>
        <v>0</v>
      </c>
      <c r="AC215" s="12">
        <v>21</v>
      </c>
      <c r="AD215" s="12">
        <f>F215*0.266061246040127</f>
        <v>0</v>
      </c>
      <c r="AE215" s="12">
        <f>F215*(1-0.266061246040127)</f>
        <v>0</v>
      </c>
      <c r="AL215" s="12">
        <f t="shared" si="52"/>
        <v>0</v>
      </c>
      <c r="AM215" s="12">
        <f t="shared" si="53"/>
        <v>0</v>
      </c>
      <c r="AN215" s="38" t="s">
        <v>1988</v>
      </c>
      <c r="AO215" s="38" t="s">
        <v>2026</v>
      </c>
      <c r="AP215" s="32" t="s">
        <v>2043</v>
      </c>
    </row>
    <row r="216" spans="1:42" ht="12.75">
      <c r="A216" s="50" t="s">
        <v>225</v>
      </c>
      <c r="B216" s="17" t="s">
        <v>778</v>
      </c>
      <c r="C216" s="17" t="s">
        <v>1370</v>
      </c>
      <c r="D216" s="17" t="s">
        <v>1941</v>
      </c>
      <c r="E216" s="26">
        <v>9.52</v>
      </c>
      <c r="F216" s="26">
        <v>0</v>
      </c>
      <c r="G216" s="26">
        <f t="shared" si="44"/>
        <v>0</v>
      </c>
      <c r="H216" s="26">
        <f t="shared" si="45"/>
        <v>0</v>
      </c>
      <c r="I216" s="26">
        <f t="shared" si="46"/>
        <v>0</v>
      </c>
      <c r="J216" s="72">
        <v>0</v>
      </c>
      <c r="K216" s="72">
        <f t="shared" si="47"/>
        <v>0</v>
      </c>
      <c r="L216" s="35" t="s">
        <v>1959</v>
      </c>
      <c r="M216" s="35" t="s">
        <v>122</v>
      </c>
      <c r="N216" s="26">
        <f t="shared" si="48"/>
        <v>0</v>
      </c>
      <c r="Y216" s="26">
        <f t="shared" si="49"/>
        <v>0</v>
      </c>
      <c r="Z216" s="26">
        <f t="shared" si="50"/>
        <v>0</v>
      </c>
      <c r="AA216" s="26">
        <f t="shared" si="51"/>
        <v>0</v>
      </c>
      <c r="AC216" s="12">
        <v>21</v>
      </c>
      <c r="AD216" s="12">
        <f>F216*0</f>
        <v>0</v>
      </c>
      <c r="AE216" s="12">
        <f>F216*(1-0)</f>
        <v>0</v>
      </c>
      <c r="AL216" s="12">
        <f t="shared" si="52"/>
        <v>0</v>
      </c>
      <c r="AM216" s="12">
        <f t="shared" si="53"/>
        <v>0</v>
      </c>
      <c r="AN216" s="38" t="s">
        <v>1988</v>
      </c>
      <c r="AO216" s="38" t="s">
        <v>2026</v>
      </c>
      <c r="AP216" s="32" t="s">
        <v>2043</v>
      </c>
    </row>
    <row r="217" spans="1:42" ht="12.75">
      <c r="A217" s="50" t="s">
        <v>226</v>
      </c>
      <c r="B217" s="17" t="s">
        <v>779</v>
      </c>
      <c r="C217" s="17" t="s">
        <v>1371</v>
      </c>
      <c r="D217" s="17" t="s">
        <v>1941</v>
      </c>
      <c r="E217" s="26">
        <v>9.52</v>
      </c>
      <c r="F217" s="26">
        <v>0</v>
      </c>
      <c r="G217" s="26">
        <f t="shared" si="44"/>
        <v>0</v>
      </c>
      <c r="H217" s="26">
        <f t="shared" si="45"/>
        <v>0</v>
      </c>
      <c r="I217" s="26">
        <f t="shared" si="46"/>
        <v>0</v>
      </c>
      <c r="J217" s="72">
        <v>0.00633</v>
      </c>
      <c r="K217" s="72">
        <f t="shared" si="47"/>
        <v>0.06026159999999999</v>
      </c>
      <c r="L217" s="35" t="s">
        <v>1959</v>
      </c>
      <c r="M217" s="35" t="s">
        <v>122</v>
      </c>
      <c r="N217" s="26">
        <f t="shared" si="48"/>
        <v>0</v>
      </c>
      <c r="Y217" s="26">
        <f t="shared" si="49"/>
        <v>0</v>
      </c>
      <c r="Z217" s="26">
        <f t="shared" si="50"/>
        <v>0</v>
      </c>
      <c r="AA217" s="26">
        <f t="shared" si="51"/>
        <v>0</v>
      </c>
      <c r="AC217" s="12">
        <v>21</v>
      </c>
      <c r="AD217" s="12">
        <f>F217*0.13024203821656</f>
        <v>0</v>
      </c>
      <c r="AE217" s="12">
        <f>F217*(1-0.13024203821656)</f>
        <v>0</v>
      </c>
      <c r="AL217" s="12">
        <f t="shared" si="52"/>
        <v>0</v>
      </c>
      <c r="AM217" s="12">
        <f t="shared" si="53"/>
        <v>0</v>
      </c>
      <c r="AN217" s="38" t="s">
        <v>1988</v>
      </c>
      <c r="AO217" s="38" t="s">
        <v>2026</v>
      </c>
      <c r="AP217" s="32" t="s">
        <v>2043</v>
      </c>
    </row>
    <row r="218" spans="1:42" ht="12.75">
      <c r="A218" s="50" t="s">
        <v>227</v>
      </c>
      <c r="B218" s="17" t="s">
        <v>780</v>
      </c>
      <c r="C218" s="17" t="s">
        <v>1372</v>
      </c>
      <c r="D218" s="17" t="s">
        <v>1941</v>
      </c>
      <c r="E218" s="26">
        <v>9.52</v>
      </c>
      <c r="F218" s="26">
        <v>0</v>
      </c>
      <c r="G218" s="26">
        <f t="shared" si="44"/>
        <v>0</v>
      </c>
      <c r="H218" s="26">
        <f t="shared" si="45"/>
        <v>0</v>
      </c>
      <c r="I218" s="26">
        <f t="shared" si="46"/>
        <v>0</v>
      </c>
      <c r="J218" s="72">
        <v>0</v>
      </c>
      <c r="K218" s="72">
        <f t="shared" si="47"/>
        <v>0</v>
      </c>
      <c r="L218" s="35" t="s">
        <v>1959</v>
      </c>
      <c r="M218" s="35" t="s">
        <v>122</v>
      </c>
      <c r="N218" s="26">
        <f t="shared" si="48"/>
        <v>0</v>
      </c>
      <c r="Y218" s="26">
        <f t="shared" si="49"/>
        <v>0</v>
      </c>
      <c r="Z218" s="26">
        <f t="shared" si="50"/>
        <v>0</v>
      </c>
      <c r="AA218" s="26">
        <f t="shared" si="51"/>
        <v>0</v>
      </c>
      <c r="AC218" s="12">
        <v>21</v>
      </c>
      <c r="AD218" s="12">
        <f>F218*0</f>
        <v>0</v>
      </c>
      <c r="AE218" s="12">
        <f>F218*(1-0)</f>
        <v>0</v>
      </c>
      <c r="AL218" s="12">
        <f t="shared" si="52"/>
        <v>0</v>
      </c>
      <c r="AM218" s="12">
        <f t="shared" si="53"/>
        <v>0</v>
      </c>
      <c r="AN218" s="38" t="s">
        <v>1988</v>
      </c>
      <c r="AO218" s="38" t="s">
        <v>2026</v>
      </c>
      <c r="AP218" s="32" t="s">
        <v>2043</v>
      </c>
    </row>
    <row r="219" spans="1:42" ht="12.75">
      <c r="A219" s="50" t="s">
        <v>228</v>
      </c>
      <c r="B219" s="17" t="s">
        <v>781</v>
      </c>
      <c r="C219" s="17" t="s">
        <v>1373</v>
      </c>
      <c r="D219" s="17" t="s">
        <v>1945</v>
      </c>
      <c r="E219" s="26">
        <v>0.24</v>
      </c>
      <c r="F219" s="26">
        <v>0</v>
      </c>
      <c r="G219" s="26">
        <f t="shared" si="44"/>
        <v>0</v>
      </c>
      <c r="H219" s="26">
        <f t="shared" si="45"/>
        <v>0</v>
      </c>
      <c r="I219" s="26">
        <f t="shared" si="46"/>
        <v>0</v>
      </c>
      <c r="J219" s="72">
        <v>1.01939</v>
      </c>
      <c r="K219" s="72">
        <f t="shared" si="47"/>
        <v>0.2446536</v>
      </c>
      <c r="L219" s="35" t="s">
        <v>1959</v>
      </c>
      <c r="M219" s="35" t="s">
        <v>122</v>
      </c>
      <c r="N219" s="26">
        <f t="shared" si="48"/>
        <v>0</v>
      </c>
      <c r="Y219" s="26">
        <f t="shared" si="49"/>
        <v>0</v>
      </c>
      <c r="Z219" s="26">
        <f t="shared" si="50"/>
        <v>0</v>
      </c>
      <c r="AA219" s="26">
        <f t="shared" si="51"/>
        <v>0</v>
      </c>
      <c r="AC219" s="12">
        <v>21</v>
      </c>
      <c r="AD219" s="12">
        <f>F219*0.587508237643535</f>
        <v>0</v>
      </c>
      <c r="AE219" s="12">
        <f>F219*(1-0.587508237643535)</f>
        <v>0</v>
      </c>
      <c r="AL219" s="12">
        <f t="shared" si="52"/>
        <v>0</v>
      </c>
      <c r="AM219" s="12">
        <f t="shared" si="53"/>
        <v>0</v>
      </c>
      <c r="AN219" s="38" t="s">
        <v>1988</v>
      </c>
      <c r="AO219" s="38" t="s">
        <v>2026</v>
      </c>
      <c r="AP219" s="32" t="s">
        <v>2043</v>
      </c>
    </row>
    <row r="220" ht="26.25">
      <c r="C220" s="24" t="s">
        <v>1374</v>
      </c>
    </row>
    <row r="221" spans="1:42" ht="12.75">
      <c r="A221" s="50" t="s">
        <v>229</v>
      </c>
      <c r="B221" s="17" t="s">
        <v>782</v>
      </c>
      <c r="C221" s="17" t="s">
        <v>1375</v>
      </c>
      <c r="D221" s="17" t="s">
        <v>1941</v>
      </c>
      <c r="E221" s="26">
        <v>1663.9</v>
      </c>
      <c r="F221" s="26">
        <v>0</v>
      </c>
      <c r="G221" s="26">
        <f>E221*AD221</f>
        <v>0</v>
      </c>
      <c r="H221" s="26">
        <f>I221-G221</f>
        <v>0</v>
      </c>
      <c r="I221" s="26">
        <f>E221*F221</f>
        <v>0</v>
      </c>
      <c r="J221" s="72">
        <v>0.01186</v>
      </c>
      <c r="K221" s="72">
        <f>E221*J221</f>
        <v>19.733854</v>
      </c>
      <c r="L221" s="35" t="s">
        <v>1959</v>
      </c>
      <c r="M221" s="35" t="s">
        <v>122</v>
      </c>
      <c r="N221" s="26">
        <f>IF(M221="5",H221,0)</f>
        <v>0</v>
      </c>
      <c r="Y221" s="26">
        <f>IF(AC221=0,I221,0)</f>
        <v>0</v>
      </c>
      <c r="Z221" s="26">
        <f>IF(AC221=15,I221,0)</f>
        <v>0</v>
      </c>
      <c r="AA221" s="26">
        <f>IF(AC221=21,I221,0)</f>
        <v>0</v>
      </c>
      <c r="AC221" s="12">
        <v>21</v>
      </c>
      <c r="AD221" s="12">
        <f>F221*0.334474187380497</f>
        <v>0</v>
      </c>
      <c r="AE221" s="12">
        <f>F221*(1-0.334474187380497)</f>
        <v>0</v>
      </c>
      <c r="AL221" s="12">
        <f>E221*AD221</f>
        <v>0</v>
      </c>
      <c r="AM221" s="12">
        <f>E221*AE221</f>
        <v>0</v>
      </c>
      <c r="AN221" s="38" t="s">
        <v>1988</v>
      </c>
      <c r="AO221" s="38" t="s">
        <v>2026</v>
      </c>
      <c r="AP221" s="32" t="s">
        <v>2046</v>
      </c>
    </row>
    <row r="222" spans="1:42" ht="12.75">
      <c r="A222" s="50" t="s">
        <v>230</v>
      </c>
      <c r="B222" s="17" t="s">
        <v>783</v>
      </c>
      <c r="C222" s="17" t="s">
        <v>1376</v>
      </c>
      <c r="D222" s="17" t="s">
        <v>1941</v>
      </c>
      <c r="E222" s="26">
        <v>18.7</v>
      </c>
      <c r="F222" s="26">
        <v>0</v>
      </c>
      <c r="G222" s="26">
        <f>E222*AD222</f>
        <v>0</v>
      </c>
      <c r="H222" s="26">
        <f>I222-G222</f>
        <v>0</v>
      </c>
      <c r="I222" s="26">
        <f>E222*F222</f>
        <v>0</v>
      </c>
      <c r="J222" s="72">
        <v>0.01197</v>
      </c>
      <c r="K222" s="72">
        <f>E222*J222</f>
        <v>0.22383899999999998</v>
      </c>
      <c r="L222" s="35" t="s">
        <v>1959</v>
      </c>
      <c r="M222" s="35" t="s">
        <v>122</v>
      </c>
      <c r="N222" s="26">
        <f>IF(M222="5",H222,0)</f>
        <v>0</v>
      </c>
      <c r="Y222" s="26">
        <f>IF(AC222=0,I222,0)</f>
        <v>0</v>
      </c>
      <c r="Z222" s="26">
        <f>IF(AC222=15,I222,0)</f>
        <v>0</v>
      </c>
      <c r="AA222" s="26">
        <f>IF(AC222=21,I222,0)</f>
        <v>0</v>
      </c>
      <c r="AC222" s="12">
        <v>21</v>
      </c>
      <c r="AD222" s="12">
        <f>F222*0.377334525939177</f>
        <v>0</v>
      </c>
      <c r="AE222" s="12">
        <f>F222*(1-0.377334525939177)</f>
        <v>0</v>
      </c>
      <c r="AL222" s="12">
        <f>E222*AD222</f>
        <v>0</v>
      </c>
      <c r="AM222" s="12">
        <f>E222*AE222</f>
        <v>0</v>
      </c>
      <c r="AN222" s="38" t="s">
        <v>1988</v>
      </c>
      <c r="AO222" s="38" t="s">
        <v>2026</v>
      </c>
      <c r="AP222" s="32" t="s">
        <v>2046</v>
      </c>
    </row>
    <row r="223" spans="1:42" ht="12.75">
      <c r="A223" s="50" t="s">
        <v>231</v>
      </c>
      <c r="B223" s="17" t="s">
        <v>784</v>
      </c>
      <c r="C223" s="17" t="s">
        <v>1377</v>
      </c>
      <c r="D223" s="17" t="s">
        <v>1941</v>
      </c>
      <c r="E223" s="26">
        <v>101.3</v>
      </c>
      <c r="F223" s="26">
        <v>0</v>
      </c>
      <c r="G223" s="26">
        <f>E223*AD223</f>
        <v>0</v>
      </c>
      <c r="H223" s="26">
        <f>I223-G223</f>
        <v>0</v>
      </c>
      <c r="I223" s="26">
        <f>E223*F223</f>
        <v>0</v>
      </c>
      <c r="J223" s="72">
        <v>0.01841</v>
      </c>
      <c r="K223" s="72">
        <f>E223*J223</f>
        <v>1.864933</v>
      </c>
      <c r="L223" s="35" t="s">
        <v>1959</v>
      </c>
      <c r="M223" s="35" t="s">
        <v>122</v>
      </c>
      <c r="N223" s="26">
        <f>IF(M223="5",H223,0)</f>
        <v>0</v>
      </c>
      <c r="Y223" s="26">
        <f>IF(AC223=0,I223,0)</f>
        <v>0</v>
      </c>
      <c r="Z223" s="26">
        <f>IF(AC223=15,I223,0)</f>
        <v>0</v>
      </c>
      <c r="AA223" s="26">
        <f>IF(AC223=21,I223,0)</f>
        <v>0</v>
      </c>
      <c r="AC223" s="12">
        <v>21</v>
      </c>
      <c r="AD223" s="12">
        <f>F223*0.436323076923077</f>
        <v>0</v>
      </c>
      <c r="AE223" s="12">
        <f>F223*(1-0.436323076923077)</f>
        <v>0</v>
      </c>
      <c r="AL223" s="12">
        <f>E223*AD223</f>
        <v>0</v>
      </c>
      <c r="AM223" s="12">
        <f>E223*AE223</f>
        <v>0</v>
      </c>
      <c r="AN223" s="38" t="s">
        <v>1988</v>
      </c>
      <c r="AO223" s="38" t="s">
        <v>2026</v>
      </c>
      <c r="AP223" s="32" t="s">
        <v>2047</v>
      </c>
    </row>
    <row r="224" ht="12.75">
      <c r="C224" s="24" t="s">
        <v>1378</v>
      </c>
    </row>
    <row r="225" spans="1:36" ht="12.75">
      <c r="A225" s="52"/>
      <c r="B225" s="23" t="s">
        <v>19</v>
      </c>
      <c r="C225" s="121" t="s">
        <v>66</v>
      </c>
      <c r="D225" s="122"/>
      <c r="E225" s="122"/>
      <c r="F225" s="122"/>
      <c r="G225" s="40">
        <f>SUM(G226:G243)</f>
        <v>0</v>
      </c>
      <c r="H225" s="40">
        <f>SUM(H226:H243)</f>
        <v>0</v>
      </c>
      <c r="I225" s="40">
        <f>G225+H225</f>
        <v>0</v>
      </c>
      <c r="J225" s="74"/>
      <c r="K225" s="74">
        <f>SUM(K226:K243)</f>
        <v>420.1113994999999</v>
      </c>
      <c r="L225" s="32"/>
      <c r="O225" s="40">
        <f>IF(P225="PR",I225,SUM(N226:N243))</f>
        <v>0</v>
      </c>
      <c r="P225" s="32" t="s">
        <v>1967</v>
      </c>
      <c r="Q225" s="40">
        <f>IF(P225="HS",G225,0)</f>
        <v>0</v>
      </c>
      <c r="R225" s="40">
        <f>IF(P225="HS",H225-O225,0)</f>
        <v>0</v>
      </c>
      <c r="S225" s="40">
        <f>IF(P225="PS",G225,0)</f>
        <v>0</v>
      </c>
      <c r="T225" s="40">
        <f>IF(P225="PS",H225-O225,0)</f>
        <v>0</v>
      </c>
      <c r="U225" s="40">
        <f>IF(P225="MP",G225,0)</f>
        <v>0</v>
      </c>
      <c r="V225" s="40">
        <f>IF(P225="MP",H225-O225,0)</f>
        <v>0</v>
      </c>
      <c r="W225" s="40">
        <f>IF(P225="OM",G225,0)</f>
        <v>0</v>
      </c>
      <c r="X225" s="32"/>
      <c r="AH225" s="40">
        <f>SUM(Y226:Y243)</f>
        <v>0</v>
      </c>
      <c r="AI225" s="40">
        <f>SUM(Z226:Z243)</f>
        <v>0</v>
      </c>
      <c r="AJ225" s="40">
        <f>SUM(AA226:AA243)</f>
        <v>0</v>
      </c>
    </row>
    <row r="226" spans="1:42" ht="12.75">
      <c r="A226" s="50" t="s">
        <v>232</v>
      </c>
      <c r="B226" s="17" t="s">
        <v>767</v>
      </c>
      <c r="C226" s="17" t="s">
        <v>1379</v>
      </c>
      <c r="D226" s="17" t="s">
        <v>1941</v>
      </c>
      <c r="E226" s="26">
        <v>4.74</v>
      </c>
      <c r="F226" s="26">
        <v>0</v>
      </c>
      <c r="G226" s="26">
        <f>E226*AD226</f>
        <v>0</v>
      </c>
      <c r="H226" s="26">
        <f>I226-G226</f>
        <v>0</v>
      </c>
      <c r="I226" s="26">
        <f>E226*F226</f>
        <v>0</v>
      </c>
      <c r="J226" s="72">
        <v>0.19581</v>
      </c>
      <c r="K226" s="72">
        <f>E226*J226</f>
        <v>0.9281394000000001</v>
      </c>
      <c r="L226" s="35" t="s">
        <v>1959</v>
      </c>
      <c r="M226" s="35" t="s">
        <v>122</v>
      </c>
      <c r="N226" s="26">
        <f>IF(M226="5",H226,0)</f>
        <v>0</v>
      </c>
      <c r="Y226" s="26">
        <f>IF(AC226=0,I226,0)</f>
        <v>0</v>
      </c>
      <c r="Z226" s="26">
        <f>IF(AC226=15,I226,0)</f>
        <v>0</v>
      </c>
      <c r="AA226" s="26">
        <f>IF(AC226=21,I226,0)</f>
        <v>0</v>
      </c>
      <c r="AC226" s="12">
        <v>21</v>
      </c>
      <c r="AD226" s="12">
        <f>F226*0.246032419587541</f>
        <v>0</v>
      </c>
      <c r="AE226" s="12">
        <f>F226*(1-0.246032419587541)</f>
        <v>0</v>
      </c>
      <c r="AL226" s="12">
        <f>E226*AD226</f>
        <v>0</v>
      </c>
      <c r="AM226" s="12">
        <f>E226*AE226</f>
        <v>0</v>
      </c>
      <c r="AN226" s="38" t="s">
        <v>1989</v>
      </c>
      <c r="AO226" s="38" t="s">
        <v>2026</v>
      </c>
      <c r="AP226" s="32" t="s">
        <v>2044</v>
      </c>
    </row>
    <row r="227" ht="12.75">
      <c r="C227" s="24" t="s">
        <v>1351</v>
      </c>
    </row>
    <row r="228" spans="1:42" ht="12.75">
      <c r="A228" s="50" t="s">
        <v>233</v>
      </c>
      <c r="B228" s="17" t="s">
        <v>768</v>
      </c>
      <c r="C228" s="17" t="s">
        <v>1380</v>
      </c>
      <c r="D228" s="17" t="s">
        <v>1941</v>
      </c>
      <c r="E228" s="26">
        <v>4.74</v>
      </c>
      <c r="F228" s="26">
        <v>0</v>
      </c>
      <c r="G228" s="26">
        <f>E228*AD228</f>
        <v>0</v>
      </c>
      <c r="H228" s="26">
        <f>I228-G228</f>
        <v>0</v>
      </c>
      <c r="I228" s="26">
        <f>E228*F228</f>
        <v>0</v>
      </c>
      <c r="J228" s="72">
        <v>0</v>
      </c>
      <c r="K228" s="72">
        <f>E228*J228</f>
        <v>0</v>
      </c>
      <c r="L228" s="35" t="s">
        <v>1959</v>
      </c>
      <c r="M228" s="35" t="s">
        <v>122</v>
      </c>
      <c r="N228" s="26">
        <f>IF(M228="5",H228,0)</f>
        <v>0</v>
      </c>
      <c r="Y228" s="26">
        <f>IF(AC228=0,I228,0)</f>
        <v>0</v>
      </c>
      <c r="Z228" s="26">
        <f>IF(AC228=15,I228,0)</f>
        <v>0</v>
      </c>
      <c r="AA228" s="26">
        <f>IF(AC228=21,I228,0)</f>
        <v>0</v>
      </c>
      <c r="AC228" s="12">
        <v>21</v>
      </c>
      <c r="AD228" s="12">
        <f>F228*0</f>
        <v>0</v>
      </c>
      <c r="AE228" s="12">
        <f>F228*(1-0)</f>
        <v>0</v>
      </c>
      <c r="AL228" s="12">
        <f>E228*AD228</f>
        <v>0</v>
      </c>
      <c r="AM228" s="12">
        <f>E228*AE228</f>
        <v>0</v>
      </c>
      <c r="AN228" s="38" t="s">
        <v>1989</v>
      </c>
      <c r="AO228" s="38" t="s">
        <v>2026</v>
      </c>
      <c r="AP228" s="32" t="s">
        <v>2044</v>
      </c>
    </row>
    <row r="229" ht="12.75">
      <c r="C229" s="24" t="s">
        <v>1351</v>
      </c>
    </row>
    <row r="230" spans="1:42" ht="12.75">
      <c r="A230" s="50" t="s">
        <v>234</v>
      </c>
      <c r="B230" s="17" t="s">
        <v>785</v>
      </c>
      <c r="C230" s="17" t="s">
        <v>1381</v>
      </c>
      <c r="D230" s="17" t="s">
        <v>1940</v>
      </c>
      <c r="E230" s="26">
        <v>0.71</v>
      </c>
      <c r="F230" s="26">
        <v>0</v>
      </c>
      <c r="G230" s="26">
        <f>E230*AD230</f>
        <v>0</v>
      </c>
      <c r="H230" s="26">
        <f>I230-G230</f>
        <v>0</v>
      </c>
      <c r="I230" s="26">
        <f>E230*F230</f>
        <v>0</v>
      </c>
      <c r="J230" s="72">
        <v>2.52508</v>
      </c>
      <c r="K230" s="72">
        <f>E230*J230</f>
        <v>1.7928068</v>
      </c>
      <c r="L230" s="35" t="s">
        <v>1959</v>
      </c>
      <c r="M230" s="35" t="s">
        <v>122</v>
      </c>
      <c r="N230" s="26">
        <f>IF(M230="5",H230,0)</f>
        <v>0</v>
      </c>
      <c r="Y230" s="26">
        <f>IF(AC230=0,I230,0)</f>
        <v>0</v>
      </c>
      <c r="Z230" s="26">
        <f>IF(AC230=15,I230,0)</f>
        <v>0</v>
      </c>
      <c r="AA230" s="26">
        <f>IF(AC230=21,I230,0)</f>
        <v>0</v>
      </c>
      <c r="AC230" s="12">
        <v>21</v>
      </c>
      <c r="AD230" s="12">
        <f>F230*0.647558282208589</f>
        <v>0</v>
      </c>
      <c r="AE230" s="12">
        <f>F230*(1-0.647558282208589)</f>
        <v>0</v>
      </c>
      <c r="AL230" s="12">
        <f>E230*AD230</f>
        <v>0</v>
      </c>
      <c r="AM230" s="12">
        <f>E230*AE230</f>
        <v>0</v>
      </c>
      <c r="AN230" s="38" t="s">
        <v>1989</v>
      </c>
      <c r="AO230" s="38" t="s">
        <v>2026</v>
      </c>
      <c r="AP230" s="32" t="s">
        <v>2044</v>
      </c>
    </row>
    <row r="231" ht="12.75">
      <c r="C231" s="24" t="s">
        <v>1382</v>
      </c>
    </row>
    <row r="232" spans="1:42" ht="12.75">
      <c r="A232" s="50" t="s">
        <v>235</v>
      </c>
      <c r="B232" s="17" t="s">
        <v>786</v>
      </c>
      <c r="C232" s="17" t="s">
        <v>1383</v>
      </c>
      <c r="D232" s="17" t="s">
        <v>1940</v>
      </c>
      <c r="E232" s="26">
        <v>0.69</v>
      </c>
      <c r="F232" s="26">
        <v>0</v>
      </c>
      <c r="G232" s="26">
        <f>E232*AD232</f>
        <v>0</v>
      </c>
      <c r="H232" s="26">
        <f>I232-G232</f>
        <v>0</v>
      </c>
      <c r="I232" s="26">
        <f>E232*F232</f>
        <v>0</v>
      </c>
      <c r="J232" s="72">
        <v>2.52508</v>
      </c>
      <c r="K232" s="72">
        <f>E232*J232</f>
        <v>1.7423051999999999</v>
      </c>
      <c r="L232" s="35" t="s">
        <v>1959</v>
      </c>
      <c r="M232" s="35" t="s">
        <v>122</v>
      </c>
      <c r="N232" s="26">
        <f>IF(M232="5",H232,0)</f>
        <v>0</v>
      </c>
      <c r="Y232" s="26">
        <f>IF(AC232=0,I232,0)</f>
        <v>0</v>
      </c>
      <c r="Z232" s="26">
        <f>IF(AC232=15,I232,0)</f>
        <v>0</v>
      </c>
      <c r="AA232" s="26">
        <f>IF(AC232=21,I232,0)</f>
        <v>0</v>
      </c>
      <c r="AC232" s="12">
        <v>21</v>
      </c>
      <c r="AD232" s="12">
        <f>F232*0.663079491607735</f>
        <v>0</v>
      </c>
      <c r="AE232" s="12">
        <f>F232*(1-0.663079491607735)</f>
        <v>0</v>
      </c>
      <c r="AL232" s="12">
        <f>E232*AD232</f>
        <v>0</v>
      </c>
      <c r="AM232" s="12">
        <f>E232*AE232</f>
        <v>0</v>
      </c>
      <c r="AN232" s="38" t="s">
        <v>1989</v>
      </c>
      <c r="AO232" s="38" t="s">
        <v>2026</v>
      </c>
      <c r="AP232" s="32" t="s">
        <v>2044</v>
      </c>
    </row>
    <row r="233" ht="12.75">
      <c r="C233" s="24" t="s">
        <v>1384</v>
      </c>
    </row>
    <row r="234" spans="1:42" ht="12.75">
      <c r="A234" s="50" t="s">
        <v>236</v>
      </c>
      <c r="B234" s="17" t="s">
        <v>787</v>
      </c>
      <c r="C234" s="17" t="s">
        <v>1385</v>
      </c>
      <c r="D234" s="17" t="s">
        <v>1945</v>
      </c>
      <c r="E234" s="26">
        <v>0.03</v>
      </c>
      <c r="F234" s="26">
        <v>0</v>
      </c>
      <c r="G234" s="26">
        <f>E234*AD234</f>
        <v>0</v>
      </c>
      <c r="H234" s="26">
        <f>I234-G234</f>
        <v>0</v>
      </c>
      <c r="I234" s="26">
        <f>E234*F234</f>
        <v>0</v>
      </c>
      <c r="J234" s="72">
        <v>1.05772</v>
      </c>
      <c r="K234" s="72">
        <f>E234*J234</f>
        <v>0.0317316</v>
      </c>
      <c r="L234" s="35" t="s">
        <v>1959</v>
      </c>
      <c r="M234" s="35" t="s">
        <v>122</v>
      </c>
      <c r="N234" s="26">
        <f>IF(M234="5",H234,0)</f>
        <v>0</v>
      </c>
      <c r="Y234" s="26">
        <f>IF(AC234=0,I234,0)</f>
        <v>0</v>
      </c>
      <c r="Z234" s="26">
        <f>IF(AC234=15,I234,0)</f>
        <v>0</v>
      </c>
      <c r="AA234" s="26">
        <f>IF(AC234=21,I234,0)</f>
        <v>0</v>
      </c>
      <c r="AC234" s="12">
        <v>21</v>
      </c>
      <c r="AD234" s="12">
        <f>F234*0.749001045296167</f>
        <v>0</v>
      </c>
      <c r="AE234" s="12">
        <f>F234*(1-0.749001045296167)</f>
        <v>0</v>
      </c>
      <c r="AL234" s="12">
        <f>E234*AD234</f>
        <v>0</v>
      </c>
      <c r="AM234" s="12">
        <f>E234*AE234</f>
        <v>0</v>
      </c>
      <c r="AN234" s="38" t="s">
        <v>1989</v>
      </c>
      <c r="AO234" s="38" t="s">
        <v>2026</v>
      </c>
      <c r="AP234" s="32" t="s">
        <v>2044</v>
      </c>
    </row>
    <row r="235" ht="12.75">
      <c r="C235" s="24" t="s">
        <v>1386</v>
      </c>
    </row>
    <row r="236" spans="1:42" ht="12.75">
      <c r="A236" s="50" t="s">
        <v>237</v>
      </c>
      <c r="B236" s="17" t="s">
        <v>788</v>
      </c>
      <c r="C236" s="17" t="s">
        <v>1387</v>
      </c>
      <c r="D236" s="17" t="s">
        <v>1948</v>
      </c>
      <c r="E236" s="26">
        <v>1</v>
      </c>
      <c r="F236" s="26">
        <v>0</v>
      </c>
      <c r="G236" s="26">
        <f>E236*AD236</f>
        <v>0</v>
      </c>
      <c r="H236" s="26">
        <f>I236-G236</f>
        <v>0</v>
      </c>
      <c r="I236" s="26">
        <f>E236*F236</f>
        <v>0</v>
      </c>
      <c r="J236" s="72">
        <v>0</v>
      </c>
      <c r="K236" s="72">
        <f>E236*J236</f>
        <v>0</v>
      </c>
      <c r="L236" s="35" t="s">
        <v>1961</v>
      </c>
      <c r="M236" s="35" t="s">
        <v>122</v>
      </c>
      <c r="N236" s="26">
        <f>IF(M236="5",H236,0)</f>
        <v>0</v>
      </c>
      <c r="Y236" s="26">
        <f>IF(AC236=0,I236,0)</f>
        <v>0</v>
      </c>
      <c r="Z236" s="26">
        <f>IF(AC236=15,I236,0)</f>
        <v>0</v>
      </c>
      <c r="AA236" s="26">
        <f>IF(AC236=21,I236,0)</f>
        <v>0</v>
      </c>
      <c r="AC236" s="12">
        <v>21</v>
      </c>
      <c r="AD236" s="12">
        <f>F236*0</f>
        <v>0</v>
      </c>
      <c r="AE236" s="12">
        <f>F236*(1-0)</f>
        <v>0</v>
      </c>
      <c r="AL236" s="12">
        <f>E236*AD236</f>
        <v>0</v>
      </c>
      <c r="AM236" s="12">
        <f>E236*AE236</f>
        <v>0</v>
      </c>
      <c r="AN236" s="38" t="s">
        <v>1989</v>
      </c>
      <c r="AO236" s="38" t="s">
        <v>2026</v>
      </c>
      <c r="AP236" s="32" t="s">
        <v>2044</v>
      </c>
    </row>
    <row r="237" spans="1:42" s="60" customFormat="1" ht="26.25">
      <c r="A237" s="56" t="s">
        <v>238</v>
      </c>
      <c r="B237" s="57" t="s">
        <v>789</v>
      </c>
      <c r="C237" s="57" t="s">
        <v>1388</v>
      </c>
      <c r="D237" s="57" t="s">
        <v>1949</v>
      </c>
      <c r="E237" s="58">
        <v>649.4</v>
      </c>
      <c r="F237" s="58">
        <v>0</v>
      </c>
      <c r="G237" s="58">
        <f>E237*AD237</f>
        <v>0</v>
      </c>
      <c r="H237" s="58">
        <f>I237-G237</f>
        <v>0</v>
      </c>
      <c r="I237" s="58">
        <f>E237*F237</f>
        <v>0</v>
      </c>
      <c r="J237" s="77">
        <v>0.6394</v>
      </c>
      <c r="K237" s="77">
        <f>E237*J237</f>
        <v>415.22635999999994</v>
      </c>
      <c r="L237" s="59" t="s">
        <v>1961</v>
      </c>
      <c r="M237" s="59" t="s">
        <v>124</v>
      </c>
      <c r="N237" s="58">
        <f>IF(M237="5",H237,0)</f>
        <v>0</v>
      </c>
      <c r="Y237" s="58">
        <f>IF(AC237=0,I237,0)</f>
        <v>0</v>
      </c>
      <c r="Z237" s="58">
        <f>IF(AC237=15,I237,0)</f>
        <v>0</v>
      </c>
      <c r="AA237" s="58">
        <f>IF(AC237=21,I237,0)</f>
        <v>0</v>
      </c>
      <c r="AC237" s="61">
        <v>21</v>
      </c>
      <c r="AD237" s="61">
        <f>F237*0.321428571428571</f>
        <v>0</v>
      </c>
      <c r="AE237" s="61">
        <f>F237*(1-0.321428571428571)</f>
        <v>0</v>
      </c>
      <c r="AL237" s="61">
        <f>E237*AD237</f>
        <v>0</v>
      </c>
      <c r="AM237" s="61">
        <f>E237*AE237</f>
        <v>0</v>
      </c>
      <c r="AN237" s="62" t="s">
        <v>1989</v>
      </c>
      <c r="AO237" s="62" t="s">
        <v>2026</v>
      </c>
      <c r="AP237" s="63" t="s">
        <v>2044</v>
      </c>
    </row>
    <row r="238" ht="52.5">
      <c r="C238" s="24" t="s">
        <v>1389</v>
      </c>
    </row>
    <row r="239" spans="1:42" s="60" customFormat="1" ht="26.25">
      <c r="A239" s="56" t="s">
        <v>239</v>
      </c>
      <c r="B239" s="57" t="s">
        <v>790</v>
      </c>
      <c r="C239" s="57" t="s">
        <v>1390</v>
      </c>
      <c r="D239" s="57" t="s">
        <v>1947</v>
      </c>
      <c r="E239" s="58">
        <v>2</v>
      </c>
      <c r="F239" s="58">
        <v>0</v>
      </c>
      <c r="G239" s="58">
        <f>E239*AD239</f>
        <v>0</v>
      </c>
      <c r="H239" s="58">
        <f>I239-G239</f>
        <v>0</v>
      </c>
      <c r="I239" s="58">
        <f>E239*F239</f>
        <v>0</v>
      </c>
      <c r="J239" s="77">
        <v>0.11842</v>
      </c>
      <c r="K239" s="77">
        <f>E239*J239</f>
        <v>0.23684</v>
      </c>
      <c r="L239" s="59" t="s">
        <v>1962</v>
      </c>
      <c r="M239" s="59" t="s">
        <v>124</v>
      </c>
      <c r="N239" s="58">
        <f>IF(M239="5",H239,0)</f>
        <v>0</v>
      </c>
      <c r="Y239" s="58">
        <f>IF(AC239=0,I239,0)</f>
        <v>0</v>
      </c>
      <c r="Z239" s="58">
        <f>IF(AC239=15,I239,0)</f>
        <v>0</v>
      </c>
      <c r="AA239" s="58">
        <f>IF(AC239=21,I239,0)</f>
        <v>0</v>
      </c>
      <c r="AC239" s="61">
        <v>21</v>
      </c>
      <c r="AD239" s="61">
        <f>F239*0.771484894173087</f>
        <v>0</v>
      </c>
      <c r="AE239" s="61">
        <f>F239*(1-0.771484894173087)</f>
        <v>0</v>
      </c>
      <c r="AL239" s="61">
        <f>E239*AD239</f>
        <v>0</v>
      </c>
      <c r="AM239" s="61">
        <f>E239*AE239</f>
        <v>0</v>
      </c>
      <c r="AN239" s="62" t="s">
        <v>1989</v>
      </c>
      <c r="AO239" s="62" t="s">
        <v>2026</v>
      </c>
      <c r="AP239" s="63" t="s">
        <v>2044</v>
      </c>
    </row>
    <row r="240" ht="12.75">
      <c r="C240" s="24" t="s">
        <v>1391</v>
      </c>
    </row>
    <row r="241" spans="1:42" ht="12.75">
      <c r="A241" s="50" t="s">
        <v>240</v>
      </c>
      <c r="B241" s="17" t="s">
        <v>791</v>
      </c>
      <c r="C241" s="17" t="s">
        <v>1392</v>
      </c>
      <c r="D241" s="17" t="s">
        <v>1941</v>
      </c>
      <c r="E241" s="26">
        <v>9.05</v>
      </c>
      <c r="F241" s="26">
        <v>0</v>
      </c>
      <c r="G241" s="26">
        <f>E241*AD241</f>
        <v>0</v>
      </c>
      <c r="H241" s="26">
        <f>I241-G241</f>
        <v>0</v>
      </c>
      <c r="I241" s="26">
        <f>E241*F241</f>
        <v>0</v>
      </c>
      <c r="J241" s="72">
        <v>0.01693</v>
      </c>
      <c r="K241" s="72">
        <f>E241*J241</f>
        <v>0.1532165</v>
      </c>
      <c r="L241" s="35" t="s">
        <v>1959</v>
      </c>
      <c r="M241" s="35" t="s">
        <v>122</v>
      </c>
      <c r="N241" s="26">
        <f>IF(M241="5",H241,0)</f>
        <v>0</v>
      </c>
      <c r="Y241" s="26">
        <f>IF(AC241=0,I241,0)</f>
        <v>0</v>
      </c>
      <c r="Z241" s="26">
        <f>IF(AC241=15,I241,0)</f>
        <v>0</v>
      </c>
      <c r="AA241" s="26">
        <f>IF(AC241=21,I241,0)</f>
        <v>0</v>
      </c>
      <c r="AC241" s="12">
        <v>21</v>
      </c>
      <c r="AD241" s="12">
        <f>F241*0.535368126747437</f>
        <v>0</v>
      </c>
      <c r="AE241" s="12">
        <f>F241*(1-0.535368126747437)</f>
        <v>0</v>
      </c>
      <c r="AL241" s="12">
        <f>E241*AD241</f>
        <v>0</v>
      </c>
      <c r="AM241" s="12">
        <f>E241*AE241</f>
        <v>0</v>
      </c>
      <c r="AN241" s="38" t="s">
        <v>1989</v>
      </c>
      <c r="AO241" s="38" t="s">
        <v>2026</v>
      </c>
      <c r="AP241" s="32" t="s">
        <v>2044</v>
      </c>
    </row>
    <row r="242" ht="26.25">
      <c r="C242" s="24" t="s">
        <v>1393</v>
      </c>
    </row>
    <row r="243" spans="1:42" ht="12.75">
      <c r="A243" s="50" t="s">
        <v>241</v>
      </c>
      <c r="B243" s="17" t="s">
        <v>792</v>
      </c>
      <c r="C243" s="17" t="s">
        <v>1394</v>
      </c>
      <c r="D243" s="17" t="s">
        <v>1941</v>
      </c>
      <c r="E243" s="26">
        <v>9.05</v>
      </c>
      <c r="F243" s="26">
        <v>0</v>
      </c>
      <c r="G243" s="26">
        <f>E243*AD243</f>
        <v>0</v>
      </c>
      <c r="H243" s="26">
        <f>I243-G243</f>
        <v>0</v>
      </c>
      <c r="I243" s="26">
        <f>E243*F243</f>
        <v>0</v>
      </c>
      <c r="J243" s="72">
        <v>0</v>
      </c>
      <c r="K243" s="72">
        <f>E243*J243</f>
        <v>0</v>
      </c>
      <c r="L243" s="35" t="s">
        <v>1959</v>
      </c>
      <c r="M243" s="35" t="s">
        <v>122</v>
      </c>
      <c r="N243" s="26">
        <f>IF(M243="5",H243,0)</f>
        <v>0</v>
      </c>
      <c r="Y243" s="26">
        <f>IF(AC243=0,I243,0)</f>
        <v>0</v>
      </c>
      <c r="Z243" s="26">
        <f>IF(AC243=15,I243,0)</f>
        <v>0</v>
      </c>
      <c r="AA243" s="26">
        <f>IF(AC243=21,I243,0)</f>
        <v>0</v>
      </c>
      <c r="AC243" s="12">
        <v>21</v>
      </c>
      <c r="AD243" s="12">
        <f>F243*0</f>
        <v>0</v>
      </c>
      <c r="AE243" s="12">
        <f>F243*(1-0)</f>
        <v>0</v>
      </c>
      <c r="AL243" s="12">
        <f>E243*AD243</f>
        <v>0</v>
      </c>
      <c r="AM243" s="12">
        <f>E243*AE243</f>
        <v>0</v>
      </c>
      <c r="AN243" s="38" t="s">
        <v>1989</v>
      </c>
      <c r="AO243" s="38" t="s">
        <v>2026</v>
      </c>
      <c r="AP243" s="32" t="s">
        <v>2044</v>
      </c>
    </row>
    <row r="244" ht="12.75">
      <c r="C244" s="24" t="s">
        <v>1395</v>
      </c>
    </row>
    <row r="245" spans="1:36" ht="12.75">
      <c r="A245" s="52"/>
      <c r="B245" s="23" t="s">
        <v>20</v>
      </c>
      <c r="C245" s="121" t="s">
        <v>67</v>
      </c>
      <c r="D245" s="122"/>
      <c r="E245" s="122"/>
      <c r="F245" s="122"/>
      <c r="G245" s="40">
        <f>SUM(G246:G272)</f>
        <v>0</v>
      </c>
      <c r="H245" s="40">
        <f>SUM(H246:H272)</f>
        <v>0</v>
      </c>
      <c r="I245" s="40">
        <f>G245+H245</f>
        <v>0</v>
      </c>
      <c r="J245" s="74"/>
      <c r="K245" s="74">
        <f>SUM(K246:K272)</f>
        <v>223.1446303</v>
      </c>
      <c r="L245" s="32"/>
      <c r="O245" s="40">
        <f>IF(P245="PR",I245,SUM(N246:N272))</f>
        <v>0</v>
      </c>
      <c r="P245" s="32" t="s">
        <v>1967</v>
      </c>
      <c r="Q245" s="40">
        <f>IF(P245="HS",G245,0)</f>
        <v>0</v>
      </c>
      <c r="R245" s="40">
        <f>IF(P245="HS",H245-O245,0)</f>
        <v>0</v>
      </c>
      <c r="S245" s="40">
        <f>IF(P245="PS",G245,0)</f>
        <v>0</v>
      </c>
      <c r="T245" s="40">
        <f>IF(P245="PS",H245-O245,0)</f>
        <v>0</v>
      </c>
      <c r="U245" s="40">
        <f>IF(P245="MP",G245,0)</f>
        <v>0</v>
      </c>
      <c r="V245" s="40">
        <f>IF(P245="MP",H245-O245,0)</f>
        <v>0</v>
      </c>
      <c r="W245" s="40">
        <f>IF(P245="OM",G245,0)</f>
        <v>0</v>
      </c>
      <c r="X245" s="32"/>
      <c r="AH245" s="40">
        <f>SUM(Y246:Y272)</f>
        <v>0</v>
      </c>
      <c r="AI245" s="40">
        <f>SUM(Z246:Z272)</f>
        <v>0</v>
      </c>
      <c r="AJ245" s="40">
        <f>SUM(AA246:AA272)</f>
        <v>0</v>
      </c>
    </row>
    <row r="246" spans="1:42" ht="12.75">
      <c r="A246" s="50" t="s">
        <v>242</v>
      </c>
      <c r="B246" s="17" t="s">
        <v>793</v>
      </c>
      <c r="C246" s="17" t="s">
        <v>1396</v>
      </c>
      <c r="D246" s="17" t="s">
        <v>1941</v>
      </c>
      <c r="E246" s="26">
        <v>721</v>
      </c>
      <c r="F246" s="26">
        <v>0</v>
      </c>
      <c r="G246" s="26">
        <f>E246*AD246</f>
        <v>0</v>
      </c>
      <c r="H246" s="26">
        <f>I246-G246</f>
        <v>0</v>
      </c>
      <c r="I246" s="26">
        <f>E246*F246</f>
        <v>0</v>
      </c>
      <c r="J246" s="72">
        <v>0</v>
      </c>
      <c r="K246" s="72">
        <f>E246*J246</f>
        <v>0</v>
      </c>
      <c r="L246" s="35" t="s">
        <v>1959</v>
      </c>
      <c r="M246" s="35" t="s">
        <v>122</v>
      </c>
      <c r="N246" s="26">
        <f>IF(M246="5",H246,0)</f>
        <v>0</v>
      </c>
      <c r="Y246" s="26">
        <f>IF(AC246=0,I246,0)</f>
        <v>0</v>
      </c>
      <c r="Z246" s="26">
        <f>IF(AC246=15,I246,0)</f>
        <v>0</v>
      </c>
      <c r="AA246" s="26">
        <f>IF(AC246=21,I246,0)</f>
        <v>0</v>
      </c>
      <c r="AC246" s="12">
        <v>21</v>
      </c>
      <c r="AD246" s="12">
        <f>F246*0.57408945686901</f>
        <v>0</v>
      </c>
      <c r="AE246" s="12">
        <f>F246*(1-0.57408945686901)</f>
        <v>0</v>
      </c>
      <c r="AL246" s="12">
        <f>E246*AD246</f>
        <v>0</v>
      </c>
      <c r="AM246" s="12">
        <f>E246*AE246</f>
        <v>0</v>
      </c>
      <c r="AN246" s="38" t="s">
        <v>1990</v>
      </c>
      <c r="AO246" s="38" t="s">
        <v>2027</v>
      </c>
      <c r="AP246" s="32" t="s">
        <v>2037</v>
      </c>
    </row>
    <row r="247" ht="12.75">
      <c r="C247" s="24" t="s">
        <v>1397</v>
      </c>
    </row>
    <row r="248" spans="1:42" ht="12.75">
      <c r="A248" s="50" t="s">
        <v>243</v>
      </c>
      <c r="B248" s="17" t="s">
        <v>794</v>
      </c>
      <c r="C248" s="17" t="s">
        <v>1398</v>
      </c>
      <c r="D248" s="17" t="s">
        <v>1941</v>
      </c>
      <c r="E248" s="26">
        <v>721</v>
      </c>
      <c r="F248" s="26">
        <v>0</v>
      </c>
      <c r="G248" s="26">
        <f>E248*AD248</f>
        <v>0</v>
      </c>
      <c r="H248" s="26">
        <f>I248-G248</f>
        <v>0</v>
      </c>
      <c r="I248" s="26">
        <f>E248*F248</f>
        <v>0</v>
      </c>
      <c r="J248" s="72">
        <v>0</v>
      </c>
      <c r="K248" s="72">
        <f>E248*J248</f>
        <v>0</v>
      </c>
      <c r="L248" s="35" t="s">
        <v>1959</v>
      </c>
      <c r="M248" s="35" t="s">
        <v>122</v>
      </c>
      <c r="N248" s="26">
        <f>IF(M248="5",H248,0)</f>
        <v>0</v>
      </c>
      <c r="Y248" s="26">
        <f>IF(AC248=0,I248,0)</f>
        <v>0</v>
      </c>
      <c r="Z248" s="26">
        <f>IF(AC248=15,I248,0)</f>
        <v>0</v>
      </c>
      <c r="AA248" s="26">
        <f>IF(AC248=21,I248,0)</f>
        <v>0</v>
      </c>
      <c r="AC248" s="12">
        <v>21</v>
      </c>
      <c r="AD248" s="12">
        <f>F248*0.492043010752688</f>
        <v>0</v>
      </c>
      <c r="AE248" s="12">
        <f>F248*(1-0.492043010752688)</f>
        <v>0</v>
      </c>
      <c r="AL248" s="12">
        <f>E248*AD248</f>
        <v>0</v>
      </c>
      <c r="AM248" s="12">
        <f>E248*AE248</f>
        <v>0</v>
      </c>
      <c r="AN248" s="38" t="s">
        <v>1990</v>
      </c>
      <c r="AO248" s="38" t="s">
        <v>2027</v>
      </c>
      <c r="AP248" s="32" t="s">
        <v>2037</v>
      </c>
    </row>
    <row r="249" ht="12.75">
      <c r="C249" s="24" t="s">
        <v>1397</v>
      </c>
    </row>
    <row r="250" spans="1:42" ht="12.75">
      <c r="A250" s="50" t="s">
        <v>244</v>
      </c>
      <c r="B250" s="17" t="s">
        <v>795</v>
      </c>
      <c r="C250" s="17" t="s">
        <v>1399</v>
      </c>
      <c r="D250" s="17" t="s">
        <v>1941</v>
      </c>
      <c r="E250" s="26">
        <v>679.8</v>
      </c>
      <c r="F250" s="26">
        <v>0</v>
      </c>
      <c r="G250" s="26">
        <f>E250*AD250</f>
        <v>0</v>
      </c>
      <c r="H250" s="26">
        <f>I250-G250</f>
        <v>0</v>
      </c>
      <c r="I250" s="26">
        <f>E250*F250</f>
        <v>0</v>
      </c>
      <c r="J250" s="72">
        <v>0</v>
      </c>
      <c r="K250" s="72">
        <f>E250*J250</f>
        <v>0</v>
      </c>
      <c r="L250" s="35" t="s">
        <v>1959</v>
      </c>
      <c r="M250" s="35" t="s">
        <v>122</v>
      </c>
      <c r="N250" s="26">
        <f>IF(M250="5",H250,0)</f>
        <v>0</v>
      </c>
      <c r="Y250" s="26">
        <f>IF(AC250=0,I250,0)</f>
        <v>0</v>
      </c>
      <c r="Z250" s="26">
        <f>IF(AC250=15,I250,0)</f>
        <v>0</v>
      </c>
      <c r="AA250" s="26">
        <f>IF(AC250=21,I250,0)</f>
        <v>0</v>
      </c>
      <c r="AC250" s="12">
        <v>21</v>
      </c>
      <c r="AD250" s="12">
        <f>F250*0.248101265822785</f>
        <v>0</v>
      </c>
      <c r="AE250" s="12">
        <f>F250*(1-0.248101265822785)</f>
        <v>0</v>
      </c>
      <c r="AL250" s="12">
        <f>E250*AD250</f>
        <v>0</v>
      </c>
      <c r="AM250" s="12">
        <f>E250*AE250</f>
        <v>0</v>
      </c>
      <c r="AN250" s="38" t="s">
        <v>1990</v>
      </c>
      <c r="AO250" s="38" t="s">
        <v>2027</v>
      </c>
      <c r="AP250" s="32" t="s">
        <v>2037</v>
      </c>
    </row>
    <row r="251" ht="12.75">
      <c r="C251" s="24" t="s">
        <v>1397</v>
      </c>
    </row>
    <row r="252" spans="1:42" ht="12.75">
      <c r="A252" s="50" t="s">
        <v>245</v>
      </c>
      <c r="B252" s="17" t="s">
        <v>796</v>
      </c>
      <c r="C252" s="17" t="s">
        <v>1400</v>
      </c>
      <c r="D252" s="17" t="s">
        <v>1941</v>
      </c>
      <c r="E252" s="26">
        <v>721</v>
      </c>
      <c r="F252" s="26">
        <v>0</v>
      </c>
      <c r="G252" s="26">
        <f>E252*AD252</f>
        <v>0</v>
      </c>
      <c r="H252" s="26">
        <f>I252-G252</f>
        <v>0</v>
      </c>
      <c r="I252" s="26">
        <f>E252*F252</f>
        <v>0</v>
      </c>
      <c r="J252" s="72">
        <v>0</v>
      </c>
      <c r="K252" s="72">
        <f>E252*J252</f>
        <v>0</v>
      </c>
      <c r="L252" s="35" t="s">
        <v>1959</v>
      </c>
      <c r="M252" s="35" t="s">
        <v>122</v>
      </c>
      <c r="N252" s="26">
        <f>IF(M252="5",H252,0)</f>
        <v>0</v>
      </c>
      <c r="Y252" s="26">
        <f>IF(AC252=0,I252,0)</f>
        <v>0</v>
      </c>
      <c r="Z252" s="26">
        <f>IF(AC252=15,I252,0)</f>
        <v>0</v>
      </c>
      <c r="AA252" s="26">
        <f>IF(AC252=21,I252,0)</f>
        <v>0</v>
      </c>
      <c r="AC252" s="12">
        <v>21</v>
      </c>
      <c r="AD252" s="12">
        <f>F252*0.485818181818182</f>
        <v>0</v>
      </c>
      <c r="AE252" s="12">
        <f>F252*(1-0.485818181818182)</f>
        <v>0</v>
      </c>
      <c r="AL252" s="12">
        <f>E252*AD252</f>
        <v>0</v>
      </c>
      <c r="AM252" s="12">
        <f>E252*AE252</f>
        <v>0</v>
      </c>
      <c r="AN252" s="38" t="s">
        <v>1990</v>
      </c>
      <c r="AO252" s="38" t="s">
        <v>2027</v>
      </c>
      <c r="AP252" s="32" t="s">
        <v>2037</v>
      </c>
    </row>
    <row r="253" ht="12.75">
      <c r="C253" s="24" t="s">
        <v>1401</v>
      </c>
    </row>
    <row r="254" spans="1:42" ht="12.75">
      <c r="A254" s="50" t="s">
        <v>246</v>
      </c>
      <c r="B254" s="17" t="s">
        <v>797</v>
      </c>
      <c r="C254" s="17" t="s">
        <v>1402</v>
      </c>
      <c r="D254" s="17" t="s">
        <v>1941</v>
      </c>
      <c r="E254" s="26">
        <v>721</v>
      </c>
      <c r="F254" s="26">
        <v>0</v>
      </c>
      <c r="G254" s="26">
        <f>E254*AD254</f>
        <v>0</v>
      </c>
      <c r="H254" s="26">
        <f>I254-G254</f>
        <v>0</v>
      </c>
      <c r="I254" s="26">
        <f>E254*F254</f>
        <v>0</v>
      </c>
      <c r="J254" s="72">
        <v>0.0005</v>
      </c>
      <c r="K254" s="72">
        <f>E254*J254</f>
        <v>0.3605</v>
      </c>
      <c r="L254" s="35" t="s">
        <v>1959</v>
      </c>
      <c r="M254" s="35" t="s">
        <v>122</v>
      </c>
      <c r="N254" s="26">
        <f>IF(M254="5",H254,0)</f>
        <v>0</v>
      </c>
      <c r="Y254" s="26">
        <f>IF(AC254=0,I254,0)</f>
        <v>0</v>
      </c>
      <c r="Z254" s="26">
        <f>IF(AC254=15,I254,0)</f>
        <v>0</v>
      </c>
      <c r="AA254" s="26">
        <f>IF(AC254=21,I254,0)</f>
        <v>0</v>
      </c>
      <c r="AC254" s="12">
        <v>21</v>
      </c>
      <c r="AD254" s="12">
        <f>F254*0.785424588086185</f>
        <v>0</v>
      </c>
      <c r="AE254" s="12">
        <f>F254*(1-0.785424588086185)</f>
        <v>0</v>
      </c>
      <c r="AL254" s="12">
        <f>E254*AD254</f>
        <v>0</v>
      </c>
      <c r="AM254" s="12">
        <f>E254*AE254</f>
        <v>0</v>
      </c>
      <c r="AN254" s="38" t="s">
        <v>1990</v>
      </c>
      <c r="AO254" s="38" t="s">
        <v>2027</v>
      </c>
      <c r="AP254" s="32" t="s">
        <v>2037</v>
      </c>
    </row>
    <row r="255" ht="12.75">
      <c r="C255" s="24" t="s">
        <v>1403</v>
      </c>
    </row>
    <row r="256" spans="1:42" ht="12.75">
      <c r="A256" s="50" t="s">
        <v>247</v>
      </c>
      <c r="B256" s="17" t="s">
        <v>798</v>
      </c>
      <c r="C256" s="17" t="s">
        <v>1404</v>
      </c>
      <c r="D256" s="17" t="s">
        <v>1941</v>
      </c>
      <c r="E256" s="26">
        <v>732.9</v>
      </c>
      <c r="F256" s="26">
        <v>0</v>
      </c>
      <c r="G256" s="26">
        <f>E256*AD256</f>
        <v>0</v>
      </c>
      <c r="H256" s="26">
        <f>I256-G256</f>
        <v>0</v>
      </c>
      <c r="I256" s="26">
        <f>E256*F256</f>
        <v>0</v>
      </c>
      <c r="J256" s="72">
        <v>0.025</v>
      </c>
      <c r="K256" s="72">
        <f>E256*J256</f>
        <v>18.3225</v>
      </c>
      <c r="L256" s="35" t="s">
        <v>1959</v>
      </c>
      <c r="M256" s="35" t="s">
        <v>122</v>
      </c>
      <c r="N256" s="26">
        <f>IF(M256="5",H256,0)</f>
        <v>0</v>
      </c>
      <c r="Y256" s="26">
        <f>IF(AC256=0,I256,0)</f>
        <v>0</v>
      </c>
      <c r="Z256" s="26">
        <f>IF(AC256=15,I256,0)</f>
        <v>0</v>
      </c>
      <c r="AA256" s="26">
        <f>IF(AC256=21,I256,0)</f>
        <v>0</v>
      </c>
      <c r="AC256" s="12">
        <v>21</v>
      </c>
      <c r="AD256" s="12">
        <f>F256*0.262515262515263</f>
        <v>0</v>
      </c>
      <c r="AE256" s="12">
        <f>F256*(1-0.262515262515263)</f>
        <v>0</v>
      </c>
      <c r="AL256" s="12">
        <f>E256*AD256</f>
        <v>0</v>
      </c>
      <c r="AM256" s="12">
        <f>E256*AE256</f>
        <v>0</v>
      </c>
      <c r="AN256" s="38" t="s">
        <v>1990</v>
      </c>
      <c r="AO256" s="38" t="s">
        <v>2027</v>
      </c>
      <c r="AP256" s="32" t="s">
        <v>2046</v>
      </c>
    </row>
    <row r="257" ht="12.75">
      <c r="C257" s="24" t="s">
        <v>1405</v>
      </c>
    </row>
    <row r="258" spans="1:42" ht="12.75">
      <c r="A258" s="50" t="s">
        <v>248</v>
      </c>
      <c r="B258" s="17" t="s">
        <v>799</v>
      </c>
      <c r="C258" s="17" t="s">
        <v>1406</v>
      </c>
      <c r="D258" s="17" t="s">
        <v>1941</v>
      </c>
      <c r="E258" s="26">
        <v>732.9</v>
      </c>
      <c r="F258" s="26">
        <v>0</v>
      </c>
      <c r="G258" s="26">
        <f>E258*AD258</f>
        <v>0</v>
      </c>
      <c r="H258" s="26">
        <f>I258-G258</f>
        <v>0</v>
      </c>
      <c r="I258" s="26">
        <f>E258*F258</f>
        <v>0</v>
      </c>
      <c r="J258" s="72">
        <v>0.00768</v>
      </c>
      <c r="K258" s="72">
        <f>E258*J258</f>
        <v>5.628672</v>
      </c>
      <c r="L258" s="35" t="s">
        <v>1959</v>
      </c>
      <c r="M258" s="35" t="s">
        <v>122</v>
      </c>
      <c r="N258" s="26">
        <f>IF(M258="5",H258,0)</f>
        <v>0</v>
      </c>
      <c r="Y258" s="26">
        <f>IF(AC258=0,I258,0)</f>
        <v>0</v>
      </c>
      <c r="Z258" s="26">
        <f>IF(AC258=15,I258,0)</f>
        <v>0</v>
      </c>
      <c r="AA258" s="26">
        <f>IF(AC258=21,I258,0)</f>
        <v>0</v>
      </c>
      <c r="AC258" s="12">
        <v>21</v>
      </c>
      <c r="AD258" s="12">
        <f>F258*0.234564182880549</f>
        <v>0</v>
      </c>
      <c r="AE258" s="12">
        <f>F258*(1-0.234564182880549)</f>
        <v>0</v>
      </c>
      <c r="AL258" s="12">
        <f>E258*AD258</f>
        <v>0</v>
      </c>
      <c r="AM258" s="12">
        <f>E258*AE258</f>
        <v>0</v>
      </c>
      <c r="AN258" s="38" t="s">
        <v>1990</v>
      </c>
      <c r="AO258" s="38" t="s">
        <v>2027</v>
      </c>
      <c r="AP258" s="32" t="s">
        <v>2046</v>
      </c>
    </row>
    <row r="259" spans="1:42" ht="12.75">
      <c r="A259" s="50" t="s">
        <v>249</v>
      </c>
      <c r="B259" s="17" t="s">
        <v>800</v>
      </c>
      <c r="C259" s="17" t="s">
        <v>1407</v>
      </c>
      <c r="D259" s="17" t="s">
        <v>1941</v>
      </c>
      <c r="E259" s="26">
        <v>60</v>
      </c>
      <c r="F259" s="26">
        <v>0</v>
      </c>
      <c r="G259" s="26">
        <f>E259*AD259</f>
        <v>0</v>
      </c>
      <c r="H259" s="26">
        <f>I259-G259</f>
        <v>0</v>
      </c>
      <c r="I259" s="26">
        <f>E259*F259</f>
        <v>0</v>
      </c>
      <c r="J259" s="72">
        <v>0.10712</v>
      </c>
      <c r="K259" s="72">
        <f>E259*J259</f>
        <v>6.4272</v>
      </c>
      <c r="L259" s="35" t="s">
        <v>1959</v>
      </c>
      <c r="M259" s="35" t="s">
        <v>122</v>
      </c>
      <c r="N259" s="26">
        <f>IF(M259="5",H259,0)</f>
        <v>0</v>
      </c>
      <c r="Y259" s="26">
        <f>IF(AC259=0,I259,0)</f>
        <v>0</v>
      </c>
      <c r="Z259" s="26">
        <f>IF(AC259=15,I259,0)</f>
        <v>0</v>
      </c>
      <c r="AA259" s="26">
        <f>IF(AC259=21,I259,0)</f>
        <v>0</v>
      </c>
      <c r="AC259" s="12">
        <v>21</v>
      </c>
      <c r="AD259" s="12">
        <f>F259*0.327191780821918</f>
        <v>0</v>
      </c>
      <c r="AE259" s="12">
        <f>F259*(1-0.327191780821918)</f>
        <v>0</v>
      </c>
      <c r="AL259" s="12">
        <f>E259*AD259</f>
        <v>0</v>
      </c>
      <c r="AM259" s="12">
        <f>E259*AE259</f>
        <v>0</v>
      </c>
      <c r="AN259" s="38" t="s">
        <v>1990</v>
      </c>
      <c r="AO259" s="38" t="s">
        <v>2027</v>
      </c>
      <c r="AP259" s="32" t="s">
        <v>2046</v>
      </c>
    </row>
    <row r="260" ht="12.75">
      <c r="C260" s="24" t="s">
        <v>1408</v>
      </c>
    </row>
    <row r="261" spans="1:42" ht="12.75">
      <c r="A261" s="50" t="s">
        <v>250</v>
      </c>
      <c r="B261" s="17" t="s">
        <v>801</v>
      </c>
      <c r="C261" s="17" t="s">
        <v>1409</v>
      </c>
      <c r="D261" s="17" t="s">
        <v>1941</v>
      </c>
      <c r="E261" s="26">
        <v>3267.1</v>
      </c>
      <c r="F261" s="26">
        <v>0</v>
      </c>
      <c r="G261" s="26">
        <f>E261*AD261</f>
        <v>0</v>
      </c>
      <c r="H261" s="26">
        <f>I261-G261</f>
        <v>0</v>
      </c>
      <c r="I261" s="26">
        <f>E261*F261</f>
        <v>0</v>
      </c>
      <c r="J261" s="72">
        <v>0.02192</v>
      </c>
      <c r="K261" s="72">
        <f>E261*J261</f>
        <v>71.61483199999999</v>
      </c>
      <c r="L261" s="35" t="s">
        <v>1959</v>
      </c>
      <c r="M261" s="35" t="s">
        <v>122</v>
      </c>
      <c r="N261" s="26">
        <f>IF(M261="5",H261,0)</f>
        <v>0</v>
      </c>
      <c r="Y261" s="26">
        <f>IF(AC261=0,I261,0)</f>
        <v>0</v>
      </c>
      <c r="Z261" s="26">
        <f>IF(AC261=15,I261,0)</f>
        <v>0</v>
      </c>
      <c r="AA261" s="26">
        <f>IF(AC261=21,I261,0)</f>
        <v>0</v>
      </c>
      <c r="AC261" s="12">
        <v>21</v>
      </c>
      <c r="AD261" s="12">
        <f>F261*0.238848920863309</f>
        <v>0</v>
      </c>
      <c r="AE261" s="12">
        <f>F261*(1-0.238848920863309)</f>
        <v>0</v>
      </c>
      <c r="AL261" s="12">
        <f>E261*AD261</f>
        <v>0</v>
      </c>
      <c r="AM261" s="12">
        <f>E261*AE261</f>
        <v>0</v>
      </c>
      <c r="AN261" s="38" t="s">
        <v>1990</v>
      </c>
      <c r="AO261" s="38" t="s">
        <v>2027</v>
      </c>
      <c r="AP261" s="32" t="s">
        <v>2046</v>
      </c>
    </row>
    <row r="262" ht="12.75">
      <c r="C262" s="24" t="s">
        <v>1410</v>
      </c>
    </row>
    <row r="263" spans="1:42" ht="12.75">
      <c r="A263" s="50" t="s">
        <v>251</v>
      </c>
      <c r="B263" s="17" t="s">
        <v>802</v>
      </c>
      <c r="C263" s="17" t="s">
        <v>1411</v>
      </c>
      <c r="D263" s="17" t="s">
        <v>1941</v>
      </c>
      <c r="E263" s="26">
        <v>1624.6</v>
      </c>
      <c r="F263" s="26">
        <v>0</v>
      </c>
      <c r="G263" s="26">
        <f>E263*AD263</f>
        <v>0</v>
      </c>
      <c r="H263" s="26">
        <f>I263-G263</f>
        <v>0</v>
      </c>
      <c r="I263" s="26">
        <f>E263*F263</f>
        <v>0</v>
      </c>
      <c r="J263" s="72">
        <v>0.03921</v>
      </c>
      <c r="K263" s="72">
        <f>E263*J263</f>
        <v>63.700566</v>
      </c>
      <c r="L263" s="35" t="s">
        <v>1959</v>
      </c>
      <c r="M263" s="35" t="s">
        <v>122</v>
      </c>
      <c r="N263" s="26">
        <f>IF(M263="5",H263,0)</f>
        <v>0</v>
      </c>
      <c r="Y263" s="26">
        <f>IF(AC263=0,I263,0)</f>
        <v>0</v>
      </c>
      <c r="Z263" s="26">
        <f>IF(AC263=15,I263,0)</f>
        <v>0</v>
      </c>
      <c r="AA263" s="26">
        <f>IF(AC263=21,I263,0)</f>
        <v>0</v>
      </c>
      <c r="AC263" s="12">
        <v>21</v>
      </c>
      <c r="AD263" s="12">
        <f>F263*0.207909540314791</f>
        <v>0</v>
      </c>
      <c r="AE263" s="12">
        <f>F263*(1-0.207909540314791)</f>
        <v>0</v>
      </c>
      <c r="AL263" s="12">
        <f>E263*AD263</f>
        <v>0</v>
      </c>
      <c r="AM263" s="12">
        <f>E263*AE263</f>
        <v>0</v>
      </c>
      <c r="AN263" s="38" t="s">
        <v>1990</v>
      </c>
      <c r="AO263" s="38" t="s">
        <v>2027</v>
      </c>
      <c r="AP263" s="32" t="s">
        <v>2046</v>
      </c>
    </row>
    <row r="264" ht="12.75">
      <c r="C264" s="24" t="s">
        <v>1412</v>
      </c>
    </row>
    <row r="265" spans="1:42" ht="12.75">
      <c r="A265" s="50" t="s">
        <v>252</v>
      </c>
      <c r="B265" s="17" t="s">
        <v>803</v>
      </c>
      <c r="C265" s="17" t="s">
        <v>1413</v>
      </c>
      <c r="D265" s="17" t="s">
        <v>1941</v>
      </c>
      <c r="E265" s="26">
        <v>405.21</v>
      </c>
      <c r="F265" s="26">
        <v>0</v>
      </c>
      <c r="G265" s="26">
        <f>E265*AD265</f>
        <v>0</v>
      </c>
      <c r="H265" s="26">
        <f>I265-G265</f>
        <v>0</v>
      </c>
      <c r="I265" s="26">
        <f>E265*F265</f>
        <v>0</v>
      </c>
      <c r="J265" s="72">
        <v>0.04414</v>
      </c>
      <c r="K265" s="72">
        <f>E265*J265</f>
        <v>17.885969399999997</v>
      </c>
      <c r="L265" s="35" t="s">
        <v>1959</v>
      </c>
      <c r="M265" s="35" t="s">
        <v>122</v>
      </c>
      <c r="N265" s="26">
        <f>IF(M265="5",H265,0)</f>
        <v>0</v>
      </c>
      <c r="Y265" s="26">
        <f>IF(AC265=0,I265,0)</f>
        <v>0</v>
      </c>
      <c r="Z265" s="26">
        <f>IF(AC265=15,I265,0)</f>
        <v>0</v>
      </c>
      <c r="AA265" s="26">
        <f>IF(AC265=21,I265,0)</f>
        <v>0</v>
      </c>
      <c r="AC265" s="12">
        <v>21</v>
      </c>
      <c r="AD265" s="12">
        <f>F265*0.20625</f>
        <v>0</v>
      </c>
      <c r="AE265" s="12">
        <f>F265*(1-0.20625)</f>
        <v>0</v>
      </c>
      <c r="AL265" s="12">
        <f>E265*AD265</f>
        <v>0</v>
      </c>
      <c r="AM265" s="12">
        <f>E265*AE265</f>
        <v>0</v>
      </c>
      <c r="AN265" s="38" t="s">
        <v>1990</v>
      </c>
      <c r="AO265" s="38" t="s">
        <v>2027</v>
      </c>
      <c r="AP265" s="32" t="s">
        <v>2046</v>
      </c>
    </row>
    <row r="266" ht="12.75">
      <c r="C266" s="24" t="s">
        <v>1414</v>
      </c>
    </row>
    <row r="267" spans="1:42" ht="12.75">
      <c r="A267" s="50" t="s">
        <v>253</v>
      </c>
      <c r="B267" s="17" t="s">
        <v>804</v>
      </c>
      <c r="C267" s="17" t="s">
        <v>1415</v>
      </c>
      <c r="D267" s="17" t="s">
        <v>1941</v>
      </c>
      <c r="E267" s="26">
        <v>4891.7</v>
      </c>
      <c r="F267" s="26">
        <v>0</v>
      </c>
      <c r="G267" s="26">
        <f>E267*AD267</f>
        <v>0</v>
      </c>
      <c r="H267" s="26">
        <f>I267-G267</f>
        <v>0</v>
      </c>
      <c r="I267" s="26">
        <f>E267*F267</f>
        <v>0</v>
      </c>
      <c r="J267" s="72">
        <v>0.00635</v>
      </c>
      <c r="K267" s="72">
        <f>E267*J267</f>
        <v>31.062295</v>
      </c>
      <c r="L267" s="35" t="s">
        <v>1959</v>
      </c>
      <c r="M267" s="35" t="s">
        <v>122</v>
      </c>
      <c r="N267" s="26">
        <f>IF(M267="5",H267,0)</f>
        <v>0</v>
      </c>
      <c r="Y267" s="26">
        <f>IF(AC267=0,I267,0)</f>
        <v>0</v>
      </c>
      <c r="Z267" s="26">
        <f>IF(AC267=15,I267,0)</f>
        <v>0</v>
      </c>
      <c r="AA267" s="26">
        <f>IF(AC267=21,I267,0)</f>
        <v>0</v>
      </c>
      <c r="AC267" s="12">
        <v>21</v>
      </c>
      <c r="AD267" s="12">
        <f>F267*0.0665993945509586</f>
        <v>0</v>
      </c>
      <c r="AE267" s="12">
        <f>F267*(1-0.0665993945509586)</f>
        <v>0</v>
      </c>
      <c r="AL267" s="12">
        <f>E267*AD267</f>
        <v>0</v>
      </c>
      <c r="AM267" s="12">
        <f>E267*AE267</f>
        <v>0</v>
      </c>
      <c r="AN267" s="38" t="s">
        <v>1990</v>
      </c>
      <c r="AO267" s="38" t="s">
        <v>2027</v>
      </c>
      <c r="AP267" s="32" t="s">
        <v>2046</v>
      </c>
    </row>
    <row r="268" ht="12.75">
      <c r="C268" s="24" t="s">
        <v>1416</v>
      </c>
    </row>
    <row r="269" spans="1:42" ht="12.75">
      <c r="A269" s="50" t="s">
        <v>254</v>
      </c>
      <c r="B269" s="17" t="s">
        <v>805</v>
      </c>
      <c r="C269" s="17" t="s">
        <v>1417</v>
      </c>
      <c r="D269" s="17" t="s">
        <v>1941</v>
      </c>
      <c r="E269" s="26">
        <v>42.87</v>
      </c>
      <c r="F269" s="26">
        <v>0</v>
      </c>
      <c r="G269" s="26">
        <f>E269*AD269</f>
        <v>0</v>
      </c>
      <c r="H269" s="26">
        <f>I269-G269</f>
        <v>0</v>
      </c>
      <c r="I269" s="26">
        <f>E269*F269</f>
        <v>0</v>
      </c>
      <c r="J269" s="72">
        <v>0.04777</v>
      </c>
      <c r="K269" s="72">
        <f>E269*J269</f>
        <v>2.0478999</v>
      </c>
      <c r="L269" s="35" t="s">
        <v>1959</v>
      </c>
      <c r="M269" s="35" t="s">
        <v>122</v>
      </c>
      <c r="N269" s="26">
        <f>IF(M269="5",H269,0)</f>
        <v>0</v>
      </c>
      <c r="Y269" s="26">
        <f>IF(AC269=0,I269,0)</f>
        <v>0</v>
      </c>
      <c r="Z269" s="26">
        <f>IF(AC269=15,I269,0)</f>
        <v>0</v>
      </c>
      <c r="AA269" s="26">
        <f>IF(AC269=21,I269,0)</f>
        <v>0</v>
      </c>
      <c r="AC269" s="12">
        <v>21</v>
      </c>
      <c r="AD269" s="12">
        <f>F269*0.46176072234763</f>
        <v>0</v>
      </c>
      <c r="AE269" s="12">
        <f>F269*(1-0.46176072234763)</f>
        <v>0</v>
      </c>
      <c r="AL269" s="12">
        <f>E269*AD269</f>
        <v>0</v>
      </c>
      <c r="AM269" s="12">
        <f>E269*AE269</f>
        <v>0</v>
      </c>
      <c r="AN269" s="38" t="s">
        <v>1990</v>
      </c>
      <c r="AO269" s="38" t="s">
        <v>2027</v>
      </c>
      <c r="AP269" s="32" t="s">
        <v>2042</v>
      </c>
    </row>
    <row r="270" spans="1:42" ht="12.75">
      <c r="A270" s="50" t="s">
        <v>255</v>
      </c>
      <c r="B270" s="17" t="s">
        <v>806</v>
      </c>
      <c r="C270" s="17" t="s">
        <v>1418</v>
      </c>
      <c r="D270" s="17" t="s">
        <v>1941</v>
      </c>
      <c r="E270" s="26">
        <v>118.8</v>
      </c>
      <c r="F270" s="26">
        <v>0</v>
      </c>
      <c r="G270" s="26">
        <f>E270*AD270</f>
        <v>0</v>
      </c>
      <c r="H270" s="26">
        <f>I270-G270</f>
        <v>0</v>
      </c>
      <c r="I270" s="26">
        <f>E270*F270</f>
        <v>0</v>
      </c>
      <c r="J270" s="72">
        <v>0.05126</v>
      </c>
      <c r="K270" s="72">
        <f>E270*J270</f>
        <v>6.089688</v>
      </c>
      <c r="L270" s="35" t="s">
        <v>1959</v>
      </c>
      <c r="M270" s="35" t="s">
        <v>122</v>
      </c>
      <c r="N270" s="26">
        <f>IF(M270="5",H270,0)</f>
        <v>0</v>
      </c>
      <c r="Y270" s="26">
        <f>IF(AC270=0,I270,0)</f>
        <v>0</v>
      </c>
      <c r="Z270" s="26">
        <f>IF(AC270=15,I270,0)</f>
        <v>0</v>
      </c>
      <c r="AA270" s="26">
        <f>IF(AC270=21,I270,0)</f>
        <v>0</v>
      </c>
      <c r="AC270" s="12">
        <v>21</v>
      </c>
      <c r="AD270" s="12">
        <f>F270*0.140942261304998</f>
        <v>0</v>
      </c>
      <c r="AE270" s="12">
        <f>F270*(1-0.140942261304998)</f>
        <v>0</v>
      </c>
      <c r="AL270" s="12">
        <f>E270*AD270</f>
        <v>0</v>
      </c>
      <c r="AM270" s="12">
        <f>E270*AE270</f>
        <v>0</v>
      </c>
      <c r="AN270" s="38" t="s">
        <v>1990</v>
      </c>
      <c r="AO270" s="38" t="s">
        <v>2027</v>
      </c>
      <c r="AP270" s="32" t="s">
        <v>2046</v>
      </c>
    </row>
    <row r="271" spans="1:42" s="60" customFormat="1" ht="26.25">
      <c r="A271" s="56" t="s">
        <v>256</v>
      </c>
      <c r="B271" s="57" t="s">
        <v>807</v>
      </c>
      <c r="C271" s="57" t="s">
        <v>1419</v>
      </c>
      <c r="D271" s="57" t="s">
        <v>1942</v>
      </c>
      <c r="E271" s="58">
        <v>19.6</v>
      </c>
      <c r="F271" s="58">
        <v>0</v>
      </c>
      <c r="G271" s="58">
        <f>E271*AD271</f>
        <v>0</v>
      </c>
      <c r="H271" s="58">
        <f>I271-G271</f>
        <v>0</v>
      </c>
      <c r="I271" s="58">
        <f>E271*F271</f>
        <v>0</v>
      </c>
      <c r="J271" s="77">
        <v>0.00023</v>
      </c>
      <c r="K271" s="77">
        <f>E271*J271</f>
        <v>0.004508000000000001</v>
      </c>
      <c r="L271" s="59" t="s">
        <v>1961</v>
      </c>
      <c r="M271" s="59" t="s">
        <v>122</v>
      </c>
      <c r="N271" s="58">
        <f>IF(M271="5",H271,0)</f>
        <v>0</v>
      </c>
      <c r="Y271" s="58">
        <f>IF(AC271=0,I271,0)</f>
        <v>0</v>
      </c>
      <c r="Z271" s="58">
        <f>IF(AC271=15,I271,0)</f>
        <v>0</v>
      </c>
      <c r="AA271" s="58">
        <f>IF(AC271=21,I271,0)</f>
        <v>0</v>
      </c>
      <c r="AC271" s="61">
        <v>21</v>
      </c>
      <c r="AD271" s="61">
        <f>F271*0.166106916492008</f>
        <v>0</v>
      </c>
      <c r="AE271" s="61">
        <f>F271*(1-0.166106916492008)</f>
        <v>0</v>
      </c>
      <c r="AL271" s="61">
        <f>E271*AD271</f>
        <v>0</v>
      </c>
      <c r="AM271" s="61">
        <f>E271*AE271</f>
        <v>0</v>
      </c>
      <c r="AN271" s="62" t="s">
        <v>1990</v>
      </c>
      <c r="AO271" s="62" t="s">
        <v>2027</v>
      </c>
      <c r="AP271" s="63" t="s">
        <v>2037</v>
      </c>
    </row>
    <row r="272" spans="1:42" ht="12.75">
      <c r="A272" s="50" t="s">
        <v>257</v>
      </c>
      <c r="B272" s="17" t="s">
        <v>808</v>
      </c>
      <c r="C272" s="17" t="s">
        <v>1420</v>
      </c>
      <c r="D272" s="17" t="s">
        <v>1941</v>
      </c>
      <c r="E272" s="26">
        <v>721</v>
      </c>
      <c r="F272" s="26">
        <v>0</v>
      </c>
      <c r="G272" s="26">
        <f>E272*AD272</f>
        <v>0</v>
      </c>
      <c r="H272" s="26">
        <f>I272-G272</f>
        <v>0</v>
      </c>
      <c r="I272" s="26">
        <f>E272*F272</f>
        <v>0</v>
      </c>
      <c r="J272" s="72">
        <v>0</v>
      </c>
      <c r="K272" s="72">
        <f>E272*J272</f>
        <v>0</v>
      </c>
      <c r="L272" s="35" t="s">
        <v>1959</v>
      </c>
      <c r="M272" s="35" t="s">
        <v>122</v>
      </c>
      <c r="N272" s="26">
        <f>IF(M272="5",H272,0)</f>
        <v>0</v>
      </c>
      <c r="Y272" s="26">
        <f>IF(AC272=0,I272,0)</f>
        <v>0</v>
      </c>
      <c r="Z272" s="26">
        <f>IF(AC272=15,I272,0)</f>
        <v>0</v>
      </c>
      <c r="AA272" s="26">
        <f>IF(AC272=21,I272,0)</f>
        <v>0</v>
      </c>
      <c r="AC272" s="12">
        <v>21</v>
      </c>
      <c r="AD272" s="12">
        <f>F272*0</f>
        <v>0</v>
      </c>
      <c r="AE272" s="12">
        <f>F272*(1-0)</f>
        <v>0</v>
      </c>
      <c r="AL272" s="12">
        <f>E272*AD272</f>
        <v>0</v>
      </c>
      <c r="AM272" s="12">
        <f>E272*AE272</f>
        <v>0</v>
      </c>
      <c r="AN272" s="38" t="s">
        <v>1990</v>
      </c>
      <c r="AO272" s="38" t="s">
        <v>2027</v>
      </c>
      <c r="AP272" s="32" t="s">
        <v>2037</v>
      </c>
    </row>
    <row r="273" ht="12.75">
      <c r="C273" s="24" t="s">
        <v>1397</v>
      </c>
    </row>
    <row r="274" spans="1:36" ht="12.75">
      <c r="A274" s="52"/>
      <c r="B274" s="23" t="s">
        <v>21</v>
      </c>
      <c r="C274" s="121" t="s">
        <v>68</v>
      </c>
      <c r="D274" s="122"/>
      <c r="E274" s="122"/>
      <c r="F274" s="122"/>
      <c r="G274" s="40">
        <f>SUM(G275:G289)</f>
        <v>0</v>
      </c>
      <c r="H274" s="40">
        <f>SUM(H275:H289)</f>
        <v>0</v>
      </c>
      <c r="I274" s="40">
        <f>G274+H274</f>
        <v>0</v>
      </c>
      <c r="J274" s="74"/>
      <c r="K274" s="74">
        <f>SUM(K275:K289)</f>
        <v>50.938396999999995</v>
      </c>
      <c r="L274" s="32"/>
      <c r="O274" s="40">
        <f>IF(P274="PR",I274,SUM(N275:N289))</f>
        <v>0</v>
      </c>
      <c r="P274" s="32" t="s">
        <v>1967</v>
      </c>
      <c r="Q274" s="40">
        <f>IF(P274="HS",G274,0)</f>
        <v>0</v>
      </c>
      <c r="R274" s="40">
        <f>IF(P274="HS",H274-O274,0)</f>
        <v>0</v>
      </c>
      <c r="S274" s="40">
        <f>IF(P274="PS",G274,0)</f>
        <v>0</v>
      </c>
      <c r="T274" s="40">
        <f>IF(P274="PS",H274-O274,0)</f>
        <v>0</v>
      </c>
      <c r="U274" s="40">
        <f>IF(P274="MP",G274,0)</f>
        <v>0</v>
      </c>
      <c r="V274" s="40">
        <f>IF(P274="MP",H274-O274,0)</f>
        <v>0</v>
      </c>
      <c r="W274" s="40">
        <f>IF(P274="OM",G274,0)</f>
        <v>0</v>
      </c>
      <c r="X274" s="32"/>
      <c r="AH274" s="40">
        <f>SUM(Y275:Y289)</f>
        <v>0</v>
      </c>
      <c r="AI274" s="40">
        <f>SUM(Z275:Z289)</f>
        <v>0</v>
      </c>
      <c r="AJ274" s="40">
        <f>SUM(AA275:AA289)</f>
        <v>0</v>
      </c>
    </row>
    <row r="275" spans="1:42" s="60" customFormat="1" ht="26.25">
      <c r="A275" s="56" t="s">
        <v>258</v>
      </c>
      <c r="B275" s="57" t="s">
        <v>809</v>
      </c>
      <c r="C275" s="57" t="s">
        <v>1421</v>
      </c>
      <c r="D275" s="57" t="s">
        <v>1941</v>
      </c>
      <c r="E275" s="58">
        <v>655</v>
      </c>
      <c r="F275" s="58">
        <v>0</v>
      </c>
      <c r="G275" s="58">
        <f>E275*AD275</f>
        <v>0</v>
      </c>
      <c r="H275" s="58">
        <f>I275-G275</f>
        <v>0</v>
      </c>
      <c r="I275" s="58">
        <f>E275*F275</f>
        <v>0</v>
      </c>
      <c r="J275" s="77">
        <v>0.01598</v>
      </c>
      <c r="K275" s="77">
        <f>E275*J275</f>
        <v>10.4669</v>
      </c>
      <c r="L275" s="59" t="s">
        <v>1959</v>
      </c>
      <c r="M275" s="59" t="s">
        <v>122</v>
      </c>
      <c r="N275" s="58">
        <f>IF(M275="5",H275,0)</f>
        <v>0</v>
      </c>
      <c r="Y275" s="58">
        <f>IF(AC275=0,I275,0)</f>
        <v>0</v>
      </c>
      <c r="Z275" s="58">
        <f>IF(AC275=15,I275,0)</f>
        <v>0</v>
      </c>
      <c r="AA275" s="58">
        <f>IF(AC275=21,I275,0)</f>
        <v>0</v>
      </c>
      <c r="AC275" s="61">
        <v>21</v>
      </c>
      <c r="AD275" s="61">
        <f>F275*0.637528384279476</f>
        <v>0</v>
      </c>
      <c r="AE275" s="61">
        <f>F275*(1-0.637528384279476)</f>
        <v>0</v>
      </c>
      <c r="AL275" s="61">
        <f>E275*AD275</f>
        <v>0</v>
      </c>
      <c r="AM275" s="61">
        <f>E275*AE275</f>
        <v>0</v>
      </c>
      <c r="AN275" s="62" t="s">
        <v>1991</v>
      </c>
      <c r="AO275" s="62" t="s">
        <v>2027</v>
      </c>
      <c r="AP275" s="63" t="s">
        <v>2048</v>
      </c>
    </row>
    <row r="276" ht="39">
      <c r="C276" s="24" t="s">
        <v>1422</v>
      </c>
    </row>
    <row r="277" spans="1:42" s="60" customFormat="1" ht="26.25">
      <c r="A277" s="56" t="s">
        <v>259</v>
      </c>
      <c r="B277" s="57" t="s">
        <v>810</v>
      </c>
      <c r="C277" s="57" t="s">
        <v>1423</v>
      </c>
      <c r="D277" s="57" t="s">
        <v>1941</v>
      </c>
      <c r="E277" s="58">
        <v>226</v>
      </c>
      <c r="F277" s="58">
        <v>0</v>
      </c>
      <c r="G277" s="58">
        <f>E277*AD277</f>
        <v>0</v>
      </c>
      <c r="H277" s="58">
        <f>I277-G277</f>
        <v>0</v>
      </c>
      <c r="I277" s="58">
        <f>E277*F277</f>
        <v>0</v>
      </c>
      <c r="J277" s="77">
        <v>0.01248</v>
      </c>
      <c r="K277" s="77">
        <f>E277*J277</f>
        <v>2.82048</v>
      </c>
      <c r="L277" s="59" t="s">
        <v>1959</v>
      </c>
      <c r="M277" s="59" t="s">
        <v>122</v>
      </c>
      <c r="N277" s="58">
        <f>IF(M277="5",H277,0)</f>
        <v>0</v>
      </c>
      <c r="Y277" s="58">
        <f>IF(AC277=0,I277,0)</f>
        <v>0</v>
      </c>
      <c r="Z277" s="58">
        <f>IF(AC277=15,I277,0)</f>
        <v>0</v>
      </c>
      <c r="AA277" s="58">
        <f>IF(AC277=21,I277,0)</f>
        <v>0</v>
      </c>
      <c r="AC277" s="61">
        <v>21</v>
      </c>
      <c r="AD277" s="61">
        <f>F277*0.64331592689295</f>
        <v>0</v>
      </c>
      <c r="AE277" s="61">
        <f>F277*(1-0.64331592689295)</f>
        <v>0</v>
      </c>
      <c r="AL277" s="61">
        <f>E277*AD277</f>
        <v>0</v>
      </c>
      <c r="AM277" s="61">
        <f>E277*AE277</f>
        <v>0</v>
      </c>
      <c r="AN277" s="62" t="s">
        <v>1991</v>
      </c>
      <c r="AO277" s="62" t="s">
        <v>2027</v>
      </c>
      <c r="AP277" s="63" t="s">
        <v>2048</v>
      </c>
    </row>
    <row r="278" ht="12.75">
      <c r="C278" s="24" t="s">
        <v>1424</v>
      </c>
    </row>
    <row r="279" spans="1:42" s="60" customFormat="1" ht="26.25">
      <c r="A279" s="56" t="s">
        <v>260</v>
      </c>
      <c r="B279" s="57" t="s">
        <v>811</v>
      </c>
      <c r="C279" s="57" t="s">
        <v>1425</v>
      </c>
      <c r="D279" s="57" t="s">
        <v>1941</v>
      </c>
      <c r="E279" s="58">
        <v>50.8</v>
      </c>
      <c r="F279" s="58">
        <v>0</v>
      </c>
      <c r="G279" s="58">
        <f>E279*AD279</f>
        <v>0</v>
      </c>
      <c r="H279" s="58">
        <f>I279-G279</f>
        <v>0</v>
      </c>
      <c r="I279" s="58">
        <f>E279*F279</f>
        <v>0</v>
      </c>
      <c r="J279" s="77">
        <v>0.01444</v>
      </c>
      <c r="K279" s="77">
        <f>E279*J279</f>
        <v>0.733552</v>
      </c>
      <c r="L279" s="59" t="s">
        <v>1959</v>
      </c>
      <c r="M279" s="59" t="s">
        <v>122</v>
      </c>
      <c r="N279" s="58">
        <f>IF(M279="5",H279,0)</f>
        <v>0</v>
      </c>
      <c r="Y279" s="58">
        <f>IF(AC279=0,I279,0)</f>
        <v>0</v>
      </c>
      <c r="Z279" s="58">
        <f>IF(AC279=15,I279,0)</f>
        <v>0</v>
      </c>
      <c r="AA279" s="58">
        <f>IF(AC279=21,I279,0)</f>
        <v>0</v>
      </c>
      <c r="AC279" s="61">
        <v>21</v>
      </c>
      <c r="AD279" s="61">
        <f>F279*0.434283981664794</f>
        <v>0</v>
      </c>
      <c r="AE279" s="61">
        <f>F279*(1-0.434283981664794)</f>
        <v>0</v>
      </c>
      <c r="AL279" s="61">
        <f>E279*AD279</f>
        <v>0</v>
      </c>
      <c r="AM279" s="61">
        <f>E279*AE279</f>
        <v>0</v>
      </c>
      <c r="AN279" s="62" t="s">
        <v>1991</v>
      </c>
      <c r="AO279" s="62" t="s">
        <v>2027</v>
      </c>
      <c r="AP279" s="63" t="s">
        <v>2048</v>
      </c>
    </row>
    <row r="280" ht="12.75">
      <c r="C280" s="24" t="s">
        <v>1426</v>
      </c>
    </row>
    <row r="281" spans="1:42" s="60" customFormat="1" ht="26.25">
      <c r="A281" s="56" t="s">
        <v>261</v>
      </c>
      <c r="B281" s="57" t="s">
        <v>812</v>
      </c>
      <c r="C281" s="57" t="s">
        <v>1427</v>
      </c>
      <c r="D281" s="57" t="s">
        <v>1941</v>
      </c>
      <c r="E281" s="58">
        <v>36.4</v>
      </c>
      <c r="F281" s="58">
        <v>0</v>
      </c>
      <c r="G281" s="58">
        <f>E281*AD281</f>
        <v>0</v>
      </c>
      <c r="H281" s="58">
        <f>I281-G281</f>
        <v>0</v>
      </c>
      <c r="I281" s="58">
        <f>E281*F281</f>
        <v>0</v>
      </c>
      <c r="J281" s="77">
        <v>0.01093</v>
      </c>
      <c r="K281" s="77">
        <f>E281*J281</f>
        <v>0.397852</v>
      </c>
      <c r="L281" s="59" t="s">
        <v>1959</v>
      </c>
      <c r="M281" s="59" t="s">
        <v>122</v>
      </c>
      <c r="N281" s="58">
        <f>IF(M281="5",H281,0)</f>
        <v>0</v>
      </c>
      <c r="Y281" s="58">
        <f>IF(AC281=0,I281,0)</f>
        <v>0</v>
      </c>
      <c r="Z281" s="58">
        <f>IF(AC281=15,I281,0)</f>
        <v>0</v>
      </c>
      <c r="AA281" s="58">
        <f>IF(AC281=21,I281,0)</f>
        <v>0</v>
      </c>
      <c r="AC281" s="61">
        <v>21</v>
      </c>
      <c r="AD281" s="61">
        <f>F281*0.395813953488372</f>
        <v>0</v>
      </c>
      <c r="AE281" s="61">
        <f>F281*(1-0.395813953488372)</f>
        <v>0</v>
      </c>
      <c r="AL281" s="61">
        <f>E281*AD281</f>
        <v>0</v>
      </c>
      <c r="AM281" s="61">
        <f>E281*AE281</f>
        <v>0</v>
      </c>
      <c r="AN281" s="62" t="s">
        <v>1991</v>
      </c>
      <c r="AO281" s="62" t="s">
        <v>2027</v>
      </c>
      <c r="AP281" s="63" t="s">
        <v>2048</v>
      </c>
    </row>
    <row r="282" ht="12.75">
      <c r="C282" s="24" t="s">
        <v>1426</v>
      </c>
    </row>
    <row r="283" spans="1:42" ht="12.75">
      <c r="A283" s="50" t="s">
        <v>262</v>
      </c>
      <c r="B283" s="17" t="s">
        <v>813</v>
      </c>
      <c r="C283" s="17" t="s">
        <v>1428</v>
      </c>
      <c r="D283" s="17" t="s">
        <v>1941</v>
      </c>
      <c r="E283" s="26">
        <v>803.8</v>
      </c>
      <c r="F283" s="26">
        <v>0</v>
      </c>
      <c r="G283" s="26">
        <f>E283*AD283</f>
        <v>0</v>
      </c>
      <c r="H283" s="26">
        <f>I283-G283</f>
        <v>0</v>
      </c>
      <c r="I283" s="26">
        <f>E283*F283</f>
        <v>0</v>
      </c>
      <c r="J283" s="72">
        <v>0.03811</v>
      </c>
      <c r="K283" s="72">
        <f>E283*J283</f>
        <v>30.632817999999997</v>
      </c>
      <c r="L283" s="35" t="s">
        <v>1959</v>
      </c>
      <c r="M283" s="35" t="s">
        <v>122</v>
      </c>
      <c r="N283" s="26">
        <f>IF(M283="5",H283,0)</f>
        <v>0</v>
      </c>
      <c r="Y283" s="26">
        <f>IF(AC283=0,I283,0)</f>
        <v>0</v>
      </c>
      <c r="Z283" s="26">
        <f>IF(AC283=15,I283,0)</f>
        <v>0</v>
      </c>
      <c r="AA283" s="26">
        <f>IF(AC283=21,I283,0)</f>
        <v>0</v>
      </c>
      <c r="AC283" s="12">
        <v>21</v>
      </c>
      <c r="AD283" s="12">
        <f>F283*0.208551630894034</f>
        <v>0</v>
      </c>
      <c r="AE283" s="12">
        <f>F283*(1-0.208551630894034)</f>
        <v>0</v>
      </c>
      <c r="AL283" s="12">
        <f>E283*AD283</f>
        <v>0</v>
      </c>
      <c r="AM283" s="12">
        <f>E283*AE283</f>
        <v>0</v>
      </c>
      <c r="AN283" s="38" t="s">
        <v>1991</v>
      </c>
      <c r="AO283" s="38" t="s">
        <v>2027</v>
      </c>
      <c r="AP283" s="32" t="s">
        <v>2048</v>
      </c>
    </row>
    <row r="284" spans="1:42" ht="12.75">
      <c r="A284" s="50" t="s">
        <v>263</v>
      </c>
      <c r="B284" s="17" t="s">
        <v>814</v>
      </c>
      <c r="C284" s="17" t="s">
        <v>1429</v>
      </c>
      <c r="D284" s="17" t="s">
        <v>1941</v>
      </c>
      <c r="E284" s="26">
        <v>125.3</v>
      </c>
      <c r="F284" s="26">
        <v>0</v>
      </c>
      <c r="G284" s="26">
        <f>E284*AD284</f>
        <v>0</v>
      </c>
      <c r="H284" s="26">
        <f>I284-G284</f>
        <v>0</v>
      </c>
      <c r="I284" s="26">
        <f>E284*F284</f>
        <v>0</v>
      </c>
      <c r="J284" s="72">
        <v>0.03143</v>
      </c>
      <c r="K284" s="72">
        <f>E284*J284</f>
        <v>3.938179</v>
      </c>
      <c r="L284" s="35" t="s">
        <v>1959</v>
      </c>
      <c r="M284" s="35" t="s">
        <v>122</v>
      </c>
      <c r="N284" s="26">
        <f>IF(M284="5",H284,0)</f>
        <v>0</v>
      </c>
      <c r="Y284" s="26">
        <f>IF(AC284=0,I284,0)</f>
        <v>0</v>
      </c>
      <c r="Z284" s="26">
        <f>IF(AC284=15,I284,0)</f>
        <v>0</v>
      </c>
      <c r="AA284" s="26">
        <f>IF(AC284=21,I284,0)</f>
        <v>0</v>
      </c>
      <c r="AC284" s="12">
        <v>21</v>
      </c>
      <c r="AD284" s="12">
        <f>F284*0.138211586901763</f>
        <v>0</v>
      </c>
      <c r="AE284" s="12">
        <f>F284*(1-0.138211586901763)</f>
        <v>0</v>
      </c>
      <c r="AL284" s="12">
        <f>E284*AD284</f>
        <v>0</v>
      </c>
      <c r="AM284" s="12">
        <f>E284*AE284</f>
        <v>0</v>
      </c>
      <c r="AN284" s="38" t="s">
        <v>1991</v>
      </c>
      <c r="AO284" s="38" t="s">
        <v>2027</v>
      </c>
      <c r="AP284" s="32" t="s">
        <v>2048</v>
      </c>
    </row>
    <row r="285" ht="12.75">
      <c r="C285" s="24" t="s">
        <v>1430</v>
      </c>
    </row>
    <row r="286" spans="1:42" s="60" customFormat="1" ht="26.25">
      <c r="A286" s="56" t="s">
        <v>264</v>
      </c>
      <c r="B286" s="57" t="s">
        <v>815</v>
      </c>
      <c r="C286" s="57" t="s">
        <v>1431</v>
      </c>
      <c r="D286" s="57" t="s">
        <v>1941</v>
      </c>
      <c r="E286" s="58">
        <v>803.8</v>
      </c>
      <c r="F286" s="58">
        <v>0</v>
      </c>
      <c r="G286" s="58">
        <f>E286*AD286</f>
        <v>0</v>
      </c>
      <c r="H286" s="58">
        <f>I286-G286</f>
        <v>0</v>
      </c>
      <c r="I286" s="58">
        <f>E286*F286</f>
        <v>0</v>
      </c>
      <c r="J286" s="77">
        <v>0.0023</v>
      </c>
      <c r="K286" s="77">
        <f>E286*J286</f>
        <v>1.8487399999999998</v>
      </c>
      <c r="L286" s="59" t="s">
        <v>1959</v>
      </c>
      <c r="M286" s="59" t="s">
        <v>122</v>
      </c>
      <c r="N286" s="58">
        <f>IF(M286="5",H286,0)</f>
        <v>0</v>
      </c>
      <c r="Y286" s="58">
        <f>IF(AC286=0,I286,0)</f>
        <v>0</v>
      </c>
      <c r="Z286" s="58">
        <f>IF(AC286=15,I286,0)</f>
        <v>0</v>
      </c>
      <c r="AA286" s="58">
        <f>IF(AC286=21,I286,0)</f>
        <v>0</v>
      </c>
      <c r="AC286" s="61">
        <v>21</v>
      </c>
      <c r="AD286" s="61">
        <f>F286*0.5</f>
        <v>0</v>
      </c>
      <c r="AE286" s="61">
        <f>F286*(1-0.5)</f>
        <v>0</v>
      </c>
      <c r="AL286" s="61">
        <f>E286*AD286</f>
        <v>0</v>
      </c>
      <c r="AM286" s="61">
        <f>E286*AE286</f>
        <v>0</v>
      </c>
      <c r="AN286" s="62" t="s">
        <v>1991</v>
      </c>
      <c r="AO286" s="62" t="s">
        <v>2027</v>
      </c>
      <c r="AP286" s="63" t="s">
        <v>2048</v>
      </c>
    </row>
    <row r="287" ht="12.75">
      <c r="C287" s="24" t="s">
        <v>1432</v>
      </c>
    </row>
    <row r="288" spans="1:42" ht="12.75">
      <c r="A288" s="50" t="s">
        <v>265</v>
      </c>
      <c r="B288" s="17" t="s">
        <v>816</v>
      </c>
      <c r="C288" s="17" t="s">
        <v>1433</v>
      </c>
      <c r="D288" s="17" t="s">
        <v>1941</v>
      </c>
      <c r="E288" s="26">
        <v>1897.3</v>
      </c>
      <c r="F288" s="26">
        <v>0</v>
      </c>
      <c r="G288" s="26">
        <f>E288*AD288</f>
        <v>0</v>
      </c>
      <c r="H288" s="26">
        <f>I288-G288</f>
        <v>0</v>
      </c>
      <c r="I288" s="26">
        <f>E288*F288</f>
        <v>0</v>
      </c>
      <c r="J288" s="72">
        <v>0</v>
      </c>
      <c r="K288" s="72">
        <f>E288*J288</f>
        <v>0</v>
      </c>
      <c r="L288" s="35" t="s">
        <v>1961</v>
      </c>
      <c r="M288" s="35" t="s">
        <v>122</v>
      </c>
      <c r="N288" s="26">
        <f>IF(M288="5",H288,0)</f>
        <v>0</v>
      </c>
      <c r="Y288" s="26">
        <f>IF(AC288=0,I288,0)</f>
        <v>0</v>
      </c>
      <c r="Z288" s="26">
        <f>IF(AC288=15,I288,0)</f>
        <v>0</v>
      </c>
      <c r="AA288" s="26">
        <f>IF(AC288=21,I288,0)</f>
        <v>0</v>
      </c>
      <c r="AC288" s="12">
        <v>21</v>
      </c>
      <c r="AD288" s="12">
        <f>F288*0</f>
        <v>0</v>
      </c>
      <c r="AE288" s="12">
        <f>F288*(1-0)</f>
        <v>0</v>
      </c>
      <c r="AL288" s="12">
        <f>E288*AD288</f>
        <v>0</v>
      </c>
      <c r="AM288" s="12">
        <f>E288*AE288</f>
        <v>0</v>
      </c>
      <c r="AN288" s="38" t="s">
        <v>1991</v>
      </c>
      <c r="AO288" s="38" t="s">
        <v>2027</v>
      </c>
      <c r="AP288" s="32" t="s">
        <v>2048</v>
      </c>
    </row>
    <row r="289" spans="1:42" ht="12.75">
      <c r="A289" s="50" t="s">
        <v>266</v>
      </c>
      <c r="B289" s="17" t="s">
        <v>817</v>
      </c>
      <c r="C289" s="17" t="s">
        <v>1434</v>
      </c>
      <c r="D289" s="17" t="s">
        <v>1941</v>
      </c>
      <c r="E289" s="26">
        <v>5.8</v>
      </c>
      <c r="F289" s="26">
        <v>0</v>
      </c>
      <c r="G289" s="26">
        <f>E289*AD289</f>
        <v>0</v>
      </c>
      <c r="H289" s="26">
        <f>I289-G289</f>
        <v>0</v>
      </c>
      <c r="I289" s="26">
        <f>E289*F289</f>
        <v>0</v>
      </c>
      <c r="J289" s="72">
        <v>0.01722</v>
      </c>
      <c r="K289" s="72">
        <f>E289*J289</f>
        <v>0.09987599999999999</v>
      </c>
      <c r="L289" s="35" t="s">
        <v>1959</v>
      </c>
      <c r="M289" s="35" t="s">
        <v>122</v>
      </c>
      <c r="N289" s="26">
        <f>IF(M289="5",H289,0)</f>
        <v>0</v>
      </c>
      <c r="Y289" s="26">
        <f>IF(AC289=0,I289,0)</f>
        <v>0</v>
      </c>
      <c r="Z289" s="26">
        <f>IF(AC289=15,I289,0)</f>
        <v>0</v>
      </c>
      <c r="AA289" s="26">
        <f>IF(AC289=21,I289,0)</f>
        <v>0</v>
      </c>
      <c r="AC289" s="12">
        <v>21</v>
      </c>
      <c r="AD289" s="12">
        <f>F289*0.0792727272727273</f>
        <v>0</v>
      </c>
      <c r="AE289" s="12">
        <f>F289*(1-0.0792727272727273)</f>
        <v>0</v>
      </c>
      <c r="AL289" s="12">
        <f>E289*AD289</f>
        <v>0</v>
      </c>
      <c r="AM289" s="12">
        <f>E289*AE289</f>
        <v>0</v>
      </c>
      <c r="AN289" s="38" t="s">
        <v>1991</v>
      </c>
      <c r="AO289" s="38" t="s">
        <v>2027</v>
      </c>
      <c r="AP289" s="32" t="s">
        <v>2034</v>
      </c>
    </row>
    <row r="290" ht="12.75">
      <c r="C290" s="24" t="s">
        <v>1435</v>
      </c>
    </row>
    <row r="291" spans="1:36" ht="12.75">
      <c r="A291" s="52"/>
      <c r="B291" s="23" t="s">
        <v>22</v>
      </c>
      <c r="C291" s="121" t="s">
        <v>69</v>
      </c>
      <c r="D291" s="122"/>
      <c r="E291" s="122"/>
      <c r="F291" s="122"/>
      <c r="G291" s="40">
        <f>SUM(G292:G314)</f>
        <v>0</v>
      </c>
      <c r="H291" s="40">
        <f>SUM(H292:H314)</f>
        <v>0</v>
      </c>
      <c r="I291" s="40">
        <f>G291+H291</f>
        <v>0</v>
      </c>
      <c r="J291" s="74"/>
      <c r="K291" s="74">
        <f>SUM(K292:K314)</f>
        <v>809.4746462999999</v>
      </c>
      <c r="L291" s="32"/>
      <c r="O291" s="40">
        <f>IF(P291="PR",I291,SUM(N292:N314))</f>
        <v>0</v>
      </c>
      <c r="P291" s="32" t="s">
        <v>1967</v>
      </c>
      <c r="Q291" s="40">
        <f>IF(P291="HS",G291,0)</f>
        <v>0</v>
      </c>
      <c r="R291" s="40">
        <f>IF(P291="HS",H291-O291,0)</f>
        <v>0</v>
      </c>
      <c r="S291" s="40">
        <f>IF(P291="PS",G291,0)</f>
        <v>0</v>
      </c>
      <c r="T291" s="40">
        <f>IF(P291="PS",H291-O291,0)</f>
        <v>0</v>
      </c>
      <c r="U291" s="40">
        <f>IF(P291="MP",G291,0)</f>
        <v>0</v>
      </c>
      <c r="V291" s="40">
        <f>IF(P291="MP",H291-O291,0)</f>
        <v>0</v>
      </c>
      <c r="W291" s="40">
        <f>IF(P291="OM",G291,0)</f>
        <v>0</v>
      </c>
      <c r="X291" s="32"/>
      <c r="AH291" s="40">
        <f>SUM(Y292:Y314)</f>
        <v>0</v>
      </c>
      <c r="AI291" s="40">
        <f>SUM(Z292:Z314)</f>
        <v>0</v>
      </c>
      <c r="AJ291" s="40">
        <f>SUM(AA292:AA314)</f>
        <v>0</v>
      </c>
    </row>
    <row r="292" spans="1:42" ht="12.75">
      <c r="A292" s="50" t="s">
        <v>267</v>
      </c>
      <c r="B292" s="17" t="s">
        <v>818</v>
      </c>
      <c r="C292" s="17" t="s">
        <v>1436</v>
      </c>
      <c r="D292" s="17" t="s">
        <v>1940</v>
      </c>
      <c r="E292" s="26">
        <v>38.04</v>
      </c>
      <c r="F292" s="26">
        <v>0</v>
      </c>
      <c r="G292" s="26">
        <f>E292*AD292</f>
        <v>0</v>
      </c>
      <c r="H292" s="26">
        <f>I292-G292</f>
        <v>0</v>
      </c>
      <c r="I292" s="26">
        <f>E292*F292</f>
        <v>0</v>
      </c>
      <c r="J292" s="72">
        <v>2.525</v>
      </c>
      <c r="K292" s="72">
        <f>E292*J292</f>
        <v>96.05099999999999</v>
      </c>
      <c r="L292" s="35" t="s">
        <v>1959</v>
      </c>
      <c r="M292" s="35" t="s">
        <v>122</v>
      </c>
      <c r="N292" s="26">
        <f>IF(M292="5",H292,0)</f>
        <v>0</v>
      </c>
      <c r="Y292" s="26">
        <f>IF(AC292=0,I292,0)</f>
        <v>0</v>
      </c>
      <c r="Z292" s="26">
        <f>IF(AC292=15,I292,0)</f>
        <v>0</v>
      </c>
      <c r="AA292" s="26">
        <f>IF(AC292=21,I292,0)</f>
        <v>0</v>
      </c>
      <c r="AC292" s="12">
        <v>21</v>
      </c>
      <c r="AD292" s="12">
        <f>F292*0.685422622388931</f>
        <v>0</v>
      </c>
      <c r="AE292" s="12">
        <f>F292*(1-0.685422622388931)</f>
        <v>0</v>
      </c>
      <c r="AL292" s="12">
        <f>E292*AD292</f>
        <v>0</v>
      </c>
      <c r="AM292" s="12">
        <f>E292*AE292</f>
        <v>0</v>
      </c>
      <c r="AN292" s="38" t="s">
        <v>1992</v>
      </c>
      <c r="AO292" s="38" t="s">
        <v>2027</v>
      </c>
      <c r="AP292" s="32" t="s">
        <v>2049</v>
      </c>
    </row>
    <row r="293" ht="26.25">
      <c r="C293" s="24" t="s">
        <v>1437</v>
      </c>
    </row>
    <row r="294" spans="1:42" ht="12.75">
      <c r="A294" s="50" t="s">
        <v>268</v>
      </c>
      <c r="B294" s="17" t="s">
        <v>819</v>
      </c>
      <c r="C294" s="17" t="s">
        <v>1438</v>
      </c>
      <c r="D294" s="17" t="s">
        <v>1940</v>
      </c>
      <c r="E294" s="26">
        <v>57.9</v>
      </c>
      <c r="F294" s="26">
        <v>0</v>
      </c>
      <c r="G294" s="26">
        <f>E294*AD294</f>
        <v>0</v>
      </c>
      <c r="H294" s="26">
        <f>I294-G294</f>
        <v>0</v>
      </c>
      <c r="I294" s="26">
        <f>E294*F294</f>
        <v>0</v>
      </c>
      <c r="J294" s="72">
        <v>2.525</v>
      </c>
      <c r="K294" s="72">
        <f>E294*J294</f>
        <v>146.1975</v>
      </c>
      <c r="L294" s="35" t="s">
        <v>1959</v>
      </c>
      <c r="M294" s="35" t="s">
        <v>122</v>
      </c>
      <c r="N294" s="26">
        <f>IF(M294="5",H294,0)</f>
        <v>0</v>
      </c>
      <c r="Y294" s="26">
        <f>IF(AC294=0,I294,0)</f>
        <v>0</v>
      </c>
      <c r="Z294" s="26">
        <f>IF(AC294=15,I294,0)</f>
        <v>0</v>
      </c>
      <c r="AA294" s="26">
        <f>IF(AC294=21,I294,0)</f>
        <v>0</v>
      </c>
      <c r="AC294" s="12">
        <v>21</v>
      </c>
      <c r="AD294" s="12">
        <f>F294*0.710696446825459</f>
        <v>0</v>
      </c>
      <c r="AE294" s="12">
        <f>F294*(1-0.710696446825459)</f>
        <v>0</v>
      </c>
      <c r="AL294" s="12">
        <f>E294*AD294</f>
        <v>0</v>
      </c>
      <c r="AM294" s="12">
        <f>E294*AE294</f>
        <v>0</v>
      </c>
      <c r="AN294" s="38" t="s">
        <v>1992</v>
      </c>
      <c r="AO294" s="38" t="s">
        <v>2027</v>
      </c>
      <c r="AP294" s="32" t="s">
        <v>2049</v>
      </c>
    </row>
    <row r="295" ht="12.75">
      <c r="C295" s="24" t="s">
        <v>1439</v>
      </c>
    </row>
    <row r="296" spans="1:42" ht="12.75">
      <c r="A296" s="50" t="s">
        <v>269</v>
      </c>
      <c r="B296" s="17" t="s">
        <v>820</v>
      </c>
      <c r="C296" s="17" t="s">
        <v>1440</v>
      </c>
      <c r="D296" s="17" t="s">
        <v>1940</v>
      </c>
      <c r="E296" s="26">
        <v>85.7</v>
      </c>
      <c r="F296" s="26">
        <v>0</v>
      </c>
      <c r="G296" s="26">
        <f>E296*AD296</f>
        <v>0</v>
      </c>
      <c r="H296" s="26">
        <f>I296-G296</f>
        <v>0</v>
      </c>
      <c r="I296" s="26">
        <f>E296*F296</f>
        <v>0</v>
      </c>
      <c r="J296" s="72">
        <v>2.525</v>
      </c>
      <c r="K296" s="72">
        <f>E296*J296</f>
        <v>216.3925</v>
      </c>
      <c r="L296" s="35" t="s">
        <v>1959</v>
      </c>
      <c r="M296" s="35" t="s">
        <v>122</v>
      </c>
      <c r="N296" s="26">
        <f>IF(M296="5",H296,0)</f>
        <v>0</v>
      </c>
      <c r="Y296" s="26">
        <f>IF(AC296=0,I296,0)</f>
        <v>0</v>
      </c>
      <c r="Z296" s="26">
        <f>IF(AC296=15,I296,0)</f>
        <v>0</v>
      </c>
      <c r="AA296" s="26">
        <f>IF(AC296=21,I296,0)</f>
        <v>0</v>
      </c>
      <c r="AC296" s="12">
        <v>21</v>
      </c>
      <c r="AD296" s="12">
        <f>F296*0.729211933478187</f>
        <v>0</v>
      </c>
      <c r="AE296" s="12">
        <f>F296*(1-0.729211933478187)</f>
        <v>0</v>
      </c>
      <c r="AL296" s="12">
        <f>E296*AD296</f>
        <v>0</v>
      </c>
      <c r="AM296" s="12">
        <f>E296*AE296</f>
        <v>0</v>
      </c>
      <c r="AN296" s="38" t="s">
        <v>1992</v>
      </c>
      <c r="AO296" s="38" t="s">
        <v>2027</v>
      </c>
      <c r="AP296" s="32" t="s">
        <v>2049</v>
      </c>
    </row>
    <row r="297" ht="12.75">
      <c r="C297" s="24" t="s">
        <v>1439</v>
      </c>
    </row>
    <row r="298" spans="1:42" ht="12.75">
      <c r="A298" s="50" t="s">
        <v>270</v>
      </c>
      <c r="B298" s="17" t="s">
        <v>820</v>
      </c>
      <c r="C298" s="17" t="s">
        <v>1440</v>
      </c>
      <c r="D298" s="17" t="s">
        <v>1940</v>
      </c>
      <c r="E298" s="26">
        <v>29.81</v>
      </c>
      <c r="F298" s="26">
        <v>0</v>
      </c>
      <c r="G298" s="26">
        <f>E298*AD298</f>
        <v>0</v>
      </c>
      <c r="H298" s="26">
        <f>I298-G298</f>
        <v>0</v>
      </c>
      <c r="I298" s="26">
        <f>E298*F298</f>
        <v>0</v>
      </c>
      <c r="J298" s="72">
        <v>2.525</v>
      </c>
      <c r="K298" s="72">
        <f>E298*J298</f>
        <v>75.27024999999999</v>
      </c>
      <c r="L298" s="35" t="s">
        <v>1959</v>
      </c>
      <c r="M298" s="35" t="s">
        <v>122</v>
      </c>
      <c r="N298" s="26">
        <f>IF(M298="5",H298,0)</f>
        <v>0</v>
      </c>
      <c r="Y298" s="26">
        <f>IF(AC298=0,I298,0)</f>
        <v>0</v>
      </c>
      <c r="Z298" s="26">
        <f>IF(AC298=15,I298,0)</f>
        <v>0</v>
      </c>
      <c r="AA298" s="26">
        <f>IF(AC298=21,I298,0)</f>
        <v>0</v>
      </c>
      <c r="AC298" s="12">
        <v>21</v>
      </c>
      <c r="AD298" s="12">
        <f>F298*0.729211933478187</f>
        <v>0</v>
      </c>
      <c r="AE298" s="12">
        <f>F298*(1-0.729211933478187)</f>
        <v>0</v>
      </c>
      <c r="AL298" s="12">
        <f>E298*AD298</f>
        <v>0</v>
      </c>
      <c r="AM298" s="12">
        <f>E298*AE298</f>
        <v>0</v>
      </c>
      <c r="AN298" s="38" t="s">
        <v>1992</v>
      </c>
      <c r="AO298" s="38" t="s">
        <v>2027</v>
      </c>
      <c r="AP298" s="32" t="s">
        <v>2049</v>
      </c>
    </row>
    <row r="299" ht="12.75">
      <c r="C299" s="24" t="s">
        <v>1441</v>
      </c>
    </row>
    <row r="300" spans="1:42" ht="12.75">
      <c r="A300" s="50" t="s">
        <v>271</v>
      </c>
      <c r="B300" s="17" t="s">
        <v>821</v>
      </c>
      <c r="C300" s="17" t="s">
        <v>1442</v>
      </c>
      <c r="D300" s="17" t="s">
        <v>1940</v>
      </c>
      <c r="E300" s="26">
        <v>70.89</v>
      </c>
      <c r="F300" s="26">
        <v>0</v>
      </c>
      <c r="G300" s="26">
        <f>E300*AD300</f>
        <v>0</v>
      </c>
      <c r="H300" s="26">
        <f>I300-G300</f>
        <v>0</v>
      </c>
      <c r="I300" s="26">
        <f>E300*F300</f>
        <v>0</v>
      </c>
      <c r="J300" s="72">
        <v>2.525</v>
      </c>
      <c r="K300" s="72">
        <f>E300*J300</f>
        <v>178.99725</v>
      </c>
      <c r="L300" s="35" t="s">
        <v>1959</v>
      </c>
      <c r="M300" s="35" t="s">
        <v>122</v>
      </c>
      <c r="N300" s="26">
        <f>IF(M300="5",H300,0)</f>
        <v>0</v>
      </c>
      <c r="Y300" s="26">
        <f>IF(AC300=0,I300,0)</f>
        <v>0</v>
      </c>
      <c r="Z300" s="26">
        <f>IF(AC300=15,I300,0)</f>
        <v>0</v>
      </c>
      <c r="AA300" s="26">
        <f>IF(AC300=21,I300,0)</f>
        <v>0</v>
      </c>
      <c r="AC300" s="12">
        <v>21</v>
      </c>
      <c r="AD300" s="12">
        <f>F300*0.757393177737882</f>
        <v>0</v>
      </c>
      <c r="AE300" s="12">
        <f>F300*(1-0.757393177737882)</f>
        <v>0</v>
      </c>
      <c r="AL300" s="12">
        <f>E300*AD300</f>
        <v>0</v>
      </c>
      <c r="AM300" s="12">
        <f>E300*AE300</f>
        <v>0</v>
      </c>
      <c r="AN300" s="38" t="s">
        <v>1992</v>
      </c>
      <c r="AO300" s="38" t="s">
        <v>2027</v>
      </c>
      <c r="AP300" s="32" t="s">
        <v>2049</v>
      </c>
    </row>
    <row r="301" ht="12.75">
      <c r="C301" s="24" t="s">
        <v>1443</v>
      </c>
    </row>
    <row r="302" spans="1:42" ht="12.75">
      <c r="A302" s="50" t="s">
        <v>272</v>
      </c>
      <c r="B302" s="17" t="s">
        <v>822</v>
      </c>
      <c r="C302" s="17" t="s">
        <v>1444</v>
      </c>
      <c r="D302" s="17" t="s">
        <v>1940</v>
      </c>
      <c r="E302" s="26">
        <v>20.41</v>
      </c>
      <c r="F302" s="26">
        <v>0</v>
      </c>
      <c r="G302" s="26">
        <f>E302*AD302</f>
        <v>0</v>
      </c>
      <c r="H302" s="26">
        <f>I302-G302</f>
        <v>0</v>
      </c>
      <c r="I302" s="26">
        <f>E302*F302</f>
        <v>0</v>
      </c>
      <c r="J302" s="72">
        <v>2.525</v>
      </c>
      <c r="K302" s="72">
        <f>E302*J302</f>
        <v>51.53525</v>
      </c>
      <c r="L302" s="35" t="s">
        <v>1959</v>
      </c>
      <c r="M302" s="35" t="s">
        <v>122</v>
      </c>
      <c r="N302" s="26">
        <f>IF(M302="5",H302,0)</f>
        <v>0</v>
      </c>
      <c r="Y302" s="26">
        <f>IF(AC302=0,I302,0)</f>
        <v>0</v>
      </c>
      <c r="Z302" s="26">
        <f>IF(AC302=15,I302,0)</f>
        <v>0</v>
      </c>
      <c r="AA302" s="26">
        <f>IF(AC302=21,I302,0)</f>
        <v>0</v>
      </c>
      <c r="AC302" s="12">
        <v>21</v>
      </c>
      <c r="AD302" s="12">
        <f>F302*0.771350253807107</f>
        <v>0</v>
      </c>
      <c r="AE302" s="12">
        <f>F302*(1-0.771350253807107)</f>
        <v>0</v>
      </c>
      <c r="AL302" s="12">
        <f>E302*AD302</f>
        <v>0</v>
      </c>
      <c r="AM302" s="12">
        <f>E302*AE302</f>
        <v>0</v>
      </c>
      <c r="AN302" s="38" t="s">
        <v>1992</v>
      </c>
      <c r="AO302" s="38" t="s">
        <v>2027</v>
      </c>
      <c r="AP302" s="32" t="s">
        <v>2049</v>
      </c>
    </row>
    <row r="303" ht="12.75">
      <c r="C303" s="24" t="s">
        <v>1445</v>
      </c>
    </row>
    <row r="304" spans="1:42" ht="12.75">
      <c r="A304" s="50" t="s">
        <v>273</v>
      </c>
      <c r="B304" s="17" t="s">
        <v>823</v>
      </c>
      <c r="C304" s="17" t="s">
        <v>1446</v>
      </c>
      <c r="D304" s="17" t="s">
        <v>1941</v>
      </c>
      <c r="E304" s="26">
        <v>273.3</v>
      </c>
      <c r="F304" s="26">
        <v>0</v>
      </c>
      <c r="G304" s="26">
        <f>E304*AD304</f>
        <v>0</v>
      </c>
      <c r="H304" s="26">
        <f>I304-G304</f>
        <v>0</v>
      </c>
      <c r="I304" s="26">
        <f>E304*F304</f>
        <v>0</v>
      </c>
      <c r="J304" s="72">
        <v>0.005</v>
      </c>
      <c r="K304" s="72">
        <f>E304*J304</f>
        <v>1.3665</v>
      </c>
      <c r="L304" s="35" t="s">
        <v>1961</v>
      </c>
      <c r="M304" s="35" t="s">
        <v>122</v>
      </c>
      <c r="N304" s="26">
        <f>IF(M304="5",H304,0)</f>
        <v>0</v>
      </c>
      <c r="Y304" s="26">
        <f>IF(AC304=0,I304,0)</f>
        <v>0</v>
      </c>
      <c r="Z304" s="26">
        <f>IF(AC304=15,I304,0)</f>
        <v>0</v>
      </c>
      <c r="AA304" s="26">
        <f>IF(AC304=21,I304,0)</f>
        <v>0</v>
      </c>
      <c r="AC304" s="12">
        <v>21</v>
      </c>
      <c r="AD304" s="12">
        <f>F304*0.754052478134111</f>
        <v>0</v>
      </c>
      <c r="AE304" s="12">
        <f>F304*(1-0.754052478134111)</f>
        <v>0</v>
      </c>
      <c r="AL304" s="12">
        <f>E304*AD304</f>
        <v>0</v>
      </c>
      <c r="AM304" s="12">
        <f>E304*AE304</f>
        <v>0</v>
      </c>
      <c r="AN304" s="38" t="s">
        <v>1992</v>
      </c>
      <c r="AO304" s="38" t="s">
        <v>2027</v>
      </c>
      <c r="AP304" s="32" t="s">
        <v>2049</v>
      </c>
    </row>
    <row r="305" ht="12.75">
      <c r="C305" s="24" t="s">
        <v>1447</v>
      </c>
    </row>
    <row r="306" spans="1:42" ht="12.75">
      <c r="A306" s="50" t="s">
        <v>274</v>
      </c>
      <c r="B306" s="17" t="s">
        <v>824</v>
      </c>
      <c r="C306" s="17" t="s">
        <v>1448</v>
      </c>
      <c r="D306" s="17" t="s">
        <v>1942</v>
      </c>
      <c r="E306" s="26">
        <v>154.5</v>
      </c>
      <c r="F306" s="26">
        <v>0</v>
      </c>
      <c r="G306" s="26">
        <f>E306*AD306</f>
        <v>0</v>
      </c>
      <c r="H306" s="26">
        <f>I306-G306</f>
        <v>0</v>
      </c>
      <c r="I306" s="26">
        <f>E306*F306</f>
        <v>0</v>
      </c>
      <c r="J306" s="72">
        <v>0</v>
      </c>
      <c r="K306" s="72">
        <f>E306*J306</f>
        <v>0</v>
      </c>
      <c r="L306" s="35" t="s">
        <v>1959</v>
      </c>
      <c r="M306" s="35" t="s">
        <v>122</v>
      </c>
      <c r="N306" s="26">
        <f>IF(M306="5",H306,0)</f>
        <v>0</v>
      </c>
      <c r="Y306" s="26">
        <f>IF(AC306=0,I306,0)</f>
        <v>0</v>
      </c>
      <c r="Z306" s="26">
        <f>IF(AC306=15,I306,0)</f>
        <v>0</v>
      </c>
      <c r="AA306" s="26">
        <f>IF(AC306=21,I306,0)</f>
        <v>0</v>
      </c>
      <c r="AC306" s="12">
        <v>21</v>
      </c>
      <c r="AD306" s="12">
        <f>F306*0.610430463576159</f>
        <v>0</v>
      </c>
      <c r="AE306" s="12">
        <f>F306*(1-0.610430463576159)</f>
        <v>0</v>
      </c>
      <c r="AL306" s="12">
        <f>E306*AD306</f>
        <v>0</v>
      </c>
      <c r="AM306" s="12">
        <f>E306*AE306</f>
        <v>0</v>
      </c>
      <c r="AN306" s="38" t="s">
        <v>1992</v>
      </c>
      <c r="AO306" s="38" t="s">
        <v>2027</v>
      </c>
      <c r="AP306" s="32" t="s">
        <v>2049</v>
      </c>
    </row>
    <row r="307" spans="1:42" ht="12.75">
      <c r="A307" s="50" t="s">
        <v>275</v>
      </c>
      <c r="B307" s="17" t="s">
        <v>825</v>
      </c>
      <c r="C307" s="17" t="s">
        <v>1449</v>
      </c>
      <c r="D307" s="17" t="s">
        <v>1945</v>
      </c>
      <c r="E307" s="26">
        <v>5.1</v>
      </c>
      <c r="F307" s="26">
        <v>0</v>
      </c>
      <c r="G307" s="26">
        <f>E307*AD307</f>
        <v>0</v>
      </c>
      <c r="H307" s="26">
        <f>I307-G307</f>
        <v>0</v>
      </c>
      <c r="I307" s="26">
        <f>E307*F307</f>
        <v>0</v>
      </c>
      <c r="J307" s="72">
        <v>1.06625</v>
      </c>
      <c r="K307" s="72">
        <f>E307*J307</f>
        <v>5.437874999999999</v>
      </c>
      <c r="L307" s="35" t="s">
        <v>1959</v>
      </c>
      <c r="M307" s="35" t="s">
        <v>122</v>
      </c>
      <c r="N307" s="26">
        <f>IF(M307="5",H307,0)</f>
        <v>0</v>
      </c>
      <c r="Y307" s="26">
        <f>IF(AC307=0,I307,0)</f>
        <v>0</v>
      </c>
      <c r="Z307" s="26">
        <f>IF(AC307=15,I307,0)</f>
        <v>0</v>
      </c>
      <c r="AA307" s="26">
        <f>IF(AC307=21,I307,0)</f>
        <v>0</v>
      </c>
      <c r="AC307" s="12">
        <v>21</v>
      </c>
      <c r="AD307" s="12">
        <f>F307*0.821912435614423</f>
        <v>0</v>
      </c>
      <c r="AE307" s="12">
        <f>F307*(1-0.821912435614423)</f>
        <v>0</v>
      </c>
      <c r="AL307" s="12">
        <f>E307*AD307</f>
        <v>0</v>
      </c>
      <c r="AM307" s="12">
        <f>E307*AE307</f>
        <v>0</v>
      </c>
      <c r="AN307" s="38" t="s">
        <v>1992</v>
      </c>
      <c r="AO307" s="38" t="s">
        <v>2027</v>
      </c>
      <c r="AP307" s="32" t="s">
        <v>2049</v>
      </c>
    </row>
    <row r="308" ht="12.75">
      <c r="C308" s="24" t="s">
        <v>1450</v>
      </c>
    </row>
    <row r="309" spans="1:42" ht="12.75">
      <c r="A309" s="50" t="s">
        <v>276</v>
      </c>
      <c r="B309" s="17" t="s">
        <v>826</v>
      </c>
      <c r="C309" s="17" t="s">
        <v>1451</v>
      </c>
      <c r="D309" s="17" t="s">
        <v>1945</v>
      </c>
      <c r="E309" s="26">
        <v>5.17</v>
      </c>
      <c r="F309" s="26">
        <v>0</v>
      </c>
      <c r="G309" s="26">
        <f>E309*AD309</f>
        <v>0</v>
      </c>
      <c r="H309" s="26">
        <f>I309-G309</f>
        <v>0</v>
      </c>
      <c r="I309" s="26">
        <f>E309*F309</f>
        <v>0</v>
      </c>
      <c r="J309" s="72">
        <v>1.06625</v>
      </c>
      <c r="K309" s="72">
        <f>E309*J309</f>
        <v>5.5125125</v>
      </c>
      <c r="L309" s="35" t="s">
        <v>1959</v>
      </c>
      <c r="M309" s="35" t="s">
        <v>122</v>
      </c>
      <c r="N309" s="26">
        <f>IF(M309="5",H309,0)</f>
        <v>0</v>
      </c>
      <c r="Y309" s="26">
        <f>IF(AC309=0,I309,0)</f>
        <v>0</v>
      </c>
      <c r="Z309" s="26">
        <f>IF(AC309=15,I309,0)</f>
        <v>0</v>
      </c>
      <c r="AA309" s="26">
        <f>IF(AC309=21,I309,0)</f>
        <v>0</v>
      </c>
      <c r="AC309" s="12">
        <v>21</v>
      </c>
      <c r="AD309" s="12">
        <f>F309*0.814827084927315</f>
        <v>0</v>
      </c>
      <c r="AE309" s="12">
        <f>F309*(1-0.814827084927315)</f>
        <v>0</v>
      </c>
      <c r="AL309" s="12">
        <f>E309*AD309</f>
        <v>0</v>
      </c>
      <c r="AM309" s="12">
        <f>E309*AE309</f>
        <v>0</v>
      </c>
      <c r="AN309" s="38" t="s">
        <v>1992</v>
      </c>
      <c r="AO309" s="38" t="s">
        <v>2027</v>
      </c>
      <c r="AP309" s="32" t="s">
        <v>2049</v>
      </c>
    </row>
    <row r="310" ht="12.75">
      <c r="C310" s="24" t="s">
        <v>1452</v>
      </c>
    </row>
    <row r="311" spans="1:42" ht="12.75">
      <c r="A311" s="50" t="s">
        <v>277</v>
      </c>
      <c r="B311" s="17" t="s">
        <v>827</v>
      </c>
      <c r="C311" s="17" t="s">
        <v>1453</v>
      </c>
      <c r="D311" s="17" t="s">
        <v>1940</v>
      </c>
      <c r="E311" s="26">
        <v>38.1</v>
      </c>
      <c r="F311" s="26">
        <v>0</v>
      </c>
      <c r="G311" s="26">
        <f>E311*AD311</f>
        <v>0</v>
      </c>
      <c r="H311" s="26">
        <f>I311-G311</f>
        <v>0</v>
      </c>
      <c r="I311" s="26">
        <f>E311*F311</f>
        <v>0</v>
      </c>
      <c r="J311" s="72">
        <v>0.42</v>
      </c>
      <c r="K311" s="72">
        <f>E311*J311</f>
        <v>16.002</v>
      </c>
      <c r="L311" s="35" t="s">
        <v>1961</v>
      </c>
      <c r="M311" s="35" t="s">
        <v>122</v>
      </c>
      <c r="N311" s="26">
        <f>IF(M311="5",H311,0)</f>
        <v>0</v>
      </c>
      <c r="Y311" s="26">
        <f>IF(AC311=0,I311,0)</f>
        <v>0</v>
      </c>
      <c r="Z311" s="26">
        <f>IF(AC311=15,I311,0)</f>
        <v>0</v>
      </c>
      <c r="AA311" s="26">
        <f>IF(AC311=21,I311,0)</f>
        <v>0</v>
      </c>
      <c r="AC311" s="12">
        <v>21</v>
      </c>
      <c r="AD311" s="12">
        <f>F311*0.807730061349693</f>
        <v>0</v>
      </c>
      <c r="AE311" s="12">
        <f>F311*(1-0.807730061349693)</f>
        <v>0</v>
      </c>
      <c r="AL311" s="12">
        <f>E311*AD311</f>
        <v>0</v>
      </c>
      <c r="AM311" s="12">
        <f>E311*AE311</f>
        <v>0</v>
      </c>
      <c r="AN311" s="38" t="s">
        <v>1992</v>
      </c>
      <c r="AO311" s="38" t="s">
        <v>2027</v>
      </c>
      <c r="AP311" s="32" t="s">
        <v>2049</v>
      </c>
    </row>
    <row r="312" spans="1:42" ht="12.75">
      <c r="A312" s="50" t="s">
        <v>278</v>
      </c>
      <c r="B312" s="17" t="s">
        <v>828</v>
      </c>
      <c r="C312" s="17" t="s">
        <v>1454</v>
      </c>
      <c r="D312" s="17" t="s">
        <v>1941</v>
      </c>
      <c r="E312" s="26">
        <v>2312.92</v>
      </c>
      <c r="F312" s="26">
        <v>0</v>
      </c>
      <c r="G312" s="26">
        <f>E312*AD312</f>
        <v>0</v>
      </c>
      <c r="H312" s="26">
        <f>I312-G312</f>
        <v>0</v>
      </c>
      <c r="I312" s="26">
        <f>E312*F312</f>
        <v>0</v>
      </c>
      <c r="J312" s="72">
        <v>0.00714</v>
      </c>
      <c r="K312" s="72">
        <f>E312*J312</f>
        <v>16.5142488</v>
      </c>
      <c r="L312" s="35" t="s">
        <v>1961</v>
      </c>
      <c r="M312" s="35" t="s">
        <v>122</v>
      </c>
      <c r="N312" s="26">
        <f>IF(M312="5",H312,0)</f>
        <v>0</v>
      </c>
      <c r="Y312" s="26">
        <f>IF(AC312=0,I312,0)</f>
        <v>0</v>
      </c>
      <c r="Z312" s="26">
        <f>IF(AC312=15,I312,0)</f>
        <v>0</v>
      </c>
      <c r="AA312" s="26">
        <f>IF(AC312=21,I312,0)</f>
        <v>0</v>
      </c>
      <c r="AC312" s="12">
        <v>21</v>
      </c>
      <c r="AD312" s="12">
        <f>F312*0.684188481675393</f>
        <v>0</v>
      </c>
      <c r="AE312" s="12">
        <f>F312*(1-0.684188481675393)</f>
        <v>0</v>
      </c>
      <c r="AL312" s="12">
        <f>E312*AD312</f>
        <v>0</v>
      </c>
      <c r="AM312" s="12">
        <f>E312*AE312</f>
        <v>0</v>
      </c>
      <c r="AN312" s="38" t="s">
        <v>1992</v>
      </c>
      <c r="AO312" s="38" t="s">
        <v>2027</v>
      </c>
      <c r="AP312" s="32" t="s">
        <v>2049</v>
      </c>
    </row>
    <row r="313" ht="12.75">
      <c r="C313" s="24" t="s">
        <v>1455</v>
      </c>
    </row>
    <row r="314" spans="1:42" ht="12.75">
      <c r="A314" s="50" t="s">
        <v>279</v>
      </c>
      <c r="B314" s="17" t="s">
        <v>829</v>
      </c>
      <c r="C314" s="17" t="s">
        <v>1456</v>
      </c>
      <c r="D314" s="17" t="s">
        <v>1942</v>
      </c>
      <c r="E314" s="26">
        <v>154.5</v>
      </c>
      <c r="F314" s="26">
        <v>0</v>
      </c>
      <c r="G314" s="26">
        <f>E314*AD314</f>
        <v>0</v>
      </c>
      <c r="H314" s="26">
        <f>I314-G314</f>
        <v>0</v>
      </c>
      <c r="I314" s="26">
        <f>E314*F314</f>
        <v>0</v>
      </c>
      <c r="J314" s="72">
        <v>0.00128</v>
      </c>
      <c r="K314" s="72">
        <f>E314*J314</f>
        <v>0.19776000000000002</v>
      </c>
      <c r="L314" s="35" t="s">
        <v>1959</v>
      </c>
      <c r="M314" s="35" t="s">
        <v>122</v>
      </c>
      <c r="N314" s="26">
        <f>IF(M314="5",H314,0)</f>
        <v>0</v>
      </c>
      <c r="Y314" s="26">
        <f>IF(AC314=0,I314,0)</f>
        <v>0</v>
      </c>
      <c r="Z314" s="26">
        <f>IF(AC314=15,I314,0)</f>
        <v>0</v>
      </c>
      <c r="AA314" s="26">
        <f>IF(AC314=21,I314,0)</f>
        <v>0</v>
      </c>
      <c r="AC314" s="12">
        <v>21</v>
      </c>
      <c r="AD314" s="12">
        <f>F314*0.418888042650419</f>
        <v>0</v>
      </c>
      <c r="AE314" s="12">
        <f>F314*(1-0.418888042650419)</f>
        <v>0</v>
      </c>
      <c r="AL314" s="12">
        <f>E314*AD314</f>
        <v>0</v>
      </c>
      <c r="AM314" s="12">
        <f>E314*AE314</f>
        <v>0</v>
      </c>
      <c r="AN314" s="38" t="s">
        <v>1992</v>
      </c>
      <c r="AO314" s="38" t="s">
        <v>2027</v>
      </c>
      <c r="AP314" s="32" t="s">
        <v>2049</v>
      </c>
    </row>
    <row r="315" spans="1:36" ht="12.75">
      <c r="A315" s="52"/>
      <c r="B315" s="23" t="s">
        <v>23</v>
      </c>
      <c r="C315" s="121" t="s">
        <v>70</v>
      </c>
      <c r="D315" s="122"/>
      <c r="E315" s="122"/>
      <c r="F315" s="122"/>
      <c r="G315" s="40">
        <f>SUM(G316:G341)</f>
        <v>0</v>
      </c>
      <c r="H315" s="40">
        <f>SUM(H316:H341)</f>
        <v>0</v>
      </c>
      <c r="I315" s="40">
        <f>G315+H315</f>
        <v>0</v>
      </c>
      <c r="J315" s="74"/>
      <c r="K315" s="74">
        <f>SUM(K316:K341)</f>
        <v>2.72708</v>
      </c>
      <c r="L315" s="32"/>
      <c r="O315" s="40">
        <f>IF(P315="PR",I315,SUM(N316:N341))</f>
        <v>0</v>
      </c>
      <c r="P315" s="32" t="s">
        <v>1967</v>
      </c>
      <c r="Q315" s="40">
        <f>IF(P315="HS",G315,0)</f>
        <v>0</v>
      </c>
      <c r="R315" s="40">
        <f>IF(P315="HS",H315-O315,0)</f>
        <v>0</v>
      </c>
      <c r="S315" s="40">
        <f>IF(P315="PS",G315,0)</f>
        <v>0</v>
      </c>
      <c r="T315" s="40">
        <f>IF(P315="PS",H315-O315,0)</f>
        <v>0</v>
      </c>
      <c r="U315" s="40">
        <f>IF(P315="MP",G315,0)</f>
        <v>0</v>
      </c>
      <c r="V315" s="40">
        <f>IF(P315="MP",H315-O315,0)</f>
        <v>0</v>
      </c>
      <c r="W315" s="40">
        <f>IF(P315="OM",G315,0)</f>
        <v>0</v>
      </c>
      <c r="X315" s="32"/>
      <c r="AH315" s="40">
        <f>SUM(Y316:Y341)</f>
        <v>0</v>
      </c>
      <c r="AI315" s="40">
        <f>SUM(Z316:Z341)</f>
        <v>0</v>
      </c>
      <c r="AJ315" s="40">
        <f>SUM(AA316:AA341)</f>
        <v>0</v>
      </c>
    </row>
    <row r="316" spans="1:42" ht="12.75">
      <c r="A316" s="53" t="s">
        <v>280</v>
      </c>
      <c r="B316" s="18" t="s">
        <v>830</v>
      </c>
      <c r="C316" s="18" t="s">
        <v>1457</v>
      </c>
      <c r="D316" s="18" t="s">
        <v>1944</v>
      </c>
      <c r="E316" s="27">
        <v>1</v>
      </c>
      <c r="F316" s="27">
        <v>0</v>
      </c>
      <c r="G316" s="27">
        <f aca="true" t="shared" si="54" ref="G316:G335">E316*AD316</f>
        <v>0</v>
      </c>
      <c r="H316" s="27">
        <f aca="true" t="shared" si="55" ref="H316:H335">I316-G316</f>
        <v>0</v>
      </c>
      <c r="I316" s="27">
        <f aca="true" t="shared" si="56" ref="I316:I335">E316*F316</f>
        <v>0</v>
      </c>
      <c r="J316" s="76">
        <v>0.0106</v>
      </c>
      <c r="K316" s="76">
        <f aca="true" t="shared" si="57" ref="K316:K335">E316*J316</f>
        <v>0.0106</v>
      </c>
      <c r="L316" s="36" t="s">
        <v>1961</v>
      </c>
      <c r="M316" s="36" t="s">
        <v>7</v>
      </c>
      <c r="N316" s="27">
        <f aca="true" t="shared" si="58" ref="N316:N335">IF(M316="5",H316,0)</f>
        <v>0</v>
      </c>
      <c r="Y316" s="27">
        <f aca="true" t="shared" si="59" ref="Y316:Y335">IF(AC316=0,I316,0)</f>
        <v>0</v>
      </c>
      <c r="Z316" s="27">
        <f aca="true" t="shared" si="60" ref="Z316:Z335">IF(AC316=15,I316,0)</f>
        <v>0</v>
      </c>
      <c r="AA316" s="27">
        <f aca="true" t="shared" si="61" ref="AA316:AA335">IF(AC316=21,I316,0)</f>
        <v>0</v>
      </c>
      <c r="AC316" s="12">
        <v>21</v>
      </c>
      <c r="AD316" s="12">
        <f aca="true" t="shared" si="62" ref="AD316:AD334">F316*1</f>
        <v>0</v>
      </c>
      <c r="AE316" s="12">
        <f aca="true" t="shared" si="63" ref="AE316:AE334">F316*(1-1)</f>
        <v>0</v>
      </c>
      <c r="AL316" s="12">
        <f aca="true" t="shared" si="64" ref="AL316:AL335">E316*AD316</f>
        <v>0</v>
      </c>
      <c r="AM316" s="12">
        <f aca="true" t="shared" si="65" ref="AM316:AM335">E316*AE316</f>
        <v>0</v>
      </c>
      <c r="AN316" s="38" t="s">
        <v>1993</v>
      </c>
      <c r="AO316" s="38" t="s">
        <v>2027</v>
      </c>
      <c r="AP316" s="32" t="s">
        <v>2039</v>
      </c>
    </row>
    <row r="317" spans="1:42" ht="12.75">
      <c r="A317" s="53" t="s">
        <v>281</v>
      </c>
      <c r="B317" s="18" t="s">
        <v>830</v>
      </c>
      <c r="C317" s="18" t="s">
        <v>1458</v>
      </c>
      <c r="D317" s="18" t="s">
        <v>1944</v>
      </c>
      <c r="E317" s="27">
        <v>1</v>
      </c>
      <c r="F317" s="27">
        <v>0</v>
      </c>
      <c r="G317" s="27">
        <f t="shared" si="54"/>
        <v>0</v>
      </c>
      <c r="H317" s="27">
        <f t="shared" si="55"/>
        <v>0</v>
      </c>
      <c r="I317" s="27">
        <f t="shared" si="56"/>
        <v>0</v>
      </c>
      <c r="J317" s="76">
        <v>0.0106</v>
      </c>
      <c r="K317" s="76">
        <f t="shared" si="57"/>
        <v>0.0106</v>
      </c>
      <c r="L317" s="36" t="s">
        <v>1961</v>
      </c>
      <c r="M317" s="36" t="s">
        <v>7</v>
      </c>
      <c r="N317" s="27">
        <f t="shared" si="58"/>
        <v>0</v>
      </c>
      <c r="Y317" s="27">
        <f t="shared" si="59"/>
        <v>0</v>
      </c>
      <c r="Z317" s="27">
        <f t="shared" si="60"/>
        <v>0</v>
      </c>
      <c r="AA317" s="27">
        <f t="shared" si="61"/>
        <v>0</v>
      </c>
      <c r="AC317" s="12">
        <v>21</v>
      </c>
      <c r="AD317" s="12">
        <f t="shared" si="62"/>
        <v>0</v>
      </c>
      <c r="AE317" s="12">
        <f t="shared" si="63"/>
        <v>0</v>
      </c>
      <c r="AL317" s="12">
        <f t="shared" si="64"/>
        <v>0</v>
      </c>
      <c r="AM317" s="12">
        <f t="shared" si="65"/>
        <v>0</v>
      </c>
      <c r="AN317" s="38" t="s">
        <v>1993</v>
      </c>
      <c r="AO317" s="38" t="s">
        <v>2027</v>
      </c>
      <c r="AP317" s="32" t="s">
        <v>2039</v>
      </c>
    </row>
    <row r="318" spans="1:42" ht="12.75">
      <c r="A318" s="53" t="s">
        <v>282</v>
      </c>
      <c r="B318" s="18" t="s">
        <v>831</v>
      </c>
      <c r="C318" s="18" t="s">
        <v>1459</v>
      </c>
      <c r="D318" s="18" t="s">
        <v>1944</v>
      </c>
      <c r="E318" s="27">
        <v>5</v>
      </c>
      <c r="F318" s="27">
        <v>0</v>
      </c>
      <c r="G318" s="27">
        <f t="shared" si="54"/>
        <v>0</v>
      </c>
      <c r="H318" s="27">
        <f t="shared" si="55"/>
        <v>0</v>
      </c>
      <c r="I318" s="27">
        <f t="shared" si="56"/>
        <v>0</v>
      </c>
      <c r="J318" s="76">
        <v>0.0102</v>
      </c>
      <c r="K318" s="76">
        <f t="shared" si="57"/>
        <v>0.051000000000000004</v>
      </c>
      <c r="L318" s="36" t="s">
        <v>1959</v>
      </c>
      <c r="M318" s="36" t="s">
        <v>7</v>
      </c>
      <c r="N318" s="27">
        <f t="shared" si="58"/>
        <v>0</v>
      </c>
      <c r="Y318" s="27">
        <f t="shared" si="59"/>
        <v>0</v>
      </c>
      <c r="Z318" s="27">
        <f t="shared" si="60"/>
        <v>0</v>
      </c>
      <c r="AA318" s="27">
        <f t="shared" si="61"/>
        <v>0</v>
      </c>
      <c r="AC318" s="12">
        <v>21</v>
      </c>
      <c r="AD318" s="12">
        <f t="shared" si="62"/>
        <v>0</v>
      </c>
      <c r="AE318" s="12">
        <f t="shared" si="63"/>
        <v>0</v>
      </c>
      <c r="AL318" s="12">
        <f t="shared" si="64"/>
        <v>0</v>
      </c>
      <c r="AM318" s="12">
        <f t="shared" si="65"/>
        <v>0</v>
      </c>
      <c r="AN318" s="38" t="s">
        <v>1993</v>
      </c>
      <c r="AO318" s="38" t="s">
        <v>2027</v>
      </c>
      <c r="AP318" s="32" t="s">
        <v>2039</v>
      </c>
    </row>
    <row r="319" spans="1:42" ht="12.75">
      <c r="A319" s="53" t="s">
        <v>283</v>
      </c>
      <c r="B319" s="18" t="s">
        <v>832</v>
      </c>
      <c r="C319" s="18" t="s">
        <v>1460</v>
      </c>
      <c r="D319" s="18" t="s">
        <v>1944</v>
      </c>
      <c r="E319" s="27">
        <v>12</v>
      </c>
      <c r="F319" s="27">
        <v>0</v>
      </c>
      <c r="G319" s="27">
        <f t="shared" si="54"/>
        <v>0</v>
      </c>
      <c r="H319" s="27">
        <f t="shared" si="55"/>
        <v>0</v>
      </c>
      <c r="I319" s="27">
        <f t="shared" si="56"/>
        <v>0</v>
      </c>
      <c r="J319" s="76">
        <v>0.0104</v>
      </c>
      <c r="K319" s="76">
        <f t="shared" si="57"/>
        <v>0.1248</v>
      </c>
      <c r="L319" s="36" t="s">
        <v>1959</v>
      </c>
      <c r="M319" s="36" t="s">
        <v>7</v>
      </c>
      <c r="N319" s="27">
        <f t="shared" si="58"/>
        <v>0</v>
      </c>
      <c r="Y319" s="27">
        <f t="shared" si="59"/>
        <v>0</v>
      </c>
      <c r="Z319" s="27">
        <f t="shared" si="60"/>
        <v>0</v>
      </c>
      <c r="AA319" s="27">
        <f t="shared" si="61"/>
        <v>0</v>
      </c>
      <c r="AC319" s="12">
        <v>21</v>
      </c>
      <c r="AD319" s="12">
        <f t="shared" si="62"/>
        <v>0</v>
      </c>
      <c r="AE319" s="12">
        <f t="shared" si="63"/>
        <v>0</v>
      </c>
      <c r="AL319" s="12">
        <f t="shared" si="64"/>
        <v>0</v>
      </c>
      <c r="AM319" s="12">
        <f t="shared" si="65"/>
        <v>0</v>
      </c>
      <c r="AN319" s="38" t="s">
        <v>1993</v>
      </c>
      <c r="AO319" s="38" t="s">
        <v>2027</v>
      </c>
      <c r="AP319" s="32" t="s">
        <v>2039</v>
      </c>
    </row>
    <row r="320" spans="1:42" ht="12.75">
      <c r="A320" s="53" t="s">
        <v>284</v>
      </c>
      <c r="B320" s="18" t="s">
        <v>833</v>
      </c>
      <c r="C320" s="18" t="s">
        <v>1461</v>
      </c>
      <c r="D320" s="18" t="s">
        <v>1944</v>
      </c>
      <c r="E320" s="27">
        <v>10</v>
      </c>
      <c r="F320" s="27">
        <v>0</v>
      </c>
      <c r="G320" s="27">
        <f t="shared" si="54"/>
        <v>0</v>
      </c>
      <c r="H320" s="27">
        <f t="shared" si="55"/>
        <v>0</v>
      </c>
      <c r="I320" s="27">
        <f t="shared" si="56"/>
        <v>0</v>
      </c>
      <c r="J320" s="76">
        <v>0.0106</v>
      </c>
      <c r="K320" s="76">
        <f t="shared" si="57"/>
        <v>0.106</v>
      </c>
      <c r="L320" s="36" t="s">
        <v>1959</v>
      </c>
      <c r="M320" s="36" t="s">
        <v>7</v>
      </c>
      <c r="N320" s="27">
        <f t="shared" si="58"/>
        <v>0</v>
      </c>
      <c r="Y320" s="27">
        <f t="shared" si="59"/>
        <v>0</v>
      </c>
      <c r="Z320" s="27">
        <f t="shared" si="60"/>
        <v>0</v>
      </c>
      <c r="AA320" s="27">
        <f t="shared" si="61"/>
        <v>0</v>
      </c>
      <c r="AC320" s="12">
        <v>21</v>
      </c>
      <c r="AD320" s="12">
        <f t="shared" si="62"/>
        <v>0</v>
      </c>
      <c r="AE320" s="12">
        <f t="shared" si="63"/>
        <v>0</v>
      </c>
      <c r="AL320" s="12">
        <f t="shared" si="64"/>
        <v>0</v>
      </c>
      <c r="AM320" s="12">
        <f t="shared" si="65"/>
        <v>0</v>
      </c>
      <c r="AN320" s="38" t="s">
        <v>1993</v>
      </c>
      <c r="AO320" s="38" t="s">
        <v>2027</v>
      </c>
      <c r="AP320" s="32" t="s">
        <v>2039</v>
      </c>
    </row>
    <row r="321" spans="1:42" ht="12.75">
      <c r="A321" s="53" t="s">
        <v>285</v>
      </c>
      <c r="B321" s="18" t="s">
        <v>834</v>
      </c>
      <c r="C321" s="18" t="s">
        <v>1462</v>
      </c>
      <c r="D321" s="18" t="s">
        <v>1944</v>
      </c>
      <c r="E321" s="27">
        <v>13</v>
      </c>
      <c r="F321" s="27">
        <v>0</v>
      </c>
      <c r="G321" s="27">
        <f t="shared" si="54"/>
        <v>0</v>
      </c>
      <c r="H321" s="27">
        <f t="shared" si="55"/>
        <v>0</v>
      </c>
      <c r="I321" s="27">
        <f t="shared" si="56"/>
        <v>0</v>
      </c>
      <c r="J321" s="76">
        <v>0.0108</v>
      </c>
      <c r="K321" s="76">
        <f t="shared" si="57"/>
        <v>0.1404</v>
      </c>
      <c r="L321" s="36" t="s">
        <v>1959</v>
      </c>
      <c r="M321" s="36" t="s">
        <v>7</v>
      </c>
      <c r="N321" s="27">
        <f t="shared" si="58"/>
        <v>0</v>
      </c>
      <c r="Y321" s="27">
        <f t="shared" si="59"/>
        <v>0</v>
      </c>
      <c r="Z321" s="27">
        <f t="shared" si="60"/>
        <v>0</v>
      </c>
      <c r="AA321" s="27">
        <f t="shared" si="61"/>
        <v>0</v>
      </c>
      <c r="AC321" s="12">
        <v>21</v>
      </c>
      <c r="AD321" s="12">
        <f t="shared" si="62"/>
        <v>0</v>
      </c>
      <c r="AE321" s="12">
        <f t="shared" si="63"/>
        <v>0</v>
      </c>
      <c r="AL321" s="12">
        <f t="shared" si="64"/>
        <v>0</v>
      </c>
      <c r="AM321" s="12">
        <f t="shared" si="65"/>
        <v>0</v>
      </c>
      <c r="AN321" s="38" t="s">
        <v>1993</v>
      </c>
      <c r="AO321" s="38" t="s">
        <v>2027</v>
      </c>
      <c r="AP321" s="32" t="s">
        <v>2039</v>
      </c>
    </row>
    <row r="322" spans="1:42" ht="12.75">
      <c r="A322" s="53" t="s">
        <v>286</v>
      </c>
      <c r="B322" s="18" t="s">
        <v>835</v>
      </c>
      <c r="C322" s="18" t="s">
        <v>1463</v>
      </c>
      <c r="D322" s="18" t="s">
        <v>1944</v>
      </c>
      <c r="E322" s="27">
        <v>2</v>
      </c>
      <c r="F322" s="27">
        <v>0</v>
      </c>
      <c r="G322" s="27">
        <f t="shared" si="54"/>
        <v>0</v>
      </c>
      <c r="H322" s="27">
        <f t="shared" si="55"/>
        <v>0</v>
      </c>
      <c r="I322" s="27">
        <f t="shared" si="56"/>
        <v>0</v>
      </c>
      <c r="J322" s="76">
        <v>0.0113</v>
      </c>
      <c r="K322" s="76">
        <f t="shared" si="57"/>
        <v>0.0226</v>
      </c>
      <c r="L322" s="36" t="s">
        <v>1959</v>
      </c>
      <c r="M322" s="36" t="s">
        <v>7</v>
      </c>
      <c r="N322" s="27">
        <f t="shared" si="58"/>
        <v>0</v>
      </c>
      <c r="Y322" s="27">
        <f t="shared" si="59"/>
        <v>0</v>
      </c>
      <c r="Z322" s="27">
        <f t="shared" si="60"/>
        <v>0</v>
      </c>
      <c r="AA322" s="27">
        <f t="shared" si="61"/>
        <v>0</v>
      </c>
      <c r="AC322" s="12">
        <v>21</v>
      </c>
      <c r="AD322" s="12">
        <f t="shared" si="62"/>
        <v>0</v>
      </c>
      <c r="AE322" s="12">
        <f t="shared" si="63"/>
        <v>0</v>
      </c>
      <c r="AL322" s="12">
        <f t="shared" si="64"/>
        <v>0</v>
      </c>
      <c r="AM322" s="12">
        <f t="shared" si="65"/>
        <v>0</v>
      </c>
      <c r="AN322" s="38" t="s">
        <v>1993</v>
      </c>
      <c r="AO322" s="38" t="s">
        <v>2027</v>
      </c>
      <c r="AP322" s="32" t="s">
        <v>2039</v>
      </c>
    </row>
    <row r="323" spans="1:42" ht="12.75">
      <c r="A323" s="53" t="s">
        <v>287</v>
      </c>
      <c r="B323" s="18" t="s">
        <v>836</v>
      </c>
      <c r="C323" s="18" t="s">
        <v>1464</v>
      </c>
      <c r="D323" s="18" t="s">
        <v>1944</v>
      </c>
      <c r="E323" s="27">
        <v>5</v>
      </c>
      <c r="F323" s="27">
        <v>0</v>
      </c>
      <c r="G323" s="27">
        <f t="shared" si="54"/>
        <v>0</v>
      </c>
      <c r="H323" s="27">
        <f t="shared" si="55"/>
        <v>0</v>
      </c>
      <c r="I323" s="27">
        <f t="shared" si="56"/>
        <v>0</v>
      </c>
      <c r="J323" s="76">
        <v>0.0126</v>
      </c>
      <c r="K323" s="76">
        <f t="shared" si="57"/>
        <v>0.063</v>
      </c>
      <c r="L323" s="36" t="s">
        <v>1959</v>
      </c>
      <c r="M323" s="36" t="s">
        <v>7</v>
      </c>
      <c r="N323" s="27">
        <f t="shared" si="58"/>
        <v>0</v>
      </c>
      <c r="Y323" s="27">
        <f t="shared" si="59"/>
        <v>0</v>
      </c>
      <c r="Z323" s="27">
        <f t="shared" si="60"/>
        <v>0</v>
      </c>
      <c r="AA323" s="27">
        <f t="shared" si="61"/>
        <v>0</v>
      </c>
      <c r="AC323" s="12">
        <v>21</v>
      </c>
      <c r="AD323" s="12">
        <f t="shared" si="62"/>
        <v>0</v>
      </c>
      <c r="AE323" s="12">
        <f t="shared" si="63"/>
        <v>0</v>
      </c>
      <c r="AL323" s="12">
        <f t="shared" si="64"/>
        <v>0</v>
      </c>
      <c r="AM323" s="12">
        <f t="shared" si="65"/>
        <v>0</v>
      </c>
      <c r="AN323" s="38" t="s">
        <v>1993</v>
      </c>
      <c r="AO323" s="38" t="s">
        <v>2027</v>
      </c>
      <c r="AP323" s="32" t="s">
        <v>2039</v>
      </c>
    </row>
    <row r="324" spans="1:42" ht="12.75">
      <c r="A324" s="53" t="s">
        <v>288</v>
      </c>
      <c r="B324" s="18" t="s">
        <v>837</v>
      </c>
      <c r="C324" s="18" t="s">
        <v>1465</v>
      </c>
      <c r="D324" s="18" t="s">
        <v>1944</v>
      </c>
      <c r="E324" s="27">
        <v>2</v>
      </c>
      <c r="F324" s="27">
        <v>0</v>
      </c>
      <c r="G324" s="27">
        <f t="shared" si="54"/>
        <v>0</v>
      </c>
      <c r="H324" s="27">
        <f t="shared" si="55"/>
        <v>0</v>
      </c>
      <c r="I324" s="27">
        <f t="shared" si="56"/>
        <v>0</v>
      </c>
      <c r="J324" s="76">
        <v>0.0141</v>
      </c>
      <c r="K324" s="76">
        <f t="shared" si="57"/>
        <v>0.0282</v>
      </c>
      <c r="L324" s="36" t="s">
        <v>1961</v>
      </c>
      <c r="M324" s="36" t="s">
        <v>7</v>
      </c>
      <c r="N324" s="27">
        <f t="shared" si="58"/>
        <v>0</v>
      </c>
      <c r="Y324" s="27">
        <f t="shared" si="59"/>
        <v>0</v>
      </c>
      <c r="Z324" s="27">
        <f t="shared" si="60"/>
        <v>0</v>
      </c>
      <c r="AA324" s="27">
        <f t="shared" si="61"/>
        <v>0</v>
      </c>
      <c r="AC324" s="12">
        <v>21</v>
      </c>
      <c r="AD324" s="12">
        <f t="shared" si="62"/>
        <v>0</v>
      </c>
      <c r="AE324" s="12">
        <f t="shared" si="63"/>
        <v>0</v>
      </c>
      <c r="AL324" s="12">
        <f t="shared" si="64"/>
        <v>0</v>
      </c>
      <c r="AM324" s="12">
        <f t="shared" si="65"/>
        <v>0</v>
      </c>
      <c r="AN324" s="38" t="s">
        <v>1993</v>
      </c>
      <c r="AO324" s="38" t="s">
        <v>2027</v>
      </c>
      <c r="AP324" s="32" t="s">
        <v>2039</v>
      </c>
    </row>
    <row r="325" spans="1:42" ht="12.75">
      <c r="A325" s="53" t="s">
        <v>289</v>
      </c>
      <c r="B325" s="18" t="s">
        <v>838</v>
      </c>
      <c r="C325" s="18" t="s">
        <v>1466</v>
      </c>
      <c r="D325" s="18" t="s">
        <v>1944</v>
      </c>
      <c r="E325" s="27">
        <v>1</v>
      </c>
      <c r="F325" s="27">
        <v>0</v>
      </c>
      <c r="G325" s="27">
        <f t="shared" si="54"/>
        <v>0</v>
      </c>
      <c r="H325" s="27">
        <f t="shared" si="55"/>
        <v>0</v>
      </c>
      <c r="I325" s="27">
        <f t="shared" si="56"/>
        <v>0</v>
      </c>
      <c r="J325" s="76">
        <v>0.0128</v>
      </c>
      <c r="K325" s="76">
        <f t="shared" si="57"/>
        <v>0.0128</v>
      </c>
      <c r="L325" s="36" t="s">
        <v>1959</v>
      </c>
      <c r="M325" s="36" t="s">
        <v>7</v>
      </c>
      <c r="N325" s="27">
        <f t="shared" si="58"/>
        <v>0</v>
      </c>
      <c r="Y325" s="27">
        <f t="shared" si="59"/>
        <v>0</v>
      </c>
      <c r="Z325" s="27">
        <f t="shared" si="60"/>
        <v>0</v>
      </c>
      <c r="AA325" s="27">
        <f t="shared" si="61"/>
        <v>0</v>
      </c>
      <c r="AC325" s="12">
        <v>21</v>
      </c>
      <c r="AD325" s="12">
        <f t="shared" si="62"/>
        <v>0</v>
      </c>
      <c r="AE325" s="12">
        <f t="shared" si="63"/>
        <v>0</v>
      </c>
      <c r="AL325" s="12">
        <f t="shared" si="64"/>
        <v>0</v>
      </c>
      <c r="AM325" s="12">
        <f t="shared" si="65"/>
        <v>0</v>
      </c>
      <c r="AN325" s="38" t="s">
        <v>1993</v>
      </c>
      <c r="AO325" s="38" t="s">
        <v>2027</v>
      </c>
      <c r="AP325" s="32" t="s">
        <v>2039</v>
      </c>
    </row>
    <row r="326" spans="1:42" ht="12.75">
      <c r="A326" s="53" t="s">
        <v>290</v>
      </c>
      <c r="B326" s="18" t="s">
        <v>839</v>
      </c>
      <c r="C326" s="18" t="s">
        <v>1467</v>
      </c>
      <c r="D326" s="18" t="s">
        <v>1944</v>
      </c>
      <c r="E326" s="27">
        <v>8</v>
      </c>
      <c r="F326" s="27">
        <v>0</v>
      </c>
      <c r="G326" s="27">
        <f t="shared" si="54"/>
        <v>0</v>
      </c>
      <c r="H326" s="27">
        <f t="shared" si="55"/>
        <v>0</v>
      </c>
      <c r="I326" s="27">
        <f t="shared" si="56"/>
        <v>0</v>
      </c>
      <c r="J326" s="76">
        <v>0.013</v>
      </c>
      <c r="K326" s="76">
        <f t="shared" si="57"/>
        <v>0.104</v>
      </c>
      <c r="L326" s="36" t="s">
        <v>1959</v>
      </c>
      <c r="M326" s="36" t="s">
        <v>7</v>
      </c>
      <c r="N326" s="27">
        <f t="shared" si="58"/>
        <v>0</v>
      </c>
      <c r="Y326" s="27">
        <f t="shared" si="59"/>
        <v>0</v>
      </c>
      <c r="Z326" s="27">
        <f t="shared" si="60"/>
        <v>0</v>
      </c>
      <c r="AA326" s="27">
        <f t="shared" si="61"/>
        <v>0</v>
      </c>
      <c r="AC326" s="12">
        <v>21</v>
      </c>
      <c r="AD326" s="12">
        <f t="shared" si="62"/>
        <v>0</v>
      </c>
      <c r="AE326" s="12">
        <f t="shared" si="63"/>
        <v>0</v>
      </c>
      <c r="AL326" s="12">
        <f t="shared" si="64"/>
        <v>0</v>
      </c>
      <c r="AM326" s="12">
        <f t="shared" si="65"/>
        <v>0</v>
      </c>
      <c r="AN326" s="38" t="s">
        <v>1993</v>
      </c>
      <c r="AO326" s="38" t="s">
        <v>2027</v>
      </c>
      <c r="AP326" s="32" t="s">
        <v>2039</v>
      </c>
    </row>
    <row r="327" spans="1:42" ht="12.75">
      <c r="A327" s="53" t="s">
        <v>291</v>
      </c>
      <c r="B327" s="18" t="s">
        <v>840</v>
      </c>
      <c r="C327" s="18" t="s">
        <v>1468</v>
      </c>
      <c r="D327" s="18" t="s">
        <v>1944</v>
      </c>
      <c r="E327" s="27">
        <v>11</v>
      </c>
      <c r="F327" s="27">
        <v>0</v>
      </c>
      <c r="G327" s="27">
        <f t="shared" si="54"/>
        <v>0</v>
      </c>
      <c r="H327" s="27">
        <f t="shared" si="55"/>
        <v>0</v>
      </c>
      <c r="I327" s="27">
        <f t="shared" si="56"/>
        <v>0</v>
      </c>
      <c r="J327" s="76">
        <v>0.0131</v>
      </c>
      <c r="K327" s="76">
        <f t="shared" si="57"/>
        <v>0.1441</v>
      </c>
      <c r="L327" s="36" t="s">
        <v>1959</v>
      </c>
      <c r="M327" s="36" t="s">
        <v>7</v>
      </c>
      <c r="N327" s="27">
        <f t="shared" si="58"/>
        <v>0</v>
      </c>
      <c r="Y327" s="27">
        <f t="shared" si="59"/>
        <v>0</v>
      </c>
      <c r="Z327" s="27">
        <f t="shared" si="60"/>
        <v>0</v>
      </c>
      <c r="AA327" s="27">
        <f t="shared" si="61"/>
        <v>0</v>
      </c>
      <c r="AC327" s="12">
        <v>21</v>
      </c>
      <c r="AD327" s="12">
        <f t="shared" si="62"/>
        <v>0</v>
      </c>
      <c r="AE327" s="12">
        <f t="shared" si="63"/>
        <v>0</v>
      </c>
      <c r="AL327" s="12">
        <f t="shared" si="64"/>
        <v>0</v>
      </c>
      <c r="AM327" s="12">
        <f t="shared" si="65"/>
        <v>0</v>
      </c>
      <c r="AN327" s="38" t="s">
        <v>1993</v>
      </c>
      <c r="AO327" s="38" t="s">
        <v>2027</v>
      </c>
      <c r="AP327" s="32" t="s">
        <v>2039</v>
      </c>
    </row>
    <row r="328" spans="1:42" ht="12.75">
      <c r="A328" s="53" t="s">
        <v>292</v>
      </c>
      <c r="B328" s="18" t="s">
        <v>841</v>
      </c>
      <c r="C328" s="18" t="s">
        <v>1469</v>
      </c>
      <c r="D328" s="18" t="s">
        <v>1944</v>
      </c>
      <c r="E328" s="27">
        <v>2</v>
      </c>
      <c r="F328" s="27">
        <v>0</v>
      </c>
      <c r="G328" s="27">
        <f t="shared" si="54"/>
        <v>0</v>
      </c>
      <c r="H328" s="27">
        <f t="shared" si="55"/>
        <v>0</v>
      </c>
      <c r="I328" s="27">
        <f t="shared" si="56"/>
        <v>0</v>
      </c>
      <c r="J328" s="76">
        <v>0.0136</v>
      </c>
      <c r="K328" s="76">
        <f t="shared" si="57"/>
        <v>0.0272</v>
      </c>
      <c r="L328" s="36" t="s">
        <v>1959</v>
      </c>
      <c r="M328" s="36" t="s">
        <v>7</v>
      </c>
      <c r="N328" s="27">
        <f t="shared" si="58"/>
        <v>0</v>
      </c>
      <c r="Y328" s="27">
        <f t="shared" si="59"/>
        <v>0</v>
      </c>
      <c r="Z328" s="27">
        <f t="shared" si="60"/>
        <v>0</v>
      </c>
      <c r="AA328" s="27">
        <f t="shared" si="61"/>
        <v>0</v>
      </c>
      <c r="AC328" s="12">
        <v>21</v>
      </c>
      <c r="AD328" s="12">
        <f t="shared" si="62"/>
        <v>0</v>
      </c>
      <c r="AE328" s="12">
        <f t="shared" si="63"/>
        <v>0</v>
      </c>
      <c r="AL328" s="12">
        <f t="shared" si="64"/>
        <v>0</v>
      </c>
      <c r="AM328" s="12">
        <f t="shared" si="65"/>
        <v>0</v>
      </c>
      <c r="AN328" s="38" t="s">
        <v>1993</v>
      </c>
      <c r="AO328" s="38" t="s">
        <v>2027</v>
      </c>
      <c r="AP328" s="32" t="s">
        <v>2039</v>
      </c>
    </row>
    <row r="329" spans="1:42" ht="12.75">
      <c r="A329" s="53" t="s">
        <v>293</v>
      </c>
      <c r="B329" s="18" t="s">
        <v>842</v>
      </c>
      <c r="C329" s="18" t="s">
        <v>1470</v>
      </c>
      <c r="D329" s="18" t="s">
        <v>1944</v>
      </c>
      <c r="E329" s="27">
        <v>5</v>
      </c>
      <c r="F329" s="27">
        <v>0</v>
      </c>
      <c r="G329" s="27">
        <f t="shared" si="54"/>
        <v>0</v>
      </c>
      <c r="H329" s="27">
        <f t="shared" si="55"/>
        <v>0</v>
      </c>
      <c r="I329" s="27">
        <f t="shared" si="56"/>
        <v>0</v>
      </c>
      <c r="J329" s="76">
        <v>0.0132</v>
      </c>
      <c r="K329" s="76">
        <f t="shared" si="57"/>
        <v>0.066</v>
      </c>
      <c r="L329" s="36" t="s">
        <v>1959</v>
      </c>
      <c r="M329" s="36" t="s">
        <v>7</v>
      </c>
      <c r="N329" s="27">
        <f t="shared" si="58"/>
        <v>0</v>
      </c>
      <c r="Y329" s="27">
        <f t="shared" si="59"/>
        <v>0</v>
      </c>
      <c r="Z329" s="27">
        <f t="shared" si="60"/>
        <v>0</v>
      </c>
      <c r="AA329" s="27">
        <f t="shared" si="61"/>
        <v>0</v>
      </c>
      <c r="AC329" s="12">
        <v>21</v>
      </c>
      <c r="AD329" s="12">
        <f t="shared" si="62"/>
        <v>0</v>
      </c>
      <c r="AE329" s="12">
        <f t="shared" si="63"/>
        <v>0</v>
      </c>
      <c r="AL329" s="12">
        <f t="shared" si="64"/>
        <v>0</v>
      </c>
      <c r="AM329" s="12">
        <f t="shared" si="65"/>
        <v>0</v>
      </c>
      <c r="AN329" s="38" t="s">
        <v>1993</v>
      </c>
      <c r="AO329" s="38" t="s">
        <v>2027</v>
      </c>
      <c r="AP329" s="32" t="s">
        <v>2039</v>
      </c>
    </row>
    <row r="330" spans="1:42" ht="12.75">
      <c r="A330" s="53" t="s">
        <v>294</v>
      </c>
      <c r="B330" s="18" t="s">
        <v>843</v>
      </c>
      <c r="C330" s="18" t="s">
        <v>1471</v>
      </c>
      <c r="D330" s="18" t="s">
        <v>1944</v>
      </c>
      <c r="E330" s="27">
        <v>1</v>
      </c>
      <c r="F330" s="27">
        <v>0</v>
      </c>
      <c r="G330" s="27">
        <f t="shared" si="54"/>
        <v>0</v>
      </c>
      <c r="H330" s="27">
        <f t="shared" si="55"/>
        <v>0</v>
      </c>
      <c r="I330" s="27">
        <f t="shared" si="56"/>
        <v>0</v>
      </c>
      <c r="J330" s="76">
        <v>0.0141</v>
      </c>
      <c r="K330" s="76">
        <f t="shared" si="57"/>
        <v>0.0141</v>
      </c>
      <c r="L330" s="36" t="s">
        <v>1959</v>
      </c>
      <c r="M330" s="36" t="s">
        <v>7</v>
      </c>
      <c r="N330" s="27">
        <f t="shared" si="58"/>
        <v>0</v>
      </c>
      <c r="Y330" s="27">
        <f t="shared" si="59"/>
        <v>0</v>
      </c>
      <c r="Z330" s="27">
        <f t="shared" si="60"/>
        <v>0</v>
      </c>
      <c r="AA330" s="27">
        <f t="shared" si="61"/>
        <v>0</v>
      </c>
      <c r="AC330" s="12">
        <v>21</v>
      </c>
      <c r="AD330" s="12">
        <f t="shared" si="62"/>
        <v>0</v>
      </c>
      <c r="AE330" s="12">
        <f t="shared" si="63"/>
        <v>0</v>
      </c>
      <c r="AL330" s="12">
        <f t="shared" si="64"/>
        <v>0</v>
      </c>
      <c r="AM330" s="12">
        <f t="shared" si="65"/>
        <v>0</v>
      </c>
      <c r="AN330" s="38" t="s">
        <v>1993</v>
      </c>
      <c r="AO330" s="38" t="s">
        <v>2027</v>
      </c>
      <c r="AP330" s="32" t="s">
        <v>2039</v>
      </c>
    </row>
    <row r="331" spans="1:42" ht="12.75">
      <c r="A331" s="53" t="s">
        <v>295</v>
      </c>
      <c r="B331" s="18" t="s">
        <v>844</v>
      </c>
      <c r="C331" s="18" t="s">
        <v>1472</v>
      </c>
      <c r="D331" s="18" t="s">
        <v>1944</v>
      </c>
      <c r="E331" s="27">
        <v>1</v>
      </c>
      <c r="F331" s="27">
        <v>0</v>
      </c>
      <c r="G331" s="27">
        <f t="shared" si="54"/>
        <v>0</v>
      </c>
      <c r="H331" s="27">
        <f t="shared" si="55"/>
        <v>0</v>
      </c>
      <c r="I331" s="27">
        <f t="shared" si="56"/>
        <v>0</v>
      </c>
      <c r="J331" s="76">
        <v>0.0146</v>
      </c>
      <c r="K331" s="76">
        <f t="shared" si="57"/>
        <v>0.0146</v>
      </c>
      <c r="L331" s="36" t="s">
        <v>1959</v>
      </c>
      <c r="M331" s="36" t="s">
        <v>7</v>
      </c>
      <c r="N331" s="27">
        <f t="shared" si="58"/>
        <v>0</v>
      </c>
      <c r="Y331" s="27">
        <f t="shared" si="59"/>
        <v>0</v>
      </c>
      <c r="Z331" s="27">
        <f t="shared" si="60"/>
        <v>0</v>
      </c>
      <c r="AA331" s="27">
        <f t="shared" si="61"/>
        <v>0</v>
      </c>
      <c r="AC331" s="12">
        <v>21</v>
      </c>
      <c r="AD331" s="12">
        <f t="shared" si="62"/>
        <v>0</v>
      </c>
      <c r="AE331" s="12">
        <f t="shared" si="63"/>
        <v>0</v>
      </c>
      <c r="AL331" s="12">
        <f t="shared" si="64"/>
        <v>0</v>
      </c>
      <c r="AM331" s="12">
        <f t="shared" si="65"/>
        <v>0</v>
      </c>
      <c r="AN331" s="38" t="s">
        <v>1993</v>
      </c>
      <c r="AO331" s="38" t="s">
        <v>2027</v>
      </c>
      <c r="AP331" s="32" t="s">
        <v>2039</v>
      </c>
    </row>
    <row r="332" spans="1:42" s="60" customFormat="1" ht="26.25">
      <c r="A332" s="64" t="s">
        <v>296</v>
      </c>
      <c r="B332" s="65" t="s">
        <v>845</v>
      </c>
      <c r="C332" s="65" t="s">
        <v>1473</v>
      </c>
      <c r="D332" s="65" t="s">
        <v>1944</v>
      </c>
      <c r="E332" s="66">
        <v>1</v>
      </c>
      <c r="F332" s="66">
        <v>0</v>
      </c>
      <c r="G332" s="66">
        <f t="shared" si="54"/>
        <v>0</v>
      </c>
      <c r="H332" s="66">
        <f t="shared" si="55"/>
        <v>0</v>
      </c>
      <c r="I332" s="66">
        <f t="shared" si="56"/>
        <v>0</v>
      </c>
      <c r="J332" s="75">
        <v>0.0325</v>
      </c>
      <c r="K332" s="75">
        <f t="shared" si="57"/>
        <v>0.0325</v>
      </c>
      <c r="L332" s="67" t="s">
        <v>1961</v>
      </c>
      <c r="M332" s="67" t="s">
        <v>7</v>
      </c>
      <c r="N332" s="66">
        <f t="shared" si="58"/>
        <v>0</v>
      </c>
      <c r="Y332" s="66">
        <f t="shared" si="59"/>
        <v>0</v>
      </c>
      <c r="Z332" s="66">
        <f t="shared" si="60"/>
        <v>0</v>
      </c>
      <c r="AA332" s="66">
        <f t="shared" si="61"/>
        <v>0</v>
      </c>
      <c r="AC332" s="61">
        <v>21</v>
      </c>
      <c r="AD332" s="61">
        <f t="shared" si="62"/>
        <v>0</v>
      </c>
      <c r="AE332" s="61">
        <f t="shared" si="63"/>
        <v>0</v>
      </c>
      <c r="AL332" s="61">
        <f t="shared" si="64"/>
        <v>0</v>
      </c>
      <c r="AM332" s="61">
        <f t="shared" si="65"/>
        <v>0</v>
      </c>
      <c r="AN332" s="62" t="s">
        <v>1993</v>
      </c>
      <c r="AO332" s="62" t="s">
        <v>2027</v>
      </c>
      <c r="AP332" s="63" t="s">
        <v>2039</v>
      </c>
    </row>
    <row r="333" spans="1:42" s="60" customFormat="1" ht="26.25">
      <c r="A333" s="64" t="s">
        <v>297</v>
      </c>
      <c r="B333" s="65" t="s">
        <v>846</v>
      </c>
      <c r="C333" s="65" t="s">
        <v>1474</v>
      </c>
      <c r="D333" s="65" t="s">
        <v>1944</v>
      </c>
      <c r="E333" s="66">
        <v>1</v>
      </c>
      <c r="F333" s="66">
        <v>0</v>
      </c>
      <c r="G333" s="66">
        <f t="shared" si="54"/>
        <v>0</v>
      </c>
      <c r="H333" s="66">
        <f t="shared" si="55"/>
        <v>0</v>
      </c>
      <c r="I333" s="66">
        <f t="shared" si="56"/>
        <v>0</v>
      </c>
      <c r="J333" s="75">
        <v>0.0325</v>
      </c>
      <c r="K333" s="75">
        <f t="shared" si="57"/>
        <v>0.0325</v>
      </c>
      <c r="L333" s="67" t="s">
        <v>1961</v>
      </c>
      <c r="M333" s="67" t="s">
        <v>7</v>
      </c>
      <c r="N333" s="66">
        <f t="shared" si="58"/>
        <v>0</v>
      </c>
      <c r="Y333" s="66">
        <f t="shared" si="59"/>
        <v>0</v>
      </c>
      <c r="Z333" s="66">
        <f t="shared" si="60"/>
        <v>0</v>
      </c>
      <c r="AA333" s="66">
        <f t="shared" si="61"/>
        <v>0</v>
      </c>
      <c r="AC333" s="61">
        <v>21</v>
      </c>
      <c r="AD333" s="61">
        <f t="shared" si="62"/>
        <v>0</v>
      </c>
      <c r="AE333" s="61">
        <f t="shared" si="63"/>
        <v>0</v>
      </c>
      <c r="AL333" s="61">
        <f t="shared" si="64"/>
        <v>0</v>
      </c>
      <c r="AM333" s="61">
        <f t="shared" si="65"/>
        <v>0</v>
      </c>
      <c r="AN333" s="62" t="s">
        <v>1993</v>
      </c>
      <c r="AO333" s="62" t="s">
        <v>2027</v>
      </c>
      <c r="AP333" s="63" t="s">
        <v>2039</v>
      </c>
    </row>
    <row r="334" spans="1:42" s="60" customFormat="1" ht="26.25">
      <c r="A334" s="64" t="s">
        <v>298</v>
      </c>
      <c r="B334" s="65" t="s">
        <v>847</v>
      </c>
      <c r="C334" s="65" t="s">
        <v>1475</v>
      </c>
      <c r="D334" s="65" t="s">
        <v>1944</v>
      </c>
      <c r="E334" s="66">
        <v>1</v>
      </c>
      <c r="F334" s="66">
        <v>0</v>
      </c>
      <c r="G334" s="66">
        <f t="shared" si="54"/>
        <v>0</v>
      </c>
      <c r="H334" s="66">
        <f t="shared" si="55"/>
        <v>0</v>
      </c>
      <c r="I334" s="66">
        <f t="shared" si="56"/>
        <v>0</v>
      </c>
      <c r="J334" s="75">
        <v>0.0325</v>
      </c>
      <c r="K334" s="75">
        <f t="shared" si="57"/>
        <v>0.0325</v>
      </c>
      <c r="L334" s="67" t="s">
        <v>1961</v>
      </c>
      <c r="M334" s="67" t="s">
        <v>7</v>
      </c>
      <c r="N334" s="66">
        <f t="shared" si="58"/>
        <v>0</v>
      </c>
      <c r="Y334" s="66">
        <f t="shared" si="59"/>
        <v>0</v>
      </c>
      <c r="Z334" s="66">
        <f t="shared" si="60"/>
        <v>0</v>
      </c>
      <c r="AA334" s="66">
        <f t="shared" si="61"/>
        <v>0</v>
      </c>
      <c r="AC334" s="61">
        <v>21</v>
      </c>
      <c r="AD334" s="61">
        <f t="shared" si="62"/>
        <v>0</v>
      </c>
      <c r="AE334" s="61">
        <f t="shared" si="63"/>
        <v>0</v>
      </c>
      <c r="AL334" s="61">
        <f t="shared" si="64"/>
        <v>0</v>
      </c>
      <c r="AM334" s="61">
        <f t="shared" si="65"/>
        <v>0</v>
      </c>
      <c r="AN334" s="62" t="s">
        <v>1993</v>
      </c>
      <c r="AO334" s="62" t="s">
        <v>2027</v>
      </c>
      <c r="AP334" s="63" t="s">
        <v>2039</v>
      </c>
    </row>
    <row r="335" spans="1:42" ht="12.75">
      <c r="A335" s="50" t="s">
        <v>299</v>
      </c>
      <c r="B335" s="17" t="s">
        <v>848</v>
      </c>
      <c r="C335" s="17" t="s">
        <v>1476</v>
      </c>
      <c r="D335" s="17" t="s">
        <v>1944</v>
      </c>
      <c r="E335" s="26">
        <v>1</v>
      </c>
      <c r="F335" s="26">
        <v>0</v>
      </c>
      <c r="G335" s="26">
        <f t="shared" si="54"/>
        <v>0</v>
      </c>
      <c r="H335" s="26">
        <f t="shared" si="55"/>
        <v>0</v>
      </c>
      <c r="I335" s="26">
        <f t="shared" si="56"/>
        <v>0</v>
      </c>
      <c r="J335" s="72">
        <v>0.04275</v>
      </c>
      <c r="K335" s="72">
        <f t="shared" si="57"/>
        <v>0.04275</v>
      </c>
      <c r="L335" s="35" t="s">
        <v>1959</v>
      </c>
      <c r="M335" s="35" t="s">
        <v>122</v>
      </c>
      <c r="N335" s="26">
        <f t="shared" si="58"/>
        <v>0</v>
      </c>
      <c r="Y335" s="26">
        <f t="shared" si="59"/>
        <v>0</v>
      </c>
      <c r="Z335" s="26">
        <f t="shared" si="60"/>
        <v>0</v>
      </c>
      <c r="AA335" s="26">
        <f t="shared" si="61"/>
        <v>0</v>
      </c>
      <c r="AC335" s="12">
        <v>21</v>
      </c>
      <c r="AD335" s="12">
        <f>F335*0.93543268954206</f>
        <v>0</v>
      </c>
      <c r="AE335" s="12">
        <f>F335*(1-0.93543268954206)</f>
        <v>0</v>
      </c>
      <c r="AL335" s="12">
        <f t="shared" si="64"/>
        <v>0</v>
      </c>
      <c r="AM335" s="12">
        <f t="shared" si="65"/>
        <v>0</v>
      </c>
      <c r="AN335" s="38" t="s">
        <v>1993</v>
      </c>
      <c r="AO335" s="38" t="s">
        <v>2027</v>
      </c>
      <c r="AP335" s="32" t="s">
        <v>2039</v>
      </c>
    </row>
    <row r="336" ht="12.75">
      <c r="C336" s="24" t="s">
        <v>1477</v>
      </c>
    </row>
    <row r="337" spans="1:42" ht="12.75">
      <c r="A337" s="50" t="s">
        <v>300</v>
      </c>
      <c r="B337" s="17" t="s">
        <v>849</v>
      </c>
      <c r="C337" s="17" t="s">
        <v>1478</v>
      </c>
      <c r="D337" s="17" t="s">
        <v>1944</v>
      </c>
      <c r="E337" s="26">
        <v>78</v>
      </c>
      <c r="F337" s="26">
        <v>0</v>
      </c>
      <c r="G337" s="26">
        <f>E337*AD337</f>
        <v>0</v>
      </c>
      <c r="H337" s="26">
        <f>I337-G337</f>
        <v>0</v>
      </c>
      <c r="I337" s="26">
        <f>E337*F337</f>
        <v>0</v>
      </c>
      <c r="J337" s="72">
        <v>0.01897</v>
      </c>
      <c r="K337" s="72">
        <f>E337*J337</f>
        <v>1.47966</v>
      </c>
      <c r="L337" s="35" t="s">
        <v>1959</v>
      </c>
      <c r="M337" s="35" t="s">
        <v>122</v>
      </c>
      <c r="N337" s="26">
        <f>IF(M337="5",H337,0)</f>
        <v>0</v>
      </c>
      <c r="Y337" s="26">
        <f>IF(AC337=0,I337,0)</f>
        <v>0</v>
      </c>
      <c r="Z337" s="26">
        <f>IF(AC337=15,I337,0)</f>
        <v>0</v>
      </c>
      <c r="AA337" s="26">
        <f>IF(AC337=21,I337,0)</f>
        <v>0</v>
      </c>
      <c r="AC337" s="12">
        <v>21</v>
      </c>
      <c r="AD337" s="12">
        <f>F337*0.0268468439026781</f>
        <v>0</v>
      </c>
      <c r="AE337" s="12">
        <f>F337*(1-0.0268468439026781)</f>
        <v>0</v>
      </c>
      <c r="AL337" s="12">
        <f>E337*AD337</f>
        <v>0</v>
      </c>
      <c r="AM337" s="12">
        <f>E337*AE337</f>
        <v>0</v>
      </c>
      <c r="AN337" s="38" t="s">
        <v>1993</v>
      </c>
      <c r="AO337" s="38" t="s">
        <v>2027</v>
      </c>
      <c r="AP337" s="32" t="s">
        <v>2039</v>
      </c>
    </row>
    <row r="338" ht="12.75">
      <c r="C338" s="24" t="s">
        <v>1479</v>
      </c>
    </row>
    <row r="339" spans="1:42" ht="12.75">
      <c r="A339" s="50" t="s">
        <v>301</v>
      </c>
      <c r="B339" s="17" t="s">
        <v>850</v>
      </c>
      <c r="C339" s="17" t="s">
        <v>1480</v>
      </c>
      <c r="D339" s="17" t="s">
        <v>1944</v>
      </c>
      <c r="E339" s="26">
        <v>3</v>
      </c>
      <c r="F339" s="26">
        <v>0</v>
      </c>
      <c r="G339" s="26">
        <f>E339*AD339</f>
        <v>0</v>
      </c>
      <c r="H339" s="26">
        <f>I339-G339</f>
        <v>0</v>
      </c>
      <c r="I339" s="26">
        <f>E339*F339</f>
        <v>0</v>
      </c>
      <c r="J339" s="72">
        <v>0.03772</v>
      </c>
      <c r="K339" s="72">
        <f>E339*J339</f>
        <v>0.11315999999999998</v>
      </c>
      <c r="L339" s="35" t="s">
        <v>1959</v>
      </c>
      <c r="M339" s="35" t="s">
        <v>122</v>
      </c>
      <c r="N339" s="26">
        <f>IF(M339="5",H339,0)</f>
        <v>0</v>
      </c>
      <c r="Y339" s="26">
        <f>IF(AC339=0,I339,0)</f>
        <v>0</v>
      </c>
      <c r="Z339" s="26">
        <f>IF(AC339=15,I339,0)</f>
        <v>0</v>
      </c>
      <c r="AA339" s="26">
        <f>IF(AC339=21,I339,0)</f>
        <v>0</v>
      </c>
      <c r="AC339" s="12">
        <v>21</v>
      </c>
      <c r="AD339" s="12">
        <f>F339*0.0417355371900826</f>
        <v>0</v>
      </c>
      <c r="AE339" s="12">
        <f>F339*(1-0.0417355371900826)</f>
        <v>0</v>
      </c>
      <c r="AL339" s="12">
        <f>E339*AD339</f>
        <v>0</v>
      </c>
      <c r="AM339" s="12">
        <f>E339*AE339</f>
        <v>0</v>
      </c>
      <c r="AN339" s="38" t="s">
        <v>1993</v>
      </c>
      <c r="AO339" s="38" t="s">
        <v>2027</v>
      </c>
      <c r="AP339" s="32" t="s">
        <v>2039</v>
      </c>
    </row>
    <row r="340" ht="12.75">
      <c r="C340" s="24" t="s">
        <v>1479</v>
      </c>
    </row>
    <row r="341" spans="1:42" ht="12.75">
      <c r="A341" s="50" t="s">
        <v>302</v>
      </c>
      <c r="B341" s="17" t="s">
        <v>851</v>
      </c>
      <c r="C341" s="17" t="s">
        <v>1481</v>
      </c>
      <c r="D341" s="17" t="s">
        <v>1944</v>
      </c>
      <c r="E341" s="26">
        <v>1</v>
      </c>
      <c r="F341" s="26">
        <v>0</v>
      </c>
      <c r="G341" s="26">
        <f>E341*AD341</f>
        <v>0</v>
      </c>
      <c r="H341" s="26">
        <f>I341-G341</f>
        <v>0</v>
      </c>
      <c r="I341" s="26">
        <f>E341*F341</f>
        <v>0</v>
      </c>
      <c r="J341" s="72">
        <v>0.05401</v>
      </c>
      <c r="K341" s="72">
        <f>E341*J341</f>
        <v>0.05401</v>
      </c>
      <c r="L341" s="35" t="s">
        <v>1959</v>
      </c>
      <c r="M341" s="35" t="s">
        <v>122</v>
      </c>
      <c r="N341" s="26">
        <f>IF(M341="5",H341,0)</f>
        <v>0</v>
      </c>
      <c r="Y341" s="26">
        <f>IF(AC341=0,I341,0)</f>
        <v>0</v>
      </c>
      <c r="Z341" s="26">
        <f>IF(AC341=15,I341,0)</f>
        <v>0</v>
      </c>
      <c r="AA341" s="26">
        <f>IF(AC341=21,I341,0)</f>
        <v>0</v>
      </c>
      <c r="AC341" s="12">
        <v>21</v>
      </c>
      <c r="AD341" s="12">
        <f>F341*0.115047738372835</f>
        <v>0</v>
      </c>
      <c r="AE341" s="12">
        <f>F341*(1-0.115047738372835)</f>
        <v>0</v>
      </c>
      <c r="AL341" s="12">
        <f>E341*AD341</f>
        <v>0</v>
      </c>
      <c r="AM341" s="12">
        <f>E341*AE341</f>
        <v>0</v>
      </c>
      <c r="AN341" s="38" t="s">
        <v>1993</v>
      </c>
      <c r="AO341" s="38" t="s">
        <v>2027</v>
      </c>
      <c r="AP341" s="32" t="s">
        <v>2039</v>
      </c>
    </row>
    <row r="342" spans="1:36" ht="12.75">
      <c r="A342" s="52"/>
      <c r="B342" s="23" t="s">
        <v>42</v>
      </c>
      <c r="C342" s="121" t="s">
        <v>88</v>
      </c>
      <c r="D342" s="122"/>
      <c r="E342" s="122"/>
      <c r="F342" s="122"/>
      <c r="G342" s="40">
        <f>SUM(G343:G343)</f>
        <v>0</v>
      </c>
      <c r="H342" s="40">
        <f>SUM(H343:H343)</f>
        <v>0</v>
      </c>
      <c r="I342" s="40">
        <f>G342+H342</f>
        <v>0</v>
      </c>
      <c r="J342" s="74"/>
      <c r="K342" s="74">
        <f>SUM(K343:K343)</f>
        <v>0</v>
      </c>
      <c r="L342" s="32"/>
      <c r="O342" s="40">
        <f>IF(P342="PR",I342,SUM(N343:N343))</f>
        <v>0</v>
      </c>
      <c r="P342" s="32" t="s">
        <v>1967</v>
      </c>
      <c r="Q342" s="40">
        <f>IF(P342="HS",G342,0)</f>
        <v>0</v>
      </c>
      <c r="R342" s="40">
        <f>IF(P342="HS",H342-O342,0)</f>
        <v>0</v>
      </c>
      <c r="S342" s="40">
        <f>IF(P342="PS",G342,0)</f>
        <v>0</v>
      </c>
      <c r="T342" s="40">
        <f>IF(P342="PS",H342-O342,0)</f>
        <v>0</v>
      </c>
      <c r="U342" s="40">
        <f>IF(P342="MP",G342,0)</f>
        <v>0</v>
      </c>
      <c r="V342" s="40">
        <f>IF(P342="MP",H342-O342,0)</f>
        <v>0</v>
      </c>
      <c r="W342" s="40">
        <f>IF(P342="OM",G342,0)</f>
        <v>0</v>
      </c>
      <c r="X342" s="32"/>
      <c r="AH342" s="40">
        <f>SUM(Y343:Y343)</f>
        <v>0</v>
      </c>
      <c r="AI342" s="40">
        <f>SUM(Z343:Z343)</f>
        <v>0</v>
      </c>
      <c r="AJ342" s="40">
        <f>SUM(AA343:AA343)</f>
        <v>0</v>
      </c>
    </row>
    <row r="343" spans="1:42" s="60" customFormat="1" ht="26.25">
      <c r="A343" s="56" t="s">
        <v>303</v>
      </c>
      <c r="B343" s="57" t="s">
        <v>852</v>
      </c>
      <c r="C343" s="57" t="s">
        <v>1482</v>
      </c>
      <c r="D343" s="57" t="s">
        <v>1950</v>
      </c>
      <c r="E343" s="58">
        <v>150</v>
      </c>
      <c r="F343" s="58">
        <v>0</v>
      </c>
      <c r="G343" s="58">
        <f>E343*AD343</f>
        <v>0</v>
      </c>
      <c r="H343" s="58">
        <f>I343-G343</f>
        <v>0</v>
      </c>
      <c r="I343" s="58">
        <f>E343*F343</f>
        <v>0</v>
      </c>
      <c r="J343" s="77">
        <v>0</v>
      </c>
      <c r="K343" s="77">
        <f>E343*J343</f>
        <v>0</v>
      </c>
      <c r="L343" s="59" t="s">
        <v>1961</v>
      </c>
      <c r="M343" s="59" t="s">
        <v>122</v>
      </c>
      <c r="N343" s="58">
        <f>IF(M343="5",H343,0)</f>
        <v>0</v>
      </c>
      <c r="Y343" s="58">
        <f>IF(AC343=0,I343,0)</f>
        <v>0</v>
      </c>
      <c r="Z343" s="58">
        <f>IF(AC343=15,I343,0)</f>
        <v>0</v>
      </c>
      <c r="AA343" s="58">
        <f>IF(AC343=21,I343,0)</f>
        <v>0</v>
      </c>
      <c r="AC343" s="61">
        <v>21</v>
      </c>
      <c r="AD343" s="61">
        <f>F343*0</f>
        <v>0</v>
      </c>
      <c r="AE343" s="61">
        <f>F343*(1-0)</f>
        <v>0</v>
      </c>
      <c r="AL343" s="61">
        <f>E343*AD343</f>
        <v>0</v>
      </c>
      <c r="AM343" s="61">
        <f>E343*AE343</f>
        <v>0</v>
      </c>
      <c r="AN343" s="62" t="s">
        <v>1994</v>
      </c>
      <c r="AO343" s="62" t="s">
        <v>2028</v>
      </c>
      <c r="AP343" s="63" t="s">
        <v>2042</v>
      </c>
    </row>
    <row r="344" ht="12.75">
      <c r="C344" s="24" t="s">
        <v>1483</v>
      </c>
    </row>
    <row r="345" spans="1:36" ht="12.75">
      <c r="A345" s="52"/>
      <c r="B345" s="23" t="s">
        <v>43</v>
      </c>
      <c r="C345" s="121" t="s">
        <v>89</v>
      </c>
      <c r="D345" s="122"/>
      <c r="E345" s="122"/>
      <c r="F345" s="122"/>
      <c r="G345" s="40">
        <f>SUM(G346:G352)</f>
        <v>0</v>
      </c>
      <c r="H345" s="40">
        <f>SUM(H346:H352)</f>
        <v>0</v>
      </c>
      <c r="I345" s="40">
        <f>G345+H345</f>
        <v>0</v>
      </c>
      <c r="J345" s="74"/>
      <c r="K345" s="74">
        <f>SUM(K346:K352)</f>
        <v>68.35594400000001</v>
      </c>
      <c r="L345" s="32"/>
      <c r="O345" s="40">
        <f>IF(P345="PR",I345,SUM(N346:N352))</f>
        <v>0</v>
      </c>
      <c r="P345" s="32" t="s">
        <v>1967</v>
      </c>
      <c r="Q345" s="40">
        <f>IF(P345="HS",G345,0)</f>
        <v>0</v>
      </c>
      <c r="R345" s="40">
        <f>IF(P345="HS",H345-O345,0)</f>
        <v>0</v>
      </c>
      <c r="S345" s="40">
        <f>IF(P345="PS",G345,0)</f>
        <v>0</v>
      </c>
      <c r="T345" s="40">
        <f>IF(P345="PS",H345-O345,0)</f>
        <v>0</v>
      </c>
      <c r="U345" s="40">
        <f>IF(P345="MP",G345,0)</f>
        <v>0</v>
      </c>
      <c r="V345" s="40">
        <f>IF(P345="MP",H345-O345,0)</f>
        <v>0</v>
      </c>
      <c r="W345" s="40">
        <f>IF(P345="OM",G345,0)</f>
        <v>0</v>
      </c>
      <c r="X345" s="32"/>
      <c r="AH345" s="40">
        <f>SUM(Y346:Y352)</f>
        <v>0</v>
      </c>
      <c r="AI345" s="40">
        <f>SUM(Z346:Z352)</f>
        <v>0</v>
      </c>
      <c r="AJ345" s="40">
        <f>SUM(AA346:AA352)</f>
        <v>0</v>
      </c>
    </row>
    <row r="346" spans="1:42" ht="12.75">
      <c r="A346" s="50" t="s">
        <v>304</v>
      </c>
      <c r="B346" s="17" t="s">
        <v>853</v>
      </c>
      <c r="C346" s="17" t="s">
        <v>1484</v>
      </c>
      <c r="D346" s="17" t="s">
        <v>1941</v>
      </c>
      <c r="E346" s="26">
        <v>2487.3</v>
      </c>
      <c r="F346" s="26">
        <v>0</v>
      </c>
      <c r="G346" s="26">
        <f>E346*AD346</f>
        <v>0</v>
      </c>
      <c r="H346" s="26">
        <f>I346-G346</f>
        <v>0</v>
      </c>
      <c r="I346" s="26">
        <f>E346*F346</f>
        <v>0</v>
      </c>
      <c r="J346" s="72">
        <v>0.01838</v>
      </c>
      <c r="K346" s="72">
        <f>E346*J346</f>
        <v>45.716574</v>
      </c>
      <c r="L346" s="35" t="s">
        <v>1959</v>
      </c>
      <c r="M346" s="35" t="s">
        <v>122</v>
      </c>
      <c r="N346" s="26">
        <f>IF(M346="5",H346,0)</f>
        <v>0</v>
      </c>
      <c r="Y346" s="26">
        <f>IF(AC346=0,I346,0)</f>
        <v>0</v>
      </c>
      <c r="Z346" s="26">
        <f>IF(AC346=15,I346,0)</f>
        <v>0</v>
      </c>
      <c r="AA346" s="26">
        <f>IF(AC346=21,I346,0)</f>
        <v>0</v>
      </c>
      <c r="AC346" s="12">
        <v>21</v>
      </c>
      <c r="AD346" s="12">
        <f>F346*0.000186601977980967</f>
        <v>0</v>
      </c>
      <c r="AE346" s="12">
        <f>F346*(1-0.000186601977980967)</f>
        <v>0</v>
      </c>
      <c r="AL346" s="12">
        <f>E346*AD346</f>
        <v>0</v>
      </c>
      <c r="AM346" s="12">
        <f>E346*AE346</f>
        <v>0</v>
      </c>
      <c r="AN346" s="38" t="s">
        <v>1995</v>
      </c>
      <c r="AO346" s="38" t="s">
        <v>2028</v>
      </c>
      <c r="AP346" s="32" t="s">
        <v>2041</v>
      </c>
    </row>
    <row r="347" spans="1:42" ht="12.75">
      <c r="A347" s="50" t="s">
        <v>305</v>
      </c>
      <c r="B347" s="17" t="s">
        <v>854</v>
      </c>
      <c r="C347" s="17" t="s">
        <v>1485</v>
      </c>
      <c r="D347" s="17" t="s">
        <v>1941</v>
      </c>
      <c r="E347" s="26">
        <v>4974.6</v>
      </c>
      <c r="F347" s="26">
        <v>0</v>
      </c>
      <c r="G347" s="26">
        <f>E347*AD347</f>
        <v>0</v>
      </c>
      <c r="H347" s="26">
        <f>I347-G347</f>
        <v>0</v>
      </c>
      <c r="I347" s="26">
        <f>E347*F347</f>
        <v>0</v>
      </c>
      <c r="J347" s="72">
        <v>0.00095</v>
      </c>
      <c r="K347" s="72">
        <f>E347*J347</f>
        <v>4.7258700000000005</v>
      </c>
      <c r="L347" s="35" t="s">
        <v>1959</v>
      </c>
      <c r="M347" s="35" t="s">
        <v>122</v>
      </c>
      <c r="N347" s="26">
        <f>IF(M347="5",H347,0)</f>
        <v>0</v>
      </c>
      <c r="Y347" s="26">
        <f>IF(AC347=0,I347,0)</f>
        <v>0</v>
      </c>
      <c r="Z347" s="26">
        <f>IF(AC347=15,I347,0)</f>
        <v>0</v>
      </c>
      <c r="AA347" s="26">
        <f>IF(AC347=21,I347,0)</f>
        <v>0</v>
      </c>
      <c r="AC347" s="12">
        <v>21</v>
      </c>
      <c r="AD347" s="12">
        <f>F347*0.940512255576976</f>
        <v>0</v>
      </c>
      <c r="AE347" s="12">
        <f>F347*(1-0.940512255576976)</f>
        <v>0</v>
      </c>
      <c r="AL347" s="12">
        <f>E347*AD347</f>
        <v>0</v>
      </c>
      <c r="AM347" s="12">
        <f>E347*AE347</f>
        <v>0</v>
      </c>
      <c r="AN347" s="38" t="s">
        <v>1995</v>
      </c>
      <c r="AO347" s="38" t="s">
        <v>2028</v>
      </c>
      <c r="AP347" s="32" t="s">
        <v>2041</v>
      </c>
    </row>
    <row r="348" ht="12.75">
      <c r="C348" s="24" t="s">
        <v>1486</v>
      </c>
    </row>
    <row r="349" spans="1:42" ht="12.75">
      <c r="A349" s="50" t="s">
        <v>306</v>
      </c>
      <c r="B349" s="17" t="s">
        <v>855</v>
      </c>
      <c r="C349" s="17" t="s">
        <v>1487</v>
      </c>
      <c r="D349" s="17" t="s">
        <v>1941</v>
      </c>
      <c r="E349" s="26">
        <v>2487.3</v>
      </c>
      <c r="F349" s="26">
        <v>0</v>
      </c>
      <c r="G349" s="26">
        <f>E349*AD349</f>
        <v>0</v>
      </c>
      <c r="H349" s="26">
        <f>I349-G349</f>
        <v>0</v>
      </c>
      <c r="I349" s="26">
        <f>E349*F349</f>
        <v>0</v>
      </c>
      <c r="J349" s="72">
        <v>0</v>
      </c>
      <c r="K349" s="72">
        <f>E349*J349</f>
        <v>0</v>
      </c>
      <c r="L349" s="35" t="s">
        <v>1959</v>
      </c>
      <c r="M349" s="35" t="s">
        <v>122</v>
      </c>
      <c r="N349" s="26">
        <f>IF(M349="5",H349,0)</f>
        <v>0</v>
      </c>
      <c r="Y349" s="26">
        <f>IF(AC349=0,I349,0)</f>
        <v>0</v>
      </c>
      <c r="Z349" s="26">
        <f>IF(AC349=15,I349,0)</f>
        <v>0</v>
      </c>
      <c r="AA349" s="26">
        <f>IF(AC349=21,I349,0)</f>
        <v>0</v>
      </c>
      <c r="AC349" s="12">
        <v>21</v>
      </c>
      <c r="AD349" s="12">
        <f>F349*0</f>
        <v>0</v>
      </c>
      <c r="AE349" s="12">
        <f>F349*(1-0)</f>
        <v>0</v>
      </c>
      <c r="AL349" s="12">
        <f>E349*AD349</f>
        <v>0</v>
      </c>
      <c r="AM349" s="12">
        <f>E349*AE349</f>
        <v>0</v>
      </c>
      <c r="AN349" s="38" t="s">
        <v>1995</v>
      </c>
      <c r="AO349" s="38" t="s">
        <v>2028</v>
      </c>
      <c r="AP349" s="32" t="s">
        <v>2041</v>
      </c>
    </row>
    <row r="350" spans="1:42" ht="12.75">
      <c r="A350" s="50" t="s">
        <v>307</v>
      </c>
      <c r="B350" s="17" t="s">
        <v>856</v>
      </c>
      <c r="C350" s="17" t="s">
        <v>1488</v>
      </c>
      <c r="D350" s="17" t="s">
        <v>1941</v>
      </c>
      <c r="E350" s="26">
        <v>1100</v>
      </c>
      <c r="F350" s="26">
        <v>0</v>
      </c>
      <c r="G350" s="26">
        <f>E350*AD350</f>
        <v>0</v>
      </c>
      <c r="H350" s="26">
        <f>I350-G350</f>
        <v>0</v>
      </c>
      <c r="I350" s="26">
        <f>E350*F350</f>
        <v>0</v>
      </c>
      <c r="J350" s="72">
        <v>0.00121</v>
      </c>
      <c r="K350" s="72">
        <f>E350*J350</f>
        <v>1.331</v>
      </c>
      <c r="L350" s="35" t="s">
        <v>1959</v>
      </c>
      <c r="M350" s="35" t="s">
        <v>122</v>
      </c>
      <c r="N350" s="26">
        <f>IF(M350="5",H350,0)</f>
        <v>0</v>
      </c>
      <c r="Y350" s="26">
        <f>IF(AC350=0,I350,0)</f>
        <v>0</v>
      </c>
      <c r="Z350" s="26">
        <f>IF(AC350=15,I350,0)</f>
        <v>0</v>
      </c>
      <c r="AA350" s="26">
        <f>IF(AC350=21,I350,0)</f>
        <v>0</v>
      </c>
      <c r="AC350" s="12">
        <v>21</v>
      </c>
      <c r="AD350" s="12">
        <f>F350*0.420365853658537</f>
        <v>0</v>
      </c>
      <c r="AE350" s="12">
        <f>F350*(1-0.420365853658537)</f>
        <v>0</v>
      </c>
      <c r="AL350" s="12">
        <f>E350*AD350</f>
        <v>0</v>
      </c>
      <c r="AM350" s="12">
        <f>E350*AE350</f>
        <v>0</v>
      </c>
      <c r="AN350" s="38" t="s">
        <v>1995</v>
      </c>
      <c r="AO350" s="38" t="s">
        <v>2028</v>
      </c>
      <c r="AP350" s="32" t="s">
        <v>2050</v>
      </c>
    </row>
    <row r="351" spans="1:42" ht="12.75">
      <c r="A351" s="50" t="s">
        <v>308</v>
      </c>
      <c r="B351" s="17" t="s">
        <v>857</v>
      </c>
      <c r="C351" s="17" t="s">
        <v>1489</v>
      </c>
      <c r="D351" s="17" t="s">
        <v>1941</v>
      </c>
      <c r="E351" s="26">
        <v>300</v>
      </c>
      <c r="F351" s="26">
        <v>0</v>
      </c>
      <c r="G351" s="26">
        <f>E351*AD351</f>
        <v>0</v>
      </c>
      <c r="H351" s="26">
        <f>I351-G351</f>
        <v>0</v>
      </c>
      <c r="I351" s="26">
        <f>E351*F351</f>
        <v>0</v>
      </c>
      <c r="J351" s="72">
        <v>0.03496</v>
      </c>
      <c r="K351" s="72">
        <f>E351*J351</f>
        <v>10.488</v>
      </c>
      <c r="L351" s="35" t="s">
        <v>1959</v>
      </c>
      <c r="M351" s="35" t="s">
        <v>122</v>
      </c>
      <c r="N351" s="26">
        <f>IF(M351="5",H351,0)</f>
        <v>0</v>
      </c>
      <c r="Y351" s="26">
        <f>IF(AC351=0,I351,0)</f>
        <v>0</v>
      </c>
      <c r="Z351" s="26">
        <f>IF(AC351=15,I351,0)</f>
        <v>0</v>
      </c>
      <c r="AA351" s="26">
        <f>IF(AC351=21,I351,0)</f>
        <v>0</v>
      </c>
      <c r="AC351" s="12">
        <v>21</v>
      </c>
      <c r="AD351" s="12">
        <f>F351*0.455303820267324</f>
        <v>0</v>
      </c>
      <c r="AE351" s="12">
        <f>F351*(1-0.455303820267324)</f>
        <v>0</v>
      </c>
      <c r="AL351" s="12">
        <f>E351*AD351</f>
        <v>0</v>
      </c>
      <c r="AM351" s="12">
        <f>E351*AE351</f>
        <v>0</v>
      </c>
      <c r="AN351" s="38" t="s">
        <v>1995</v>
      </c>
      <c r="AO351" s="38" t="s">
        <v>2028</v>
      </c>
      <c r="AP351" s="32" t="s">
        <v>2050</v>
      </c>
    </row>
    <row r="352" spans="1:42" ht="12.75">
      <c r="A352" s="50" t="s">
        <v>309</v>
      </c>
      <c r="B352" s="17" t="s">
        <v>858</v>
      </c>
      <c r="C352" s="17" t="s">
        <v>1490</v>
      </c>
      <c r="D352" s="17" t="s">
        <v>1941</v>
      </c>
      <c r="E352" s="26">
        <v>150</v>
      </c>
      <c r="F352" s="26">
        <v>0</v>
      </c>
      <c r="G352" s="26">
        <f>E352*AD352</f>
        <v>0</v>
      </c>
      <c r="H352" s="26">
        <f>I352-G352</f>
        <v>0</v>
      </c>
      <c r="I352" s="26">
        <f>E352*F352</f>
        <v>0</v>
      </c>
      <c r="J352" s="72">
        <v>0.04063</v>
      </c>
      <c r="K352" s="72">
        <f>E352*J352</f>
        <v>6.0945</v>
      </c>
      <c r="L352" s="35" t="s">
        <v>1959</v>
      </c>
      <c r="M352" s="35" t="s">
        <v>122</v>
      </c>
      <c r="N352" s="26">
        <f>IF(M352="5",H352,0)</f>
        <v>0</v>
      </c>
      <c r="Y352" s="26">
        <f>IF(AC352=0,I352,0)</f>
        <v>0</v>
      </c>
      <c r="Z352" s="26">
        <f>IF(AC352=15,I352,0)</f>
        <v>0</v>
      </c>
      <c r="AA352" s="26">
        <f>IF(AC352=21,I352,0)</f>
        <v>0</v>
      </c>
      <c r="AC352" s="12">
        <v>21</v>
      </c>
      <c r="AD352" s="12">
        <f>F352*0.517611237976611</f>
        <v>0</v>
      </c>
      <c r="AE352" s="12">
        <f>F352*(1-0.517611237976611)</f>
        <v>0</v>
      </c>
      <c r="AL352" s="12">
        <f>E352*AD352</f>
        <v>0</v>
      </c>
      <c r="AM352" s="12">
        <f>E352*AE352</f>
        <v>0</v>
      </c>
      <c r="AN352" s="38" t="s">
        <v>1995</v>
      </c>
      <c r="AO352" s="38" t="s">
        <v>2028</v>
      </c>
      <c r="AP352" s="32" t="s">
        <v>2050</v>
      </c>
    </row>
    <row r="353" spans="1:36" ht="12.75">
      <c r="A353" s="52"/>
      <c r="B353" s="23" t="s">
        <v>44</v>
      </c>
      <c r="C353" s="121" t="s">
        <v>90</v>
      </c>
      <c r="D353" s="122"/>
      <c r="E353" s="122"/>
      <c r="F353" s="122"/>
      <c r="G353" s="40">
        <f>SUM(G354:G361)</f>
        <v>0</v>
      </c>
      <c r="H353" s="40">
        <f>SUM(H354:H361)</f>
        <v>0</v>
      </c>
      <c r="I353" s="40">
        <f>G353+H353</f>
        <v>0</v>
      </c>
      <c r="J353" s="74"/>
      <c r="K353" s="74">
        <f>SUM(K354:K361)</f>
        <v>20.0954146</v>
      </c>
      <c r="L353" s="32"/>
      <c r="O353" s="40">
        <f>IF(P353="PR",I353,SUM(N354:N361))</f>
        <v>0</v>
      </c>
      <c r="P353" s="32" t="s">
        <v>1967</v>
      </c>
      <c r="Q353" s="40">
        <f>IF(P353="HS",G353,0)</f>
        <v>0</v>
      </c>
      <c r="R353" s="40">
        <f>IF(P353="HS",H353-O353,0)</f>
        <v>0</v>
      </c>
      <c r="S353" s="40">
        <f>IF(P353="PS",G353,0)</f>
        <v>0</v>
      </c>
      <c r="T353" s="40">
        <f>IF(P353="PS",H353-O353,0)</f>
        <v>0</v>
      </c>
      <c r="U353" s="40">
        <f>IF(P353="MP",G353,0)</f>
        <v>0</v>
      </c>
      <c r="V353" s="40">
        <f>IF(P353="MP",H353-O353,0)</f>
        <v>0</v>
      </c>
      <c r="W353" s="40">
        <f>IF(P353="OM",G353,0)</f>
        <v>0</v>
      </c>
      <c r="X353" s="32"/>
      <c r="AH353" s="40">
        <f>SUM(Y354:Y361)</f>
        <v>0</v>
      </c>
      <c r="AI353" s="40">
        <f>SUM(Z354:Z361)</f>
        <v>0</v>
      </c>
      <c r="AJ353" s="40">
        <f>SUM(AA354:AA361)</f>
        <v>0</v>
      </c>
    </row>
    <row r="354" spans="1:42" ht="12.75">
      <c r="A354" s="50" t="s">
        <v>310</v>
      </c>
      <c r="B354" s="17" t="s">
        <v>859</v>
      </c>
      <c r="C354" s="17" t="s">
        <v>1491</v>
      </c>
      <c r="D354" s="17" t="s">
        <v>1941</v>
      </c>
      <c r="E354" s="26">
        <v>2650.64</v>
      </c>
      <c r="F354" s="26">
        <v>0</v>
      </c>
      <c r="G354" s="26">
        <f>E354*AD354</f>
        <v>0</v>
      </c>
      <c r="H354" s="26">
        <f>I354-G354</f>
        <v>0</v>
      </c>
      <c r="I354" s="26">
        <f>E354*F354</f>
        <v>0</v>
      </c>
      <c r="J354" s="72">
        <v>4E-05</v>
      </c>
      <c r="K354" s="72">
        <f>E354*J354</f>
        <v>0.1060256</v>
      </c>
      <c r="L354" s="35" t="s">
        <v>1959</v>
      </c>
      <c r="M354" s="35" t="s">
        <v>122</v>
      </c>
      <c r="N354" s="26">
        <f>IF(M354="5",H354,0)</f>
        <v>0</v>
      </c>
      <c r="Y354" s="26">
        <f>IF(AC354=0,I354,0)</f>
        <v>0</v>
      </c>
      <c r="Z354" s="26">
        <f>IF(AC354=15,I354,0)</f>
        <v>0</v>
      </c>
      <c r="AA354" s="26">
        <f>IF(AC354=21,I354,0)</f>
        <v>0</v>
      </c>
      <c r="AC354" s="12">
        <v>21</v>
      </c>
      <c r="AD354" s="12">
        <f>F354*0.0209985315712188</f>
        <v>0</v>
      </c>
      <c r="AE354" s="12">
        <f>F354*(1-0.0209985315712188)</f>
        <v>0</v>
      </c>
      <c r="AL354" s="12">
        <f>E354*AD354</f>
        <v>0</v>
      </c>
      <c r="AM354" s="12">
        <f>E354*AE354</f>
        <v>0</v>
      </c>
      <c r="AN354" s="38" t="s">
        <v>1996</v>
      </c>
      <c r="AO354" s="38" t="s">
        <v>2028</v>
      </c>
      <c r="AP354" s="32" t="s">
        <v>2050</v>
      </c>
    </row>
    <row r="355" spans="1:42" ht="12.75">
      <c r="A355" s="50" t="s">
        <v>311</v>
      </c>
      <c r="B355" s="17" t="s">
        <v>860</v>
      </c>
      <c r="C355" s="17" t="s">
        <v>1492</v>
      </c>
      <c r="D355" s="17" t="s">
        <v>1941</v>
      </c>
      <c r="E355" s="26">
        <v>15.1</v>
      </c>
      <c r="F355" s="26">
        <v>0</v>
      </c>
      <c r="G355" s="26">
        <f>E355*AD355</f>
        <v>0</v>
      </c>
      <c r="H355" s="26">
        <f>I355-G355</f>
        <v>0</v>
      </c>
      <c r="I355" s="26">
        <f>E355*F355</f>
        <v>0</v>
      </c>
      <c r="J355" s="72">
        <v>0.0249</v>
      </c>
      <c r="K355" s="72">
        <f>E355*J355</f>
        <v>0.37599</v>
      </c>
      <c r="L355" s="35" t="s">
        <v>1961</v>
      </c>
      <c r="M355" s="35" t="s">
        <v>122</v>
      </c>
      <c r="N355" s="26">
        <f>IF(M355="5",H355,0)</f>
        <v>0</v>
      </c>
      <c r="Y355" s="26">
        <f>IF(AC355=0,I355,0)</f>
        <v>0</v>
      </c>
      <c r="Z355" s="26">
        <f>IF(AC355=15,I355,0)</f>
        <v>0</v>
      </c>
      <c r="AA355" s="26">
        <f>IF(AC355=21,I355,0)</f>
        <v>0</v>
      </c>
      <c r="AC355" s="12">
        <v>21</v>
      </c>
      <c r="AD355" s="12">
        <f>F355*0.36231884057971</f>
        <v>0</v>
      </c>
      <c r="AE355" s="12">
        <f>F355*(1-0.36231884057971)</f>
        <v>0</v>
      </c>
      <c r="AL355" s="12">
        <f>E355*AD355</f>
        <v>0</v>
      </c>
      <c r="AM355" s="12">
        <f>E355*AE355</f>
        <v>0</v>
      </c>
      <c r="AN355" s="38" t="s">
        <v>1996</v>
      </c>
      <c r="AO355" s="38" t="s">
        <v>2028</v>
      </c>
      <c r="AP355" s="32" t="s">
        <v>2047</v>
      </c>
    </row>
    <row r="356" ht="12.75">
      <c r="C356" s="24" t="s">
        <v>1493</v>
      </c>
    </row>
    <row r="357" spans="1:42" ht="12.75">
      <c r="A357" s="50" t="s">
        <v>312</v>
      </c>
      <c r="B357" s="17" t="s">
        <v>861</v>
      </c>
      <c r="C357" s="17" t="s">
        <v>1494</v>
      </c>
      <c r="D357" s="17" t="s">
        <v>1941</v>
      </c>
      <c r="E357" s="26">
        <v>18.8</v>
      </c>
      <c r="F357" s="26">
        <v>0</v>
      </c>
      <c r="G357" s="26">
        <f>E357*AD357</f>
        <v>0</v>
      </c>
      <c r="H357" s="26">
        <f>I357-G357</f>
        <v>0</v>
      </c>
      <c r="I357" s="26">
        <f>E357*F357</f>
        <v>0</v>
      </c>
      <c r="J357" s="72">
        <v>0.0249</v>
      </c>
      <c r="K357" s="72">
        <f>E357*J357</f>
        <v>0.46812</v>
      </c>
      <c r="L357" s="35" t="s">
        <v>1961</v>
      </c>
      <c r="M357" s="35" t="s">
        <v>122</v>
      </c>
      <c r="N357" s="26">
        <f>IF(M357="5",H357,0)</f>
        <v>0</v>
      </c>
      <c r="Y357" s="26">
        <f>IF(AC357=0,I357,0)</f>
        <v>0</v>
      </c>
      <c r="Z357" s="26">
        <f>IF(AC357=15,I357,0)</f>
        <v>0</v>
      </c>
      <c r="AA357" s="26">
        <f>IF(AC357=21,I357,0)</f>
        <v>0</v>
      </c>
      <c r="AC357" s="12">
        <v>21</v>
      </c>
      <c r="AD357" s="12">
        <f>F357*0.343283582089552</f>
        <v>0</v>
      </c>
      <c r="AE357" s="12">
        <f>F357*(1-0.343283582089552)</f>
        <v>0</v>
      </c>
      <c r="AL357" s="12">
        <f>E357*AD357</f>
        <v>0</v>
      </c>
      <c r="AM357" s="12">
        <f>E357*AE357</f>
        <v>0</v>
      </c>
      <c r="AN357" s="38" t="s">
        <v>1996</v>
      </c>
      <c r="AO357" s="38" t="s">
        <v>2028</v>
      </c>
      <c r="AP357" s="32" t="s">
        <v>2047</v>
      </c>
    </row>
    <row r="358" ht="26.25">
      <c r="C358" s="24" t="s">
        <v>1495</v>
      </c>
    </row>
    <row r="359" spans="1:42" ht="12.75">
      <c r="A359" s="50" t="s">
        <v>313</v>
      </c>
      <c r="B359" s="17" t="s">
        <v>862</v>
      </c>
      <c r="C359" s="17" t="s">
        <v>1496</v>
      </c>
      <c r="D359" s="17" t="s">
        <v>1941</v>
      </c>
      <c r="E359" s="26">
        <v>414.1</v>
      </c>
      <c r="F359" s="26">
        <v>0</v>
      </c>
      <c r="G359" s="26">
        <f>E359*AD359</f>
        <v>0</v>
      </c>
      <c r="H359" s="26">
        <f>I359-G359</f>
        <v>0</v>
      </c>
      <c r="I359" s="26">
        <f>E359*F359</f>
        <v>0</v>
      </c>
      <c r="J359" s="72">
        <v>0.03774</v>
      </c>
      <c r="K359" s="72">
        <f>E359*J359</f>
        <v>15.628134000000003</v>
      </c>
      <c r="L359" s="35" t="s">
        <v>1961</v>
      </c>
      <c r="M359" s="35" t="s">
        <v>122</v>
      </c>
      <c r="N359" s="26">
        <f>IF(M359="5",H359,0)</f>
        <v>0</v>
      </c>
      <c r="Y359" s="26">
        <f>IF(AC359=0,I359,0)</f>
        <v>0</v>
      </c>
      <c r="Z359" s="26">
        <f>IF(AC359=15,I359,0)</f>
        <v>0</v>
      </c>
      <c r="AA359" s="26">
        <f>IF(AC359=21,I359,0)</f>
        <v>0</v>
      </c>
      <c r="AC359" s="12">
        <v>21</v>
      </c>
      <c r="AD359" s="12">
        <f>F359*0.352193995381062</f>
        <v>0</v>
      </c>
      <c r="AE359" s="12">
        <f>F359*(1-0.352193995381062)</f>
        <v>0</v>
      </c>
      <c r="AL359" s="12">
        <f>E359*AD359</f>
        <v>0</v>
      </c>
      <c r="AM359" s="12">
        <f>E359*AE359</f>
        <v>0</v>
      </c>
      <c r="AN359" s="38" t="s">
        <v>1996</v>
      </c>
      <c r="AO359" s="38" t="s">
        <v>2028</v>
      </c>
      <c r="AP359" s="32" t="s">
        <v>2047</v>
      </c>
    </row>
    <row r="360" ht="26.25">
      <c r="C360" s="24" t="s">
        <v>1497</v>
      </c>
    </row>
    <row r="361" spans="1:42" s="60" customFormat="1" ht="26.25">
      <c r="A361" s="56" t="s">
        <v>314</v>
      </c>
      <c r="B361" s="57" t="s">
        <v>863</v>
      </c>
      <c r="C361" s="57" t="s">
        <v>1498</v>
      </c>
      <c r="D361" s="131" t="s">
        <v>1941</v>
      </c>
      <c r="E361" s="58">
        <v>74.5</v>
      </c>
      <c r="F361" s="58">
        <v>0</v>
      </c>
      <c r="G361" s="58">
        <f>E361*AD361</f>
        <v>0</v>
      </c>
      <c r="H361" s="58">
        <f>I361-G361</f>
        <v>0</v>
      </c>
      <c r="I361" s="58">
        <f>E361*F361</f>
        <v>0</v>
      </c>
      <c r="J361" s="77">
        <v>0.04721</v>
      </c>
      <c r="K361" s="77">
        <f>E361*J361</f>
        <v>3.517145</v>
      </c>
      <c r="L361" s="59" t="s">
        <v>1961</v>
      </c>
      <c r="M361" s="59" t="s">
        <v>122</v>
      </c>
      <c r="N361" s="58">
        <f>IF(M361="5",H361,0)</f>
        <v>0</v>
      </c>
      <c r="Y361" s="58">
        <f>IF(AC361=0,I361,0)</f>
        <v>0</v>
      </c>
      <c r="Z361" s="58">
        <f>IF(AC361=15,I361,0)</f>
        <v>0</v>
      </c>
      <c r="AA361" s="58">
        <f>IF(AC361=21,I361,0)</f>
        <v>0</v>
      </c>
      <c r="AC361" s="61">
        <v>21</v>
      </c>
      <c r="AD361" s="61">
        <f>F361*0.363945578231293</f>
        <v>0</v>
      </c>
      <c r="AE361" s="61">
        <f>F361*(1-0.363945578231293)</f>
        <v>0</v>
      </c>
      <c r="AL361" s="61">
        <f>E361*AD361</f>
        <v>0</v>
      </c>
      <c r="AM361" s="61">
        <f>E361*AE361</f>
        <v>0</v>
      </c>
      <c r="AN361" s="62" t="s">
        <v>1996</v>
      </c>
      <c r="AO361" s="62" t="s">
        <v>2028</v>
      </c>
      <c r="AP361" s="63" t="s">
        <v>2047</v>
      </c>
    </row>
    <row r="362" ht="26.25">
      <c r="C362" s="24" t="s">
        <v>1499</v>
      </c>
    </row>
    <row r="363" spans="1:36" ht="12.75">
      <c r="A363" s="52"/>
      <c r="B363" s="23" t="s">
        <v>45</v>
      </c>
      <c r="C363" s="121" t="s">
        <v>91</v>
      </c>
      <c r="D363" s="122"/>
      <c r="E363" s="122"/>
      <c r="F363" s="122"/>
      <c r="G363" s="40">
        <f>SUM(G364:G420)</f>
        <v>0</v>
      </c>
      <c r="H363" s="40">
        <f>SUM(H364:H420)</f>
        <v>0</v>
      </c>
      <c r="I363" s="40">
        <f>G363+H363</f>
        <v>0</v>
      </c>
      <c r="J363" s="74"/>
      <c r="K363" s="74">
        <f>SUM(K364:K420)</f>
        <v>898.8746516</v>
      </c>
      <c r="L363" s="32"/>
      <c r="O363" s="40">
        <f>IF(P363="PR",I363,SUM(N364:N420))</f>
        <v>0</v>
      </c>
      <c r="P363" s="32" t="s">
        <v>1967</v>
      </c>
      <c r="Q363" s="40">
        <f>IF(P363="HS",G363,0)</f>
        <v>0</v>
      </c>
      <c r="R363" s="40">
        <f>IF(P363="HS",H363-O363,0)</f>
        <v>0</v>
      </c>
      <c r="S363" s="40">
        <f>IF(P363="PS",G363,0)</f>
        <v>0</v>
      </c>
      <c r="T363" s="40">
        <f>IF(P363="PS",H363-O363,0)</f>
        <v>0</v>
      </c>
      <c r="U363" s="40">
        <f>IF(P363="MP",G363,0)</f>
        <v>0</v>
      </c>
      <c r="V363" s="40">
        <f>IF(P363="MP",H363-O363,0)</f>
        <v>0</v>
      </c>
      <c r="W363" s="40">
        <f>IF(P363="OM",G363,0)</f>
        <v>0</v>
      </c>
      <c r="X363" s="32"/>
      <c r="AH363" s="40">
        <f>SUM(Y364:Y420)</f>
        <v>0</v>
      </c>
      <c r="AI363" s="40">
        <f>SUM(Z364:Z420)</f>
        <v>0</v>
      </c>
      <c r="AJ363" s="40">
        <f>SUM(AA364:AA420)</f>
        <v>0</v>
      </c>
    </row>
    <row r="364" spans="1:42" ht="12.75">
      <c r="A364" s="50" t="s">
        <v>315</v>
      </c>
      <c r="B364" s="17" t="s">
        <v>864</v>
      </c>
      <c r="C364" s="17" t="s">
        <v>1500</v>
      </c>
      <c r="D364" s="17" t="s">
        <v>1950</v>
      </c>
      <c r="E364" s="26">
        <v>100</v>
      </c>
      <c r="F364" s="26">
        <v>0</v>
      </c>
      <c r="G364" s="26">
        <f>E364*AD364</f>
        <v>0</v>
      </c>
      <c r="H364" s="26">
        <f>I364-G364</f>
        <v>0</v>
      </c>
      <c r="I364" s="26">
        <f>E364*F364</f>
        <v>0</v>
      </c>
      <c r="J364" s="72">
        <v>0</v>
      </c>
      <c r="K364" s="72">
        <f>E364*J364</f>
        <v>0</v>
      </c>
      <c r="L364" s="35" t="s">
        <v>1962</v>
      </c>
      <c r="M364" s="35" t="s">
        <v>122</v>
      </c>
      <c r="N364" s="26">
        <f>IF(M364="5",H364,0)</f>
        <v>0</v>
      </c>
      <c r="Y364" s="26">
        <f>IF(AC364=0,I364,0)</f>
        <v>0</v>
      </c>
      <c r="Z364" s="26">
        <f>IF(AC364=15,I364,0)</f>
        <v>0</v>
      </c>
      <c r="AA364" s="26">
        <f>IF(AC364=21,I364,0)</f>
        <v>0</v>
      </c>
      <c r="AC364" s="12">
        <v>21</v>
      </c>
      <c r="AD364" s="12">
        <f>F364*0</f>
        <v>0</v>
      </c>
      <c r="AE364" s="12">
        <f>F364*(1-0)</f>
        <v>0</v>
      </c>
      <c r="AL364" s="12">
        <f>E364*AD364</f>
        <v>0</v>
      </c>
      <c r="AM364" s="12">
        <f>E364*AE364</f>
        <v>0</v>
      </c>
      <c r="AN364" s="38" t="s">
        <v>1997</v>
      </c>
      <c r="AO364" s="38" t="s">
        <v>2028</v>
      </c>
      <c r="AP364" s="32" t="s">
        <v>2045</v>
      </c>
    </row>
    <row r="365" ht="27" customHeight="1">
      <c r="C365" s="24" t="s">
        <v>1501</v>
      </c>
    </row>
    <row r="366" spans="1:42" ht="12.75">
      <c r="A366" s="50" t="s">
        <v>316</v>
      </c>
      <c r="B366" s="17" t="s">
        <v>865</v>
      </c>
      <c r="C366" s="17" t="s">
        <v>1502</v>
      </c>
      <c r="D366" s="17" t="s">
        <v>1940</v>
      </c>
      <c r="E366" s="26">
        <v>0.3</v>
      </c>
      <c r="F366" s="26">
        <v>0</v>
      </c>
      <c r="G366" s="26">
        <f aca="true" t="shared" si="66" ref="G366:G375">E366*AD366</f>
        <v>0</v>
      </c>
      <c r="H366" s="26">
        <f aca="true" t="shared" si="67" ref="H366:H375">I366-G366</f>
        <v>0</v>
      </c>
      <c r="I366" s="26">
        <f aca="true" t="shared" si="68" ref="I366:I375">E366*F366</f>
        <v>0</v>
      </c>
      <c r="J366" s="72">
        <v>2</v>
      </c>
      <c r="K366" s="72">
        <f aca="true" t="shared" si="69" ref="K366:K375">E366*J366</f>
        <v>0.6</v>
      </c>
      <c r="L366" s="35" t="s">
        <v>1959</v>
      </c>
      <c r="M366" s="35" t="s">
        <v>122</v>
      </c>
      <c r="N366" s="26">
        <f aca="true" t="shared" si="70" ref="N366:N375">IF(M366="5",H366,0)</f>
        <v>0</v>
      </c>
      <c r="Y366" s="26">
        <f aca="true" t="shared" si="71" ref="Y366:Y375">IF(AC366=0,I366,0)</f>
        <v>0</v>
      </c>
      <c r="Z366" s="26">
        <f aca="true" t="shared" si="72" ref="Z366:Z375">IF(AC366=15,I366,0)</f>
        <v>0</v>
      </c>
      <c r="AA366" s="26">
        <f aca="true" t="shared" si="73" ref="AA366:AA375">IF(AC366=21,I366,0)</f>
        <v>0</v>
      </c>
      <c r="AC366" s="12">
        <v>21</v>
      </c>
      <c r="AD366" s="12">
        <f>F366*0</f>
        <v>0</v>
      </c>
      <c r="AE366" s="12">
        <f>F366*(1-0)</f>
        <v>0</v>
      </c>
      <c r="AL366" s="12">
        <f aca="true" t="shared" si="74" ref="AL366:AL375">E366*AD366</f>
        <v>0</v>
      </c>
      <c r="AM366" s="12">
        <f aca="true" t="shared" si="75" ref="AM366:AM375">E366*AE366</f>
        <v>0</v>
      </c>
      <c r="AN366" s="38" t="s">
        <v>1997</v>
      </c>
      <c r="AO366" s="38" t="s">
        <v>2028</v>
      </c>
      <c r="AP366" s="32" t="s">
        <v>2045</v>
      </c>
    </row>
    <row r="367" spans="1:42" ht="12.75">
      <c r="A367" s="50" t="s">
        <v>317</v>
      </c>
      <c r="B367" s="17" t="s">
        <v>866</v>
      </c>
      <c r="C367" s="17" t="s">
        <v>1503</v>
      </c>
      <c r="D367" s="17" t="s">
        <v>1940</v>
      </c>
      <c r="E367" s="26">
        <v>4.74</v>
      </c>
      <c r="F367" s="26">
        <v>0</v>
      </c>
      <c r="G367" s="26">
        <f t="shared" si="66"/>
        <v>0</v>
      </c>
      <c r="H367" s="26">
        <f t="shared" si="67"/>
        <v>0</v>
      </c>
      <c r="I367" s="26">
        <f t="shared" si="68"/>
        <v>0</v>
      </c>
      <c r="J367" s="72">
        <v>2.27</v>
      </c>
      <c r="K367" s="72">
        <f t="shared" si="69"/>
        <v>10.7598</v>
      </c>
      <c r="L367" s="35" t="s">
        <v>1959</v>
      </c>
      <c r="M367" s="35" t="s">
        <v>122</v>
      </c>
      <c r="N367" s="26">
        <f t="shared" si="70"/>
        <v>0</v>
      </c>
      <c r="Y367" s="26">
        <f t="shared" si="71"/>
        <v>0</v>
      </c>
      <c r="Z367" s="26">
        <f t="shared" si="72"/>
        <v>0</v>
      </c>
      <c r="AA367" s="26">
        <f t="shared" si="73"/>
        <v>0</v>
      </c>
      <c r="AC367" s="12">
        <v>21</v>
      </c>
      <c r="AD367" s="12">
        <f>F367*0.0493457943925234</f>
        <v>0</v>
      </c>
      <c r="AE367" s="12">
        <f>F367*(1-0.0493457943925234)</f>
        <v>0</v>
      </c>
      <c r="AL367" s="12">
        <f t="shared" si="74"/>
        <v>0</v>
      </c>
      <c r="AM367" s="12">
        <f t="shared" si="75"/>
        <v>0</v>
      </c>
      <c r="AN367" s="38" t="s">
        <v>1997</v>
      </c>
      <c r="AO367" s="38" t="s">
        <v>2028</v>
      </c>
      <c r="AP367" s="32" t="s">
        <v>2045</v>
      </c>
    </row>
    <row r="368" spans="1:42" ht="12.75">
      <c r="A368" s="50" t="s">
        <v>318</v>
      </c>
      <c r="B368" s="17" t="s">
        <v>867</v>
      </c>
      <c r="C368" s="17" t="s">
        <v>1504</v>
      </c>
      <c r="D368" s="17" t="s">
        <v>1941</v>
      </c>
      <c r="E368" s="26">
        <v>123.77</v>
      </c>
      <c r="F368" s="26">
        <v>0</v>
      </c>
      <c r="G368" s="26">
        <f t="shared" si="66"/>
        <v>0</v>
      </c>
      <c r="H368" s="26">
        <f t="shared" si="67"/>
        <v>0</v>
      </c>
      <c r="I368" s="26">
        <f t="shared" si="68"/>
        <v>0</v>
      </c>
      <c r="J368" s="72">
        <v>0.131</v>
      </c>
      <c r="K368" s="72">
        <f t="shared" si="69"/>
        <v>16.21387</v>
      </c>
      <c r="L368" s="35" t="s">
        <v>1959</v>
      </c>
      <c r="M368" s="35" t="s">
        <v>122</v>
      </c>
      <c r="N368" s="26">
        <f t="shared" si="70"/>
        <v>0</v>
      </c>
      <c r="Y368" s="26">
        <f t="shared" si="71"/>
        <v>0</v>
      </c>
      <c r="Z368" s="26">
        <f t="shared" si="72"/>
        <v>0</v>
      </c>
      <c r="AA368" s="26">
        <f t="shared" si="73"/>
        <v>0</v>
      </c>
      <c r="AC368" s="12">
        <v>21</v>
      </c>
      <c r="AD368" s="12">
        <f>F368*0.183545770567787</f>
        <v>0</v>
      </c>
      <c r="AE368" s="12">
        <f>F368*(1-0.183545770567787)</f>
        <v>0</v>
      </c>
      <c r="AL368" s="12">
        <f t="shared" si="74"/>
        <v>0</v>
      </c>
      <c r="AM368" s="12">
        <f t="shared" si="75"/>
        <v>0</v>
      </c>
      <c r="AN368" s="38" t="s">
        <v>1997</v>
      </c>
      <c r="AO368" s="38" t="s">
        <v>2028</v>
      </c>
      <c r="AP368" s="32" t="s">
        <v>2045</v>
      </c>
    </row>
    <row r="369" spans="1:42" ht="12.75">
      <c r="A369" s="50" t="s">
        <v>319</v>
      </c>
      <c r="B369" s="17" t="s">
        <v>868</v>
      </c>
      <c r="C369" s="17" t="s">
        <v>1505</v>
      </c>
      <c r="D369" s="17" t="s">
        <v>1941</v>
      </c>
      <c r="E369" s="26">
        <v>312.46</v>
      </c>
      <c r="F369" s="26">
        <v>0</v>
      </c>
      <c r="G369" s="26">
        <f t="shared" si="66"/>
        <v>0</v>
      </c>
      <c r="H369" s="26">
        <f t="shared" si="67"/>
        <v>0</v>
      </c>
      <c r="I369" s="26">
        <f t="shared" si="68"/>
        <v>0</v>
      </c>
      <c r="J369" s="72">
        <v>0.261</v>
      </c>
      <c r="K369" s="72">
        <f t="shared" si="69"/>
        <v>81.55206</v>
      </c>
      <c r="L369" s="35" t="s">
        <v>1959</v>
      </c>
      <c r="M369" s="35" t="s">
        <v>122</v>
      </c>
      <c r="N369" s="26">
        <f t="shared" si="70"/>
        <v>0</v>
      </c>
      <c r="Y369" s="26">
        <f t="shared" si="71"/>
        <v>0</v>
      </c>
      <c r="Z369" s="26">
        <f t="shared" si="72"/>
        <v>0</v>
      </c>
      <c r="AA369" s="26">
        <f t="shared" si="73"/>
        <v>0</v>
      </c>
      <c r="AC369" s="12">
        <v>21</v>
      </c>
      <c r="AD369" s="12">
        <f>F369*0.151578947368421</f>
        <v>0</v>
      </c>
      <c r="AE369" s="12">
        <f>F369*(1-0.151578947368421)</f>
        <v>0</v>
      </c>
      <c r="AL369" s="12">
        <f t="shared" si="74"/>
        <v>0</v>
      </c>
      <c r="AM369" s="12">
        <f t="shared" si="75"/>
        <v>0</v>
      </c>
      <c r="AN369" s="38" t="s">
        <v>1997</v>
      </c>
      <c r="AO369" s="38" t="s">
        <v>2028</v>
      </c>
      <c r="AP369" s="32" t="s">
        <v>2045</v>
      </c>
    </row>
    <row r="370" spans="1:42" ht="12.75">
      <c r="A370" s="50" t="s">
        <v>320</v>
      </c>
      <c r="B370" s="17" t="s">
        <v>869</v>
      </c>
      <c r="C370" s="17" t="s">
        <v>1506</v>
      </c>
      <c r="D370" s="17" t="s">
        <v>1941</v>
      </c>
      <c r="E370" s="26">
        <v>35.08</v>
      </c>
      <c r="F370" s="26">
        <v>0</v>
      </c>
      <c r="G370" s="26">
        <f t="shared" si="66"/>
        <v>0</v>
      </c>
      <c r="H370" s="26">
        <f t="shared" si="67"/>
        <v>0</v>
      </c>
      <c r="I370" s="26">
        <f t="shared" si="68"/>
        <v>0</v>
      </c>
      <c r="J370" s="72">
        <v>0.113</v>
      </c>
      <c r="K370" s="72">
        <f t="shared" si="69"/>
        <v>3.96404</v>
      </c>
      <c r="L370" s="35" t="s">
        <v>1959</v>
      </c>
      <c r="M370" s="35" t="s">
        <v>122</v>
      </c>
      <c r="N370" s="26">
        <f t="shared" si="70"/>
        <v>0</v>
      </c>
      <c r="Y370" s="26">
        <f t="shared" si="71"/>
        <v>0</v>
      </c>
      <c r="Z370" s="26">
        <f t="shared" si="72"/>
        <v>0</v>
      </c>
      <c r="AA370" s="26">
        <f t="shared" si="73"/>
        <v>0</v>
      </c>
      <c r="AC370" s="12">
        <v>21</v>
      </c>
      <c r="AD370" s="12">
        <f>F370*0.231578947368421</f>
        <v>0</v>
      </c>
      <c r="AE370" s="12">
        <f>F370*(1-0.231578947368421)</f>
        <v>0</v>
      </c>
      <c r="AL370" s="12">
        <f t="shared" si="74"/>
        <v>0</v>
      </c>
      <c r="AM370" s="12">
        <f t="shared" si="75"/>
        <v>0</v>
      </c>
      <c r="AN370" s="38" t="s">
        <v>1997</v>
      </c>
      <c r="AO370" s="38" t="s">
        <v>2028</v>
      </c>
      <c r="AP370" s="32" t="s">
        <v>2045</v>
      </c>
    </row>
    <row r="371" spans="1:42" ht="12.75">
      <c r="A371" s="50" t="s">
        <v>321</v>
      </c>
      <c r="B371" s="17" t="s">
        <v>870</v>
      </c>
      <c r="C371" s="17" t="s">
        <v>1507</v>
      </c>
      <c r="D371" s="17" t="s">
        <v>1940</v>
      </c>
      <c r="E371" s="26">
        <v>108.81</v>
      </c>
      <c r="F371" s="26">
        <v>0</v>
      </c>
      <c r="G371" s="26">
        <f t="shared" si="66"/>
        <v>0</v>
      </c>
      <c r="H371" s="26">
        <f t="shared" si="67"/>
        <v>0</v>
      </c>
      <c r="I371" s="26">
        <f t="shared" si="68"/>
        <v>0</v>
      </c>
      <c r="J371" s="72">
        <v>1.8</v>
      </c>
      <c r="K371" s="72">
        <f t="shared" si="69"/>
        <v>195.858</v>
      </c>
      <c r="L371" s="35" t="s">
        <v>1959</v>
      </c>
      <c r="M371" s="35" t="s">
        <v>122</v>
      </c>
      <c r="N371" s="26">
        <f t="shared" si="70"/>
        <v>0</v>
      </c>
      <c r="Y371" s="26">
        <f t="shared" si="71"/>
        <v>0</v>
      </c>
      <c r="Z371" s="26">
        <f t="shared" si="72"/>
        <v>0</v>
      </c>
      <c r="AA371" s="26">
        <f t="shared" si="73"/>
        <v>0</v>
      </c>
      <c r="AC371" s="12">
        <v>21</v>
      </c>
      <c r="AD371" s="12">
        <f>F371*0.0510234899328859</f>
        <v>0</v>
      </c>
      <c r="AE371" s="12">
        <f>F371*(1-0.0510234899328859)</f>
        <v>0</v>
      </c>
      <c r="AL371" s="12">
        <f t="shared" si="74"/>
        <v>0</v>
      </c>
      <c r="AM371" s="12">
        <f t="shared" si="75"/>
        <v>0</v>
      </c>
      <c r="AN371" s="38" t="s">
        <v>1997</v>
      </c>
      <c r="AO371" s="38" t="s">
        <v>2028</v>
      </c>
      <c r="AP371" s="32" t="s">
        <v>2045</v>
      </c>
    </row>
    <row r="372" spans="1:42" ht="12.75">
      <c r="A372" s="50" t="s">
        <v>322</v>
      </c>
      <c r="B372" s="17" t="s">
        <v>871</v>
      </c>
      <c r="C372" s="17" t="s">
        <v>1508</v>
      </c>
      <c r="D372" s="17" t="s">
        <v>1940</v>
      </c>
      <c r="E372" s="26">
        <v>0.17</v>
      </c>
      <c r="F372" s="26">
        <v>0</v>
      </c>
      <c r="G372" s="26">
        <f t="shared" si="66"/>
        <v>0</v>
      </c>
      <c r="H372" s="26">
        <f t="shared" si="67"/>
        <v>0</v>
      </c>
      <c r="I372" s="26">
        <f t="shared" si="68"/>
        <v>0</v>
      </c>
      <c r="J372" s="72">
        <v>2.2</v>
      </c>
      <c r="K372" s="72">
        <f t="shared" si="69"/>
        <v>0.37400000000000005</v>
      </c>
      <c r="L372" s="35" t="s">
        <v>1959</v>
      </c>
      <c r="M372" s="35" t="s">
        <v>122</v>
      </c>
      <c r="N372" s="26">
        <f t="shared" si="70"/>
        <v>0</v>
      </c>
      <c r="Y372" s="26">
        <f t="shared" si="71"/>
        <v>0</v>
      </c>
      <c r="Z372" s="26">
        <f t="shared" si="72"/>
        <v>0</v>
      </c>
      <c r="AA372" s="26">
        <f t="shared" si="73"/>
        <v>0</v>
      </c>
      <c r="AC372" s="12">
        <v>21</v>
      </c>
      <c r="AD372" s="12">
        <f>F372*0.0180954852101712</f>
        <v>0</v>
      </c>
      <c r="AE372" s="12">
        <f>F372*(1-0.0180954852101712)</f>
        <v>0</v>
      </c>
      <c r="AL372" s="12">
        <f t="shared" si="74"/>
        <v>0</v>
      </c>
      <c r="AM372" s="12">
        <f t="shared" si="75"/>
        <v>0</v>
      </c>
      <c r="AN372" s="38" t="s">
        <v>1997</v>
      </c>
      <c r="AO372" s="38" t="s">
        <v>2028</v>
      </c>
      <c r="AP372" s="32" t="s">
        <v>2045</v>
      </c>
    </row>
    <row r="373" spans="1:42" ht="12.75">
      <c r="A373" s="50" t="s">
        <v>323</v>
      </c>
      <c r="B373" s="17" t="s">
        <v>872</v>
      </c>
      <c r="C373" s="17" t="s">
        <v>1509</v>
      </c>
      <c r="D373" s="17" t="s">
        <v>1941</v>
      </c>
      <c r="E373" s="26">
        <v>1.35</v>
      </c>
      <c r="F373" s="26">
        <v>0</v>
      </c>
      <c r="G373" s="26">
        <f t="shared" si="66"/>
        <v>0</v>
      </c>
      <c r="H373" s="26">
        <f t="shared" si="67"/>
        <v>0</v>
      </c>
      <c r="I373" s="26">
        <f t="shared" si="68"/>
        <v>0</v>
      </c>
      <c r="J373" s="72">
        <v>0.082</v>
      </c>
      <c r="K373" s="72">
        <f t="shared" si="69"/>
        <v>0.1107</v>
      </c>
      <c r="L373" s="35" t="s">
        <v>1959</v>
      </c>
      <c r="M373" s="35" t="s">
        <v>122</v>
      </c>
      <c r="N373" s="26">
        <f t="shared" si="70"/>
        <v>0</v>
      </c>
      <c r="Y373" s="26">
        <f t="shared" si="71"/>
        <v>0</v>
      </c>
      <c r="Z373" s="26">
        <f t="shared" si="72"/>
        <v>0</v>
      </c>
      <c r="AA373" s="26">
        <f t="shared" si="73"/>
        <v>0</v>
      </c>
      <c r="AC373" s="12">
        <v>21</v>
      </c>
      <c r="AD373" s="12">
        <f>F373*0.0948559793999641</f>
        <v>0</v>
      </c>
      <c r="AE373" s="12">
        <f>F373*(1-0.0948559793999641)</f>
        <v>0</v>
      </c>
      <c r="AL373" s="12">
        <f t="shared" si="74"/>
        <v>0</v>
      </c>
      <c r="AM373" s="12">
        <f t="shared" si="75"/>
        <v>0</v>
      </c>
      <c r="AN373" s="38" t="s">
        <v>1997</v>
      </c>
      <c r="AO373" s="38" t="s">
        <v>2028</v>
      </c>
      <c r="AP373" s="32" t="s">
        <v>2045</v>
      </c>
    </row>
    <row r="374" spans="1:42" ht="12.75">
      <c r="A374" s="50" t="s">
        <v>324</v>
      </c>
      <c r="B374" s="17" t="s">
        <v>873</v>
      </c>
      <c r="C374" s="17" t="s">
        <v>1510</v>
      </c>
      <c r="D374" s="17" t="s">
        <v>1942</v>
      </c>
      <c r="E374" s="26">
        <v>7.92</v>
      </c>
      <c r="F374" s="26">
        <v>0</v>
      </c>
      <c r="G374" s="26">
        <f t="shared" si="66"/>
        <v>0</v>
      </c>
      <c r="H374" s="26">
        <f t="shared" si="67"/>
        <v>0</v>
      </c>
      <c r="I374" s="26">
        <f t="shared" si="68"/>
        <v>0</v>
      </c>
      <c r="J374" s="72">
        <v>1.05273</v>
      </c>
      <c r="K374" s="72">
        <f t="shared" si="69"/>
        <v>8.3376216</v>
      </c>
      <c r="L374" s="35" t="s">
        <v>1959</v>
      </c>
      <c r="M374" s="35" t="s">
        <v>124</v>
      </c>
      <c r="N374" s="26">
        <f t="shared" si="70"/>
        <v>0</v>
      </c>
      <c r="Y374" s="26">
        <f t="shared" si="71"/>
        <v>0</v>
      </c>
      <c r="Z374" s="26">
        <f t="shared" si="72"/>
        <v>0</v>
      </c>
      <c r="AA374" s="26">
        <f t="shared" si="73"/>
        <v>0</v>
      </c>
      <c r="AC374" s="12">
        <v>21</v>
      </c>
      <c r="AD374" s="12">
        <f>F374*0</f>
        <v>0</v>
      </c>
      <c r="AE374" s="12">
        <f>F374*(1-0)</f>
        <v>0</v>
      </c>
      <c r="AL374" s="12">
        <f t="shared" si="74"/>
        <v>0</v>
      </c>
      <c r="AM374" s="12">
        <f t="shared" si="75"/>
        <v>0</v>
      </c>
      <c r="AN374" s="38" t="s">
        <v>1997</v>
      </c>
      <c r="AO374" s="38" t="s">
        <v>2028</v>
      </c>
      <c r="AP374" s="32" t="s">
        <v>2045</v>
      </c>
    </row>
    <row r="375" spans="1:42" ht="12.75">
      <c r="A375" s="50" t="s">
        <v>325</v>
      </c>
      <c r="B375" s="17" t="s">
        <v>874</v>
      </c>
      <c r="C375" s="17" t="s">
        <v>1511</v>
      </c>
      <c r="D375" s="17" t="s">
        <v>1942</v>
      </c>
      <c r="E375" s="26">
        <v>30</v>
      </c>
      <c r="F375" s="26">
        <v>0</v>
      </c>
      <c r="G375" s="26">
        <f t="shared" si="66"/>
        <v>0</v>
      </c>
      <c r="H375" s="26">
        <f t="shared" si="67"/>
        <v>0</v>
      </c>
      <c r="I375" s="26">
        <f t="shared" si="68"/>
        <v>0</v>
      </c>
      <c r="J375" s="72">
        <v>0.07</v>
      </c>
      <c r="K375" s="72">
        <f t="shared" si="69"/>
        <v>2.1</v>
      </c>
      <c r="L375" s="35" t="s">
        <v>1959</v>
      </c>
      <c r="M375" s="35" t="s">
        <v>122</v>
      </c>
      <c r="N375" s="26">
        <f t="shared" si="70"/>
        <v>0</v>
      </c>
      <c r="Y375" s="26">
        <f t="shared" si="71"/>
        <v>0</v>
      </c>
      <c r="Z375" s="26">
        <f t="shared" si="72"/>
        <v>0</v>
      </c>
      <c r="AA375" s="26">
        <f t="shared" si="73"/>
        <v>0</v>
      </c>
      <c r="AC375" s="12">
        <v>21</v>
      </c>
      <c r="AD375" s="12">
        <f>F375*0</f>
        <v>0</v>
      </c>
      <c r="AE375" s="12">
        <f>F375*(1-0)</f>
        <v>0</v>
      </c>
      <c r="AL375" s="12">
        <f t="shared" si="74"/>
        <v>0</v>
      </c>
      <c r="AM375" s="12">
        <f t="shared" si="75"/>
        <v>0</v>
      </c>
      <c r="AN375" s="38" t="s">
        <v>1997</v>
      </c>
      <c r="AO375" s="38" t="s">
        <v>2028</v>
      </c>
      <c r="AP375" s="32" t="s">
        <v>2045</v>
      </c>
    </row>
    <row r="376" ht="12.75">
      <c r="C376" s="24" t="s">
        <v>1512</v>
      </c>
    </row>
    <row r="377" spans="1:42" ht="12.75">
      <c r="A377" s="50" t="s">
        <v>326</v>
      </c>
      <c r="B377" s="17" t="s">
        <v>875</v>
      </c>
      <c r="C377" s="17" t="s">
        <v>1513</v>
      </c>
      <c r="D377" s="17" t="s">
        <v>1941</v>
      </c>
      <c r="E377" s="26">
        <v>10.56</v>
      </c>
      <c r="F377" s="26">
        <v>0</v>
      </c>
      <c r="G377" s="26">
        <f>E377*AD377</f>
        <v>0</v>
      </c>
      <c r="H377" s="26">
        <f>I377-G377</f>
        <v>0</v>
      </c>
      <c r="I377" s="26">
        <f>E377*F377</f>
        <v>0</v>
      </c>
      <c r="J377" s="72">
        <v>0.432</v>
      </c>
      <c r="K377" s="72">
        <f>E377*J377</f>
        <v>4.56192</v>
      </c>
      <c r="L377" s="35" t="s">
        <v>1959</v>
      </c>
      <c r="M377" s="35" t="s">
        <v>122</v>
      </c>
      <c r="N377" s="26">
        <f>IF(M377="5",H377,0)</f>
        <v>0</v>
      </c>
      <c r="Y377" s="26">
        <f>IF(AC377=0,I377,0)</f>
        <v>0</v>
      </c>
      <c r="Z377" s="26">
        <f>IF(AC377=15,I377,0)</f>
        <v>0</v>
      </c>
      <c r="AA377" s="26">
        <f>IF(AC377=21,I377,0)</f>
        <v>0</v>
      </c>
      <c r="AC377" s="12">
        <v>21</v>
      </c>
      <c r="AD377" s="12">
        <f>F377*0</f>
        <v>0</v>
      </c>
      <c r="AE377" s="12">
        <f>F377*(1-0)</f>
        <v>0</v>
      </c>
      <c r="AL377" s="12">
        <f>E377*AD377</f>
        <v>0</v>
      </c>
      <c r="AM377" s="12">
        <f>E377*AE377</f>
        <v>0</v>
      </c>
      <c r="AN377" s="38" t="s">
        <v>1997</v>
      </c>
      <c r="AO377" s="38" t="s">
        <v>2028</v>
      </c>
      <c r="AP377" s="32" t="s">
        <v>2045</v>
      </c>
    </row>
    <row r="378" ht="12.75">
      <c r="C378" s="24" t="s">
        <v>1512</v>
      </c>
    </row>
    <row r="379" spans="1:42" ht="12.75">
      <c r="A379" s="50" t="s">
        <v>327</v>
      </c>
      <c r="B379" s="17" t="s">
        <v>876</v>
      </c>
      <c r="C379" s="17" t="s">
        <v>1514</v>
      </c>
      <c r="D379" s="17" t="s">
        <v>1940</v>
      </c>
      <c r="E379" s="26">
        <v>41.25</v>
      </c>
      <c r="F379" s="26">
        <v>0</v>
      </c>
      <c r="G379" s="26">
        <f>E379*AD379</f>
        <v>0</v>
      </c>
      <c r="H379" s="26">
        <f>I379-G379</f>
        <v>0</v>
      </c>
      <c r="I379" s="26">
        <f>E379*F379</f>
        <v>0</v>
      </c>
      <c r="J379" s="72">
        <v>1.1</v>
      </c>
      <c r="K379" s="72">
        <f>E379*J379</f>
        <v>45.37500000000001</v>
      </c>
      <c r="L379" s="35" t="s">
        <v>1959</v>
      </c>
      <c r="M379" s="35" t="s">
        <v>122</v>
      </c>
      <c r="N379" s="26">
        <f>IF(M379="5",H379,0)</f>
        <v>0</v>
      </c>
      <c r="Y379" s="26">
        <f>IF(AC379=0,I379,0)</f>
        <v>0</v>
      </c>
      <c r="Z379" s="26">
        <f>IF(AC379=15,I379,0)</f>
        <v>0</v>
      </c>
      <c r="AA379" s="26">
        <f>IF(AC379=21,I379,0)</f>
        <v>0</v>
      </c>
      <c r="AC379" s="12">
        <v>21</v>
      </c>
      <c r="AD379" s="12">
        <f>F379*0</f>
        <v>0</v>
      </c>
      <c r="AE379" s="12">
        <f>F379*(1-0)</f>
        <v>0</v>
      </c>
      <c r="AL379" s="12">
        <f>E379*AD379</f>
        <v>0</v>
      </c>
      <c r="AM379" s="12">
        <f>E379*AE379</f>
        <v>0</v>
      </c>
      <c r="AN379" s="38" t="s">
        <v>1997</v>
      </c>
      <c r="AO379" s="38" t="s">
        <v>2028</v>
      </c>
      <c r="AP379" s="32" t="s">
        <v>2045</v>
      </c>
    </row>
    <row r="380" ht="12.75">
      <c r="C380" s="24" t="s">
        <v>1515</v>
      </c>
    </row>
    <row r="381" spans="1:42" s="60" customFormat="1" ht="26.25">
      <c r="A381" s="56" t="s">
        <v>328</v>
      </c>
      <c r="B381" s="57" t="s">
        <v>877</v>
      </c>
      <c r="C381" s="57" t="s">
        <v>1516</v>
      </c>
      <c r="D381" s="57" t="s">
        <v>1940</v>
      </c>
      <c r="E381" s="58">
        <v>26.8</v>
      </c>
      <c r="F381" s="58">
        <v>0</v>
      </c>
      <c r="G381" s="58">
        <f>E381*AD381</f>
        <v>0</v>
      </c>
      <c r="H381" s="58">
        <f>I381-G381</f>
        <v>0</v>
      </c>
      <c r="I381" s="58">
        <f>E381*F381</f>
        <v>0</v>
      </c>
      <c r="J381" s="77">
        <v>2.2</v>
      </c>
      <c r="K381" s="77">
        <f>E381*J381</f>
        <v>58.96000000000001</v>
      </c>
      <c r="L381" s="59" t="s">
        <v>1959</v>
      </c>
      <c r="M381" s="59" t="s">
        <v>122</v>
      </c>
      <c r="N381" s="58">
        <f>IF(M381="5",H381,0)</f>
        <v>0</v>
      </c>
      <c r="Y381" s="58">
        <f>IF(AC381=0,I381,0)</f>
        <v>0</v>
      </c>
      <c r="Z381" s="58">
        <f>IF(AC381=15,I381,0)</f>
        <v>0</v>
      </c>
      <c r="AA381" s="58">
        <f>IF(AC381=21,I381,0)</f>
        <v>0</v>
      </c>
      <c r="AC381" s="61">
        <v>21</v>
      </c>
      <c r="AD381" s="61">
        <f>F381*0</f>
        <v>0</v>
      </c>
      <c r="AE381" s="61">
        <f>F381*(1-0)</f>
        <v>0</v>
      </c>
      <c r="AL381" s="61">
        <f>E381*AD381</f>
        <v>0</v>
      </c>
      <c r="AM381" s="61">
        <f>E381*AE381</f>
        <v>0</v>
      </c>
      <c r="AN381" s="62" t="s">
        <v>1997</v>
      </c>
      <c r="AO381" s="62" t="s">
        <v>2028</v>
      </c>
      <c r="AP381" s="63" t="s">
        <v>2045</v>
      </c>
    </row>
    <row r="382" ht="12.75">
      <c r="C382" s="24" t="s">
        <v>1517</v>
      </c>
    </row>
    <row r="383" spans="1:42" ht="12.75">
      <c r="A383" s="50" t="s">
        <v>329</v>
      </c>
      <c r="B383" s="17" t="s">
        <v>877</v>
      </c>
      <c r="C383" s="17" t="s">
        <v>1518</v>
      </c>
      <c r="D383" s="17" t="s">
        <v>1940</v>
      </c>
      <c r="E383" s="26">
        <v>56.28</v>
      </c>
      <c r="F383" s="26">
        <v>0</v>
      </c>
      <c r="G383" s="26">
        <f>E383*AD383</f>
        <v>0</v>
      </c>
      <c r="H383" s="26">
        <f>I383-G383</f>
        <v>0</v>
      </c>
      <c r="I383" s="26">
        <f>E383*F383</f>
        <v>0</v>
      </c>
      <c r="J383" s="72">
        <v>2.2</v>
      </c>
      <c r="K383" s="72">
        <f>E383*J383</f>
        <v>123.81600000000002</v>
      </c>
      <c r="L383" s="35" t="s">
        <v>1959</v>
      </c>
      <c r="M383" s="35" t="s">
        <v>122</v>
      </c>
      <c r="N383" s="26">
        <f>IF(M383="5",H383,0)</f>
        <v>0</v>
      </c>
      <c r="Y383" s="26">
        <f>IF(AC383=0,I383,0)</f>
        <v>0</v>
      </c>
      <c r="Z383" s="26">
        <f>IF(AC383=15,I383,0)</f>
        <v>0</v>
      </c>
      <c r="AA383" s="26">
        <f>IF(AC383=21,I383,0)</f>
        <v>0</v>
      </c>
      <c r="AC383" s="12">
        <v>21</v>
      </c>
      <c r="AD383" s="12">
        <f>F383*0</f>
        <v>0</v>
      </c>
      <c r="AE383" s="12">
        <f>F383*(1-0)</f>
        <v>0</v>
      </c>
      <c r="AL383" s="12">
        <f>E383*AD383</f>
        <v>0</v>
      </c>
      <c r="AM383" s="12">
        <f>E383*AE383</f>
        <v>0</v>
      </c>
      <c r="AN383" s="38" t="s">
        <v>1997</v>
      </c>
      <c r="AO383" s="38" t="s">
        <v>2028</v>
      </c>
      <c r="AP383" s="32" t="s">
        <v>2045</v>
      </c>
    </row>
    <row r="384" ht="12.75">
      <c r="C384" s="24" t="s">
        <v>1519</v>
      </c>
    </row>
    <row r="385" spans="1:42" ht="12.75">
      <c r="A385" s="50" t="s">
        <v>330</v>
      </c>
      <c r="B385" s="17" t="s">
        <v>878</v>
      </c>
      <c r="C385" s="17" t="s">
        <v>1520</v>
      </c>
      <c r="D385" s="17" t="s">
        <v>1940</v>
      </c>
      <c r="E385" s="26">
        <v>4.19</v>
      </c>
      <c r="F385" s="26">
        <v>0</v>
      </c>
      <c r="G385" s="26">
        <f>E385*AD385</f>
        <v>0</v>
      </c>
      <c r="H385" s="26">
        <f>I385-G385</f>
        <v>0</v>
      </c>
      <c r="I385" s="26">
        <f>E385*F385</f>
        <v>0</v>
      </c>
      <c r="J385" s="72">
        <v>2.2</v>
      </c>
      <c r="K385" s="72">
        <f>E385*J385</f>
        <v>9.218000000000002</v>
      </c>
      <c r="L385" s="35" t="s">
        <v>1961</v>
      </c>
      <c r="M385" s="35" t="s">
        <v>122</v>
      </c>
      <c r="N385" s="26">
        <f>IF(M385="5",H385,0)</f>
        <v>0</v>
      </c>
      <c r="Y385" s="26">
        <f>IF(AC385=0,I385,0)</f>
        <v>0</v>
      </c>
      <c r="Z385" s="26">
        <f>IF(AC385=15,I385,0)</f>
        <v>0</v>
      </c>
      <c r="AA385" s="26">
        <f>IF(AC385=21,I385,0)</f>
        <v>0</v>
      </c>
      <c r="AC385" s="12">
        <v>21</v>
      </c>
      <c r="AD385" s="12">
        <f>F385*0</f>
        <v>0</v>
      </c>
      <c r="AE385" s="12">
        <f>F385*(1-0)</f>
        <v>0</v>
      </c>
      <c r="AL385" s="12">
        <f>E385*AD385</f>
        <v>0</v>
      </c>
      <c r="AM385" s="12">
        <f>E385*AE385</f>
        <v>0</v>
      </c>
      <c r="AN385" s="38" t="s">
        <v>1997</v>
      </c>
      <c r="AO385" s="38" t="s">
        <v>2028</v>
      </c>
      <c r="AP385" s="32" t="s">
        <v>2045</v>
      </c>
    </row>
    <row r="386" ht="12.75">
      <c r="C386" s="24" t="s">
        <v>1521</v>
      </c>
    </row>
    <row r="387" spans="1:42" ht="12.75">
      <c r="A387" s="50" t="s">
        <v>331</v>
      </c>
      <c r="B387" s="17" t="s">
        <v>879</v>
      </c>
      <c r="C387" s="17" t="s">
        <v>1522</v>
      </c>
      <c r="D387" s="17" t="s">
        <v>1940</v>
      </c>
      <c r="E387" s="26">
        <v>20.53</v>
      </c>
      <c r="F387" s="26">
        <v>0</v>
      </c>
      <c r="G387" s="26">
        <f>E387*AD387</f>
        <v>0</v>
      </c>
      <c r="H387" s="26">
        <f>I387-G387</f>
        <v>0</v>
      </c>
      <c r="I387" s="26">
        <f>E387*F387</f>
        <v>0</v>
      </c>
      <c r="J387" s="72">
        <v>2.2</v>
      </c>
      <c r="K387" s="72">
        <f>E387*J387</f>
        <v>45.166000000000004</v>
      </c>
      <c r="L387" s="35" t="s">
        <v>1959</v>
      </c>
      <c r="M387" s="35" t="s">
        <v>122</v>
      </c>
      <c r="N387" s="26">
        <f>IF(M387="5",H387,0)</f>
        <v>0</v>
      </c>
      <c r="Y387" s="26">
        <f>IF(AC387=0,I387,0)</f>
        <v>0</v>
      </c>
      <c r="Z387" s="26">
        <f>IF(AC387=15,I387,0)</f>
        <v>0</v>
      </c>
      <c r="AA387" s="26">
        <f>IF(AC387=21,I387,0)</f>
        <v>0</v>
      </c>
      <c r="AC387" s="12">
        <v>21</v>
      </c>
      <c r="AD387" s="12">
        <f>F387*0</f>
        <v>0</v>
      </c>
      <c r="AE387" s="12">
        <f>F387*(1-0)</f>
        <v>0</v>
      </c>
      <c r="AL387" s="12">
        <f>E387*AD387</f>
        <v>0</v>
      </c>
      <c r="AM387" s="12">
        <f>E387*AE387</f>
        <v>0</v>
      </c>
      <c r="AN387" s="38" t="s">
        <v>1997</v>
      </c>
      <c r="AO387" s="38" t="s">
        <v>2028</v>
      </c>
      <c r="AP387" s="32" t="s">
        <v>2045</v>
      </c>
    </row>
    <row r="388" ht="12.75">
      <c r="C388" s="24" t="s">
        <v>1523</v>
      </c>
    </row>
    <row r="389" spans="1:42" ht="12.75">
      <c r="A389" s="50" t="s">
        <v>332</v>
      </c>
      <c r="B389" s="17" t="s">
        <v>880</v>
      </c>
      <c r="C389" s="17" t="s">
        <v>1524</v>
      </c>
      <c r="D389" s="17" t="s">
        <v>1941</v>
      </c>
      <c r="E389" s="26">
        <v>2.7</v>
      </c>
      <c r="F389" s="26">
        <v>0</v>
      </c>
      <c r="G389" s="26">
        <f>E389*AD389</f>
        <v>0</v>
      </c>
      <c r="H389" s="26">
        <f>I389-G389</f>
        <v>0</v>
      </c>
      <c r="I389" s="26">
        <f>E389*F389</f>
        <v>0</v>
      </c>
      <c r="J389" s="72">
        <v>0.045</v>
      </c>
      <c r="K389" s="72">
        <f>E389*J389</f>
        <v>0.1215</v>
      </c>
      <c r="L389" s="35" t="s">
        <v>1959</v>
      </c>
      <c r="M389" s="35" t="s">
        <v>122</v>
      </c>
      <c r="N389" s="26">
        <f>IF(M389="5",H389,0)</f>
        <v>0</v>
      </c>
      <c r="Y389" s="26">
        <f>IF(AC389=0,I389,0)</f>
        <v>0</v>
      </c>
      <c r="Z389" s="26">
        <f>IF(AC389=15,I389,0)</f>
        <v>0</v>
      </c>
      <c r="AA389" s="26">
        <f>IF(AC389=21,I389,0)</f>
        <v>0</v>
      </c>
      <c r="AC389" s="12">
        <v>21</v>
      </c>
      <c r="AD389" s="12">
        <f>F389*0</f>
        <v>0</v>
      </c>
      <c r="AE389" s="12">
        <f>F389*(1-0)</f>
        <v>0</v>
      </c>
      <c r="AL389" s="12">
        <f>E389*AD389</f>
        <v>0</v>
      </c>
      <c r="AM389" s="12">
        <f>E389*AE389</f>
        <v>0</v>
      </c>
      <c r="AN389" s="38" t="s">
        <v>1997</v>
      </c>
      <c r="AO389" s="38" t="s">
        <v>2028</v>
      </c>
      <c r="AP389" s="32" t="s">
        <v>2045</v>
      </c>
    </row>
    <row r="390" ht="12.75">
      <c r="C390" s="24" t="s">
        <v>1525</v>
      </c>
    </row>
    <row r="391" spans="1:42" ht="12.75">
      <c r="A391" s="50" t="s">
        <v>333</v>
      </c>
      <c r="B391" s="17" t="s">
        <v>881</v>
      </c>
      <c r="C391" s="17" t="s">
        <v>1526</v>
      </c>
      <c r="D391" s="17" t="s">
        <v>1941</v>
      </c>
      <c r="E391" s="26">
        <v>58.75</v>
      </c>
      <c r="F391" s="26">
        <v>0</v>
      </c>
      <c r="G391" s="26">
        <f>E391*AD391</f>
        <v>0</v>
      </c>
      <c r="H391" s="26">
        <f>I391-G391</f>
        <v>0</v>
      </c>
      <c r="I391" s="26">
        <f>E391*F391</f>
        <v>0</v>
      </c>
      <c r="J391" s="72">
        <v>0.02</v>
      </c>
      <c r="K391" s="72">
        <f>E391*J391</f>
        <v>1.175</v>
      </c>
      <c r="L391" s="35" t="s">
        <v>1959</v>
      </c>
      <c r="M391" s="35" t="s">
        <v>122</v>
      </c>
      <c r="N391" s="26">
        <f>IF(M391="5",H391,0)</f>
        <v>0</v>
      </c>
      <c r="Y391" s="26">
        <f>IF(AC391=0,I391,0)</f>
        <v>0</v>
      </c>
      <c r="Z391" s="26">
        <f>IF(AC391=15,I391,0)</f>
        <v>0</v>
      </c>
      <c r="AA391" s="26">
        <f>IF(AC391=21,I391,0)</f>
        <v>0</v>
      </c>
      <c r="AC391" s="12">
        <v>21</v>
      </c>
      <c r="AD391" s="12">
        <f>F391*0</f>
        <v>0</v>
      </c>
      <c r="AE391" s="12">
        <f>F391*(1-0)</f>
        <v>0</v>
      </c>
      <c r="AL391" s="12">
        <f>E391*AD391</f>
        <v>0</v>
      </c>
      <c r="AM391" s="12">
        <f>E391*AE391</f>
        <v>0</v>
      </c>
      <c r="AN391" s="38" t="s">
        <v>1997</v>
      </c>
      <c r="AO391" s="38" t="s">
        <v>2028</v>
      </c>
      <c r="AP391" s="32" t="s">
        <v>2045</v>
      </c>
    </row>
    <row r="392" ht="12.75">
      <c r="C392" s="24" t="s">
        <v>1527</v>
      </c>
    </row>
    <row r="393" spans="1:42" ht="12.75">
      <c r="A393" s="50" t="s">
        <v>334</v>
      </c>
      <c r="B393" s="17" t="s">
        <v>882</v>
      </c>
      <c r="C393" s="17" t="s">
        <v>1528</v>
      </c>
      <c r="D393" s="17" t="s">
        <v>1941</v>
      </c>
      <c r="E393" s="26">
        <v>971.7</v>
      </c>
      <c r="F393" s="26">
        <v>0</v>
      </c>
      <c r="G393" s="26">
        <f>E393*AD393</f>
        <v>0</v>
      </c>
      <c r="H393" s="26">
        <f>I393-G393</f>
        <v>0</v>
      </c>
      <c r="I393" s="26">
        <f>E393*F393</f>
        <v>0</v>
      </c>
      <c r="J393" s="72">
        <v>0.065</v>
      </c>
      <c r="K393" s="72">
        <f>E393*J393</f>
        <v>63.160500000000006</v>
      </c>
      <c r="L393" s="35" t="s">
        <v>1959</v>
      </c>
      <c r="M393" s="35" t="s">
        <v>122</v>
      </c>
      <c r="N393" s="26">
        <f>IF(M393="5",H393,0)</f>
        <v>0</v>
      </c>
      <c r="Y393" s="26">
        <f>IF(AC393=0,I393,0)</f>
        <v>0</v>
      </c>
      <c r="Z393" s="26">
        <f>IF(AC393=15,I393,0)</f>
        <v>0</v>
      </c>
      <c r="AA393" s="26">
        <f>IF(AC393=21,I393,0)</f>
        <v>0</v>
      </c>
      <c r="AC393" s="12">
        <v>21</v>
      </c>
      <c r="AD393" s="12">
        <f>F393*0</f>
        <v>0</v>
      </c>
      <c r="AE393" s="12">
        <f>F393*(1-0)</f>
        <v>0</v>
      </c>
      <c r="AL393" s="12">
        <f>E393*AD393</f>
        <v>0</v>
      </c>
      <c r="AM393" s="12">
        <f>E393*AE393</f>
        <v>0</v>
      </c>
      <c r="AN393" s="38" t="s">
        <v>1997</v>
      </c>
      <c r="AO393" s="38" t="s">
        <v>2028</v>
      </c>
      <c r="AP393" s="32" t="s">
        <v>2045</v>
      </c>
    </row>
    <row r="394" ht="12.75">
      <c r="C394" s="24" t="s">
        <v>1515</v>
      </c>
    </row>
    <row r="395" spans="1:42" ht="12.75">
      <c r="A395" s="50" t="s">
        <v>335</v>
      </c>
      <c r="B395" s="17" t="s">
        <v>883</v>
      </c>
      <c r="C395" s="17" t="s">
        <v>1529</v>
      </c>
      <c r="D395" s="17" t="s">
        <v>1940</v>
      </c>
      <c r="E395" s="26">
        <v>27.84</v>
      </c>
      <c r="F395" s="26">
        <v>0</v>
      </c>
      <c r="G395" s="26">
        <f>E395*AD395</f>
        <v>0</v>
      </c>
      <c r="H395" s="26">
        <f>I395-G395</f>
        <v>0</v>
      </c>
      <c r="I395" s="26">
        <f>E395*F395</f>
        <v>0</v>
      </c>
      <c r="J395" s="72">
        <v>0.9</v>
      </c>
      <c r="K395" s="72">
        <f>E395*J395</f>
        <v>25.056</v>
      </c>
      <c r="L395" s="35" t="s">
        <v>1959</v>
      </c>
      <c r="M395" s="35" t="s">
        <v>122</v>
      </c>
      <c r="N395" s="26">
        <f>IF(M395="5",H395,0)</f>
        <v>0</v>
      </c>
      <c r="Y395" s="26">
        <f>IF(AC395=0,I395,0)</f>
        <v>0</v>
      </c>
      <c r="Z395" s="26">
        <f>IF(AC395=15,I395,0)</f>
        <v>0</v>
      </c>
      <c r="AA395" s="26">
        <f>IF(AC395=21,I395,0)</f>
        <v>0</v>
      </c>
      <c r="AC395" s="12">
        <v>21</v>
      </c>
      <c r="AD395" s="12">
        <f>F395*0</f>
        <v>0</v>
      </c>
      <c r="AE395" s="12">
        <f>F395*(1-0)</f>
        <v>0</v>
      </c>
      <c r="AL395" s="12">
        <f>E395*AD395</f>
        <v>0</v>
      </c>
      <c r="AM395" s="12">
        <f>E395*AE395</f>
        <v>0</v>
      </c>
      <c r="AN395" s="38" t="s">
        <v>1997</v>
      </c>
      <c r="AO395" s="38" t="s">
        <v>2028</v>
      </c>
      <c r="AP395" s="32" t="s">
        <v>2045</v>
      </c>
    </row>
    <row r="396" spans="1:42" ht="12.75">
      <c r="A396" s="50" t="s">
        <v>336</v>
      </c>
      <c r="B396" s="17" t="s">
        <v>884</v>
      </c>
      <c r="C396" s="17" t="s">
        <v>1530</v>
      </c>
      <c r="D396" s="17" t="s">
        <v>1940</v>
      </c>
      <c r="E396" s="26">
        <v>171.55</v>
      </c>
      <c r="F396" s="26">
        <v>0</v>
      </c>
      <c r="G396" s="26">
        <f>E396*AD396</f>
        <v>0</v>
      </c>
      <c r="H396" s="26">
        <f>I396-G396</f>
        <v>0</v>
      </c>
      <c r="I396" s="26">
        <f>E396*F396</f>
        <v>0</v>
      </c>
      <c r="J396" s="72">
        <v>0.9</v>
      </c>
      <c r="K396" s="72">
        <f>E396*J396</f>
        <v>154.395</v>
      </c>
      <c r="L396" s="35" t="s">
        <v>1959</v>
      </c>
      <c r="M396" s="35" t="s">
        <v>122</v>
      </c>
      <c r="N396" s="26">
        <f>IF(M396="5",H396,0)</f>
        <v>0</v>
      </c>
      <c r="Y396" s="26">
        <f>IF(AC396=0,I396,0)</f>
        <v>0</v>
      </c>
      <c r="Z396" s="26">
        <f>IF(AC396=15,I396,0)</f>
        <v>0</v>
      </c>
      <c r="AA396" s="26">
        <f>IF(AC396=21,I396,0)</f>
        <v>0</v>
      </c>
      <c r="AC396" s="12">
        <v>21</v>
      </c>
      <c r="AD396" s="12">
        <f>F396*0</f>
        <v>0</v>
      </c>
      <c r="AE396" s="12">
        <f>F396*(1-0)</f>
        <v>0</v>
      </c>
      <c r="AL396" s="12">
        <f>E396*AD396</f>
        <v>0</v>
      </c>
      <c r="AM396" s="12">
        <f>E396*AE396</f>
        <v>0</v>
      </c>
      <c r="AN396" s="38" t="s">
        <v>1997</v>
      </c>
      <c r="AO396" s="38" t="s">
        <v>2028</v>
      </c>
      <c r="AP396" s="32" t="s">
        <v>2045</v>
      </c>
    </row>
    <row r="397" spans="1:42" ht="12.75">
      <c r="A397" s="50" t="s">
        <v>337</v>
      </c>
      <c r="B397" s="17" t="s">
        <v>885</v>
      </c>
      <c r="C397" s="17" t="s">
        <v>1531</v>
      </c>
      <c r="D397" s="17" t="s">
        <v>1944</v>
      </c>
      <c r="E397" s="26">
        <v>31</v>
      </c>
      <c r="F397" s="26">
        <v>0</v>
      </c>
      <c r="G397" s="26">
        <f>E397*AD397</f>
        <v>0</v>
      </c>
      <c r="H397" s="26">
        <f>I397-G397</f>
        <v>0</v>
      </c>
      <c r="I397" s="26">
        <f>E397*F397</f>
        <v>0</v>
      </c>
      <c r="J397" s="72">
        <v>0.025</v>
      </c>
      <c r="K397" s="72">
        <f>E397*J397</f>
        <v>0.775</v>
      </c>
      <c r="L397" s="35" t="s">
        <v>1959</v>
      </c>
      <c r="M397" s="35" t="s">
        <v>122</v>
      </c>
      <c r="N397" s="26">
        <f>IF(M397="5",H397,0)</f>
        <v>0</v>
      </c>
      <c r="Y397" s="26">
        <f>IF(AC397=0,I397,0)</f>
        <v>0</v>
      </c>
      <c r="Z397" s="26">
        <f>IF(AC397=15,I397,0)</f>
        <v>0</v>
      </c>
      <c r="AA397" s="26">
        <f>IF(AC397=21,I397,0)</f>
        <v>0</v>
      </c>
      <c r="AC397" s="12">
        <v>21</v>
      </c>
      <c r="AD397" s="12">
        <f>F397*0.0568396226415094</f>
        <v>0</v>
      </c>
      <c r="AE397" s="12">
        <f>F397*(1-0.0568396226415094)</f>
        <v>0</v>
      </c>
      <c r="AL397" s="12">
        <f>E397*AD397</f>
        <v>0</v>
      </c>
      <c r="AM397" s="12">
        <f>E397*AE397</f>
        <v>0</v>
      </c>
      <c r="AN397" s="38" t="s">
        <v>1997</v>
      </c>
      <c r="AO397" s="38" t="s">
        <v>2028</v>
      </c>
      <c r="AP397" s="32" t="s">
        <v>2045</v>
      </c>
    </row>
    <row r="398" ht="12.75">
      <c r="C398" s="24" t="s">
        <v>1532</v>
      </c>
    </row>
    <row r="399" spans="1:42" ht="12.75">
      <c r="A399" s="50" t="s">
        <v>338</v>
      </c>
      <c r="B399" s="17" t="s">
        <v>886</v>
      </c>
      <c r="C399" s="17" t="s">
        <v>1533</v>
      </c>
      <c r="D399" s="17" t="s">
        <v>1941</v>
      </c>
      <c r="E399" s="26">
        <v>41.28</v>
      </c>
      <c r="F399" s="26">
        <v>0</v>
      </c>
      <c r="G399" s="26">
        <f aca="true" t="shared" si="76" ref="G399:G420">E399*AD399</f>
        <v>0</v>
      </c>
      <c r="H399" s="26">
        <f aca="true" t="shared" si="77" ref="H399:H420">I399-G399</f>
        <v>0</v>
      </c>
      <c r="I399" s="26">
        <f aca="true" t="shared" si="78" ref="I399:I420">E399*F399</f>
        <v>0</v>
      </c>
      <c r="J399" s="72">
        <v>0.275</v>
      </c>
      <c r="K399" s="72">
        <f aca="true" t="shared" si="79" ref="K399:K420">E399*J399</f>
        <v>11.352000000000002</v>
      </c>
      <c r="L399" s="35" t="s">
        <v>1959</v>
      </c>
      <c r="M399" s="35" t="s">
        <v>122</v>
      </c>
      <c r="N399" s="26">
        <f aca="true" t="shared" si="80" ref="N399:N420">IF(M399="5",H399,0)</f>
        <v>0</v>
      </c>
      <c r="Y399" s="26">
        <f aca="true" t="shared" si="81" ref="Y399:Y420">IF(AC399=0,I399,0)</f>
        <v>0</v>
      </c>
      <c r="Z399" s="26">
        <f aca="true" t="shared" si="82" ref="Z399:Z420">IF(AC399=15,I399,0)</f>
        <v>0</v>
      </c>
      <c r="AA399" s="26">
        <f aca="true" t="shared" si="83" ref="AA399:AA420">IF(AC399=21,I399,0)</f>
        <v>0</v>
      </c>
      <c r="AC399" s="12">
        <v>21</v>
      </c>
      <c r="AD399" s="12">
        <f>F399*0.0325971370143149</f>
        <v>0</v>
      </c>
      <c r="AE399" s="12">
        <f>F399*(1-0.0325971370143149)</f>
        <v>0</v>
      </c>
      <c r="AL399" s="12">
        <f aca="true" t="shared" si="84" ref="AL399:AL420">E399*AD399</f>
        <v>0</v>
      </c>
      <c r="AM399" s="12">
        <f aca="true" t="shared" si="85" ref="AM399:AM420">E399*AE399</f>
        <v>0</v>
      </c>
      <c r="AN399" s="38" t="s">
        <v>1997</v>
      </c>
      <c r="AO399" s="38" t="s">
        <v>2028</v>
      </c>
      <c r="AP399" s="32" t="s">
        <v>2045</v>
      </c>
    </row>
    <row r="400" spans="1:42" ht="12.75">
      <c r="A400" s="50" t="s">
        <v>339</v>
      </c>
      <c r="B400" s="17" t="s">
        <v>887</v>
      </c>
      <c r="C400" s="17" t="s">
        <v>1534</v>
      </c>
      <c r="D400" s="17" t="s">
        <v>1944</v>
      </c>
      <c r="E400" s="26">
        <v>1301</v>
      </c>
      <c r="F400" s="26">
        <v>0</v>
      </c>
      <c r="G400" s="26">
        <f t="shared" si="76"/>
        <v>0</v>
      </c>
      <c r="H400" s="26">
        <f t="shared" si="77"/>
        <v>0</v>
      </c>
      <c r="I400" s="26">
        <f t="shared" si="78"/>
        <v>0</v>
      </c>
      <c r="J400" s="72">
        <v>0.01</v>
      </c>
      <c r="K400" s="72">
        <f t="shared" si="79"/>
        <v>13.01</v>
      </c>
      <c r="L400" s="35" t="s">
        <v>1959</v>
      </c>
      <c r="M400" s="35" t="s">
        <v>122</v>
      </c>
      <c r="N400" s="26">
        <f t="shared" si="80"/>
        <v>0</v>
      </c>
      <c r="Y400" s="26">
        <f t="shared" si="81"/>
        <v>0</v>
      </c>
      <c r="Z400" s="26">
        <f t="shared" si="82"/>
        <v>0</v>
      </c>
      <c r="AA400" s="26">
        <f t="shared" si="83"/>
        <v>0</v>
      </c>
      <c r="AC400" s="12">
        <v>21</v>
      </c>
      <c r="AD400" s="12">
        <f>F400*0</f>
        <v>0</v>
      </c>
      <c r="AE400" s="12">
        <f>F400*(1-0)</f>
        <v>0</v>
      </c>
      <c r="AL400" s="12">
        <f t="shared" si="84"/>
        <v>0</v>
      </c>
      <c r="AM400" s="12">
        <f t="shared" si="85"/>
        <v>0</v>
      </c>
      <c r="AN400" s="38" t="s">
        <v>1997</v>
      </c>
      <c r="AO400" s="38" t="s">
        <v>2028</v>
      </c>
      <c r="AP400" s="32" t="s">
        <v>2045</v>
      </c>
    </row>
    <row r="401" spans="1:42" ht="12.75">
      <c r="A401" s="50" t="s">
        <v>340</v>
      </c>
      <c r="B401" s="17" t="s">
        <v>888</v>
      </c>
      <c r="C401" s="17" t="s">
        <v>1535</v>
      </c>
      <c r="D401" s="17" t="s">
        <v>1944</v>
      </c>
      <c r="E401" s="26">
        <v>6</v>
      </c>
      <c r="F401" s="26">
        <v>0</v>
      </c>
      <c r="G401" s="26">
        <f t="shared" si="76"/>
        <v>0</v>
      </c>
      <c r="H401" s="26">
        <f t="shared" si="77"/>
        <v>0</v>
      </c>
      <c r="I401" s="26">
        <f t="shared" si="78"/>
        <v>0</v>
      </c>
      <c r="J401" s="72">
        <v>0.02</v>
      </c>
      <c r="K401" s="72">
        <f t="shared" si="79"/>
        <v>0.12</v>
      </c>
      <c r="L401" s="35" t="s">
        <v>1959</v>
      </c>
      <c r="M401" s="35" t="s">
        <v>122</v>
      </c>
      <c r="N401" s="26">
        <f t="shared" si="80"/>
        <v>0</v>
      </c>
      <c r="Y401" s="26">
        <f t="shared" si="81"/>
        <v>0</v>
      </c>
      <c r="Z401" s="26">
        <f t="shared" si="82"/>
        <v>0</v>
      </c>
      <c r="AA401" s="26">
        <f t="shared" si="83"/>
        <v>0</v>
      </c>
      <c r="AC401" s="12">
        <v>21</v>
      </c>
      <c r="AD401" s="12">
        <f>F401*0</f>
        <v>0</v>
      </c>
      <c r="AE401" s="12">
        <f>F401*(1-0)</f>
        <v>0</v>
      </c>
      <c r="AL401" s="12">
        <f t="shared" si="84"/>
        <v>0</v>
      </c>
      <c r="AM401" s="12">
        <f t="shared" si="85"/>
        <v>0</v>
      </c>
      <c r="AN401" s="38" t="s">
        <v>1997</v>
      </c>
      <c r="AO401" s="38" t="s">
        <v>2028</v>
      </c>
      <c r="AP401" s="32" t="s">
        <v>2045</v>
      </c>
    </row>
    <row r="402" spans="1:42" ht="12.75">
      <c r="A402" s="50" t="s">
        <v>341</v>
      </c>
      <c r="B402" s="17" t="s">
        <v>889</v>
      </c>
      <c r="C402" s="17" t="s">
        <v>1536</v>
      </c>
      <c r="D402" s="17" t="s">
        <v>1944</v>
      </c>
      <c r="E402" s="26">
        <v>78</v>
      </c>
      <c r="F402" s="26">
        <v>0</v>
      </c>
      <c r="G402" s="26">
        <f t="shared" si="76"/>
        <v>0</v>
      </c>
      <c r="H402" s="26">
        <f t="shared" si="77"/>
        <v>0</v>
      </c>
      <c r="I402" s="26">
        <f t="shared" si="78"/>
        <v>0</v>
      </c>
      <c r="J402" s="72">
        <v>0</v>
      </c>
      <c r="K402" s="72">
        <f t="shared" si="79"/>
        <v>0</v>
      </c>
      <c r="L402" s="35" t="s">
        <v>1959</v>
      </c>
      <c r="M402" s="35" t="s">
        <v>122</v>
      </c>
      <c r="N402" s="26">
        <f t="shared" si="80"/>
        <v>0</v>
      </c>
      <c r="Y402" s="26">
        <f t="shared" si="81"/>
        <v>0</v>
      </c>
      <c r="Z402" s="26">
        <f t="shared" si="82"/>
        <v>0</v>
      </c>
      <c r="AA402" s="26">
        <f t="shared" si="83"/>
        <v>0</v>
      </c>
      <c r="AC402" s="12">
        <v>21</v>
      </c>
      <c r="AD402" s="12">
        <f>F402*0</f>
        <v>0</v>
      </c>
      <c r="AE402" s="12">
        <f>F402*(1-0)</f>
        <v>0</v>
      </c>
      <c r="AL402" s="12">
        <f t="shared" si="84"/>
        <v>0</v>
      </c>
      <c r="AM402" s="12">
        <f t="shared" si="85"/>
        <v>0</v>
      </c>
      <c r="AN402" s="38" t="s">
        <v>1997</v>
      </c>
      <c r="AO402" s="38" t="s">
        <v>2028</v>
      </c>
      <c r="AP402" s="32" t="s">
        <v>2045</v>
      </c>
    </row>
    <row r="403" spans="1:42" ht="12.75">
      <c r="A403" s="50" t="s">
        <v>342</v>
      </c>
      <c r="B403" s="17" t="s">
        <v>890</v>
      </c>
      <c r="C403" s="17" t="s">
        <v>1537</v>
      </c>
      <c r="D403" s="17" t="s">
        <v>1944</v>
      </c>
      <c r="E403" s="26">
        <v>3</v>
      </c>
      <c r="F403" s="26">
        <v>0</v>
      </c>
      <c r="G403" s="26">
        <f t="shared" si="76"/>
        <v>0</v>
      </c>
      <c r="H403" s="26">
        <f t="shared" si="77"/>
        <v>0</v>
      </c>
      <c r="I403" s="26">
        <f t="shared" si="78"/>
        <v>0</v>
      </c>
      <c r="J403" s="72">
        <v>0</v>
      </c>
      <c r="K403" s="72">
        <f t="shared" si="79"/>
        <v>0</v>
      </c>
      <c r="L403" s="35" t="s">
        <v>1959</v>
      </c>
      <c r="M403" s="35" t="s">
        <v>122</v>
      </c>
      <c r="N403" s="26">
        <f t="shared" si="80"/>
        <v>0</v>
      </c>
      <c r="Y403" s="26">
        <f t="shared" si="81"/>
        <v>0</v>
      </c>
      <c r="Z403" s="26">
        <f t="shared" si="82"/>
        <v>0</v>
      </c>
      <c r="AA403" s="26">
        <f t="shared" si="83"/>
        <v>0</v>
      </c>
      <c r="AC403" s="12">
        <v>21</v>
      </c>
      <c r="AD403" s="12">
        <f>F403*0</f>
        <v>0</v>
      </c>
      <c r="AE403" s="12">
        <f>F403*(1-0)</f>
        <v>0</v>
      </c>
      <c r="AL403" s="12">
        <f t="shared" si="84"/>
        <v>0</v>
      </c>
      <c r="AM403" s="12">
        <f t="shared" si="85"/>
        <v>0</v>
      </c>
      <c r="AN403" s="38" t="s">
        <v>1997</v>
      </c>
      <c r="AO403" s="38" t="s">
        <v>2028</v>
      </c>
      <c r="AP403" s="32" t="s">
        <v>2045</v>
      </c>
    </row>
    <row r="404" spans="1:42" ht="12.75">
      <c r="A404" s="50" t="s">
        <v>343</v>
      </c>
      <c r="B404" s="17" t="s">
        <v>890</v>
      </c>
      <c r="C404" s="17" t="s">
        <v>1538</v>
      </c>
      <c r="D404" s="17" t="s">
        <v>1944</v>
      </c>
      <c r="E404" s="26">
        <v>2</v>
      </c>
      <c r="F404" s="26">
        <v>0</v>
      </c>
      <c r="G404" s="26">
        <f t="shared" si="76"/>
        <v>0</v>
      </c>
      <c r="H404" s="26">
        <f t="shared" si="77"/>
        <v>0</v>
      </c>
      <c r="I404" s="26">
        <f t="shared" si="78"/>
        <v>0</v>
      </c>
      <c r="J404" s="72">
        <v>0</v>
      </c>
      <c r="K404" s="72">
        <f t="shared" si="79"/>
        <v>0</v>
      </c>
      <c r="L404" s="35" t="s">
        <v>1959</v>
      </c>
      <c r="M404" s="35" t="s">
        <v>122</v>
      </c>
      <c r="N404" s="26">
        <f t="shared" si="80"/>
        <v>0</v>
      </c>
      <c r="Y404" s="26">
        <f t="shared" si="81"/>
        <v>0</v>
      </c>
      <c r="Z404" s="26">
        <f t="shared" si="82"/>
        <v>0</v>
      </c>
      <c r="AA404" s="26">
        <f t="shared" si="83"/>
        <v>0</v>
      </c>
      <c r="AC404" s="12">
        <v>21</v>
      </c>
      <c r="AD404" s="12">
        <f>F404*0</f>
        <v>0</v>
      </c>
      <c r="AE404" s="12">
        <f>F404*(1-0)</f>
        <v>0</v>
      </c>
      <c r="AL404" s="12">
        <f t="shared" si="84"/>
        <v>0</v>
      </c>
      <c r="AM404" s="12">
        <f t="shared" si="85"/>
        <v>0</v>
      </c>
      <c r="AN404" s="38" t="s">
        <v>1997</v>
      </c>
      <c r="AO404" s="38" t="s">
        <v>2028</v>
      </c>
      <c r="AP404" s="32" t="s">
        <v>2045</v>
      </c>
    </row>
    <row r="405" spans="1:42" ht="12.75">
      <c r="A405" s="50" t="s">
        <v>344</v>
      </c>
      <c r="B405" s="17" t="s">
        <v>891</v>
      </c>
      <c r="C405" s="17" t="s">
        <v>1539</v>
      </c>
      <c r="D405" s="17" t="s">
        <v>1941</v>
      </c>
      <c r="E405" s="26">
        <v>0.64</v>
      </c>
      <c r="F405" s="26">
        <v>0</v>
      </c>
      <c r="G405" s="26">
        <f t="shared" si="76"/>
        <v>0</v>
      </c>
      <c r="H405" s="26">
        <f t="shared" si="77"/>
        <v>0</v>
      </c>
      <c r="I405" s="26">
        <f t="shared" si="78"/>
        <v>0</v>
      </c>
      <c r="J405" s="72">
        <v>0.041</v>
      </c>
      <c r="K405" s="72">
        <f t="shared" si="79"/>
        <v>0.026240000000000003</v>
      </c>
      <c r="L405" s="35" t="s">
        <v>1959</v>
      </c>
      <c r="M405" s="35" t="s">
        <v>122</v>
      </c>
      <c r="N405" s="26">
        <f t="shared" si="80"/>
        <v>0</v>
      </c>
      <c r="Y405" s="26">
        <f t="shared" si="81"/>
        <v>0</v>
      </c>
      <c r="Z405" s="26">
        <f t="shared" si="82"/>
        <v>0</v>
      </c>
      <c r="AA405" s="26">
        <f t="shared" si="83"/>
        <v>0</v>
      </c>
      <c r="AC405" s="12">
        <v>21</v>
      </c>
      <c r="AD405" s="12">
        <f>F405*0.277659574468085</f>
        <v>0</v>
      </c>
      <c r="AE405" s="12">
        <f>F405*(1-0.277659574468085)</f>
        <v>0</v>
      </c>
      <c r="AL405" s="12">
        <f t="shared" si="84"/>
        <v>0</v>
      </c>
      <c r="AM405" s="12">
        <f t="shared" si="85"/>
        <v>0</v>
      </c>
      <c r="AN405" s="38" t="s">
        <v>1997</v>
      </c>
      <c r="AO405" s="38" t="s">
        <v>2028</v>
      </c>
      <c r="AP405" s="32" t="s">
        <v>2045</v>
      </c>
    </row>
    <row r="406" spans="1:42" ht="12.75">
      <c r="A406" s="50" t="s">
        <v>345</v>
      </c>
      <c r="B406" s="17" t="s">
        <v>892</v>
      </c>
      <c r="C406" s="17" t="s">
        <v>1540</v>
      </c>
      <c r="D406" s="17" t="s">
        <v>1941</v>
      </c>
      <c r="E406" s="26">
        <v>16</v>
      </c>
      <c r="F406" s="26">
        <v>0</v>
      </c>
      <c r="G406" s="26">
        <f t="shared" si="76"/>
        <v>0</v>
      </c>
      <c r="H406" s="26">
        <f t="shared" si="77"/>
        <v>0</v>
      </c>
      <c r="I406" s="26">
        <f t="shared" si="78"/>
        <v>0</v>
      </c>
      <c r="J406" s="72">
        <v>0.075</v>
      </c>
      <c r="K406" s="72">
        <f t="shared" si="79"/>
        <v>1.2</v>
      </c>
      <c r="L406" s="35" t="s">
        <v>1959</v>
      </c>
      <c r="M406" s="35" t="s">
        <v>122</v>
      </c>
      <c r="N406" s="26">
        <f t="shared" si="80"/>
        <v>0</v>
      </c>
      <c r="Y406" s="26">
        <f t="shared" si="81"/>
        <v>0</v>
      </c>
      <c r="Z406" s="26">
        <f t="shared" si="82"/>
        <v>0</v>
      </c>
      <c r="AA406" s="26">
        <f t="shared" si="83"/>
        <v>0</v>
      </c>
      <c r="AC406" s="12">
        <v>21</v>
      </c>
      <c r="AD406" s="12">
        <f>F406*0.176053962900506</f>
        <v>0</v>
      </c>
      <c r="AE406" s="12">
        <f>F406*(1-0.176053962900506)</f>
        <v>0</v>
      </c>
      <c r="AL406" s="12">
        <f t="shared" si="84"/>
        <v>0</v>
      </c>
      <c r="AM406" s="12">
        <f t="shared" si="85"/>
        <v>0</v>
      </c>
      <c r="AN406" s="38" t="s">
        <v>1997</v>
      </c>
      <c r="AO406" s="38" t="s">
        <v>2028</v>
      </c>
      <c r="AP406" s="32" t="s">
        <v>2045</v>
      </c>
    </row>
    <row r="407" spans="1:42" ht="12.75">
      <c r="A407" s="50" t="s">
        <v>346</v>
      </c>
      <c r="B407" s="17" t="s">
        <v>893</v>
      </c>
      <c r="C407" s="17" t="s">
        <v>1541</v>
      </c>
      <c r="D407" s="17" t="s">
        <v>1941</v>
      </c>
      <c r="E407" s="26">
        <v>47</v>
      </c>
      <c r="F407" s="26">
        <v>0</v>
      </c>
      <c r="G407" s="26">
        <f t="shared" si="76"/>
        <v>0</v>
      </c>
      <c r="H407" s="26">
        <f t="shared" si="77"/>
        <v>0</v>
      </c>
      <c r="I407" s="26">
        <f t="shared" si="78"/>
        <v>0</v>
      </c>
      <c r="J407" s="72">
        <v>0.062</v>
      </c>
      <c r="K407" s="72">
        <f t="shared" si="79"/>
        <v>2.914</v>
      </c>
      <c r="L407" s="35" t="s">
        <v>1959</v>
      </c>
      <c r="M407" s="35" t="s">
        <v>122</v>
      </c>
      <c r="N407" s="26">
        <f t="shared" si="80"/>
        <v>0</v>
      </c>
      <c r="Y407" s="26">
        <f t="shared" si="81"/>
        <v>0</v>
      </c>
      <c r="Z407" s="26">
        <f t="shared" si="82"/>
        <v>0</v>
      </c>
      <c r="AA407" s="26">
        <f t="shared" si="83"/>
        <v>0</v>
      </c>
      <c r="AC407" s="12">
        <v>21</v>
      </c>
      <c r="AD407" s="12">
        <f>F407*0.133024191295603</f>
        <v>0</v>
      </c>
      <c r="AE407" s="12">
        <f>F407*(1-0.133024191295603)</f>
        <v>0</v>
      </c>
      <c r="AL407" s="12">
        <f t="shared" si="84"/>
        <v>0</v>
      </c>
      <c r="AM407" s="12">
        <f t="shared" si="85"/>
        <v>0</v>
      </c>
      <c r="AN407" s="38" t="s">
        <v>1997</v>
      </c>
      <c r="AO407" s="38" t="s">
        <v>2028</v>
      </c>
      <c r="AP407" s="32" t="s">
        <v>2045</v>
      </c>
    </row>
    <row r="408" spans="1:42" ht="12.75">
      <c r="A408" s="50" t="s">
        <v>347</v>
      </c>
      <c r="B408" s="17" t="s">
        <v>894</v>
      </c>
      <c r="C408" s="17" t="s">
        <v>1542</v>
      </c>
      <c r="D408" s="17" t="s">
        <v>1941</v>
      </c>
      <c r="E408" s="26">
        <v>35</v>
      </c>
      <c r="F408" s="26">
        <v>0</v>
      </c>
      <c r="G408" s="26">
        <f t="shared" si="76"/>
        <v>0</v>
      </c>
      <c r="H408" s="26">
        <f t="shared" si="77"/>
        <v>0</v>
      </c>
      <c r="I408" s="26">
        <f t="shared" si="78"/>
        <v>0</v>
      </c>
      <c r="J408" s="72">
        <v>0.054</v>
      </c>
      <c r="K408" s="72">
        <f t="shared" si="79"/>
        <v>1.89</v>
      </c>
      <c r="L408" s="35" t="s">
        <v>1959</v>
      </c>
      <c r="M408" s="35" t="s">
        <v>122</v>
      </c>
      <c r="N408" s="26">
        <f t="shared" si="80"/>
        <v>0</v>
      </c>
      <c r="Y408" s="26">
        <f t="shared" si="81"/>
        <v>0</v>
      </c>
      <c r="Z408" s="26">
        <f t="shared" si="82"/>
        <v>0</v>
      </c>
      <c r="AA408" s="26">
        <f t="shared" si="83"/>
        <v>0</v>
      </c>
      <c r="AC408" s="12">
        <v>21</v>
      </c>
      <c r="AD408" s="12">
        <f>F408*0.155871886120996</f>
        <v>0</v>
      </c>
      <c r="AE408" s="12">
        <f>F408*(1-0.155871886120996)</f>
        <v>0</v>
      </c>
      <c r="AL408" s="12">
        <f t="shared" si="84"/>
        <v>0</v>
      </c>
      <c r="AM408" s="12">
        <f t="shared" si="85"/>
        <v>0</v>
      </c>
      <c r="AN408" s="38" t="s">
        <v>1997</v>
      </c>
      <c r="AO408" s="38" t="s">
        <v>2028</v>
      </c>
      <c r="AP408" s="32" t="s">
        <v>2045</v>
      </c>
    </row>
    <row r="409" spans="1:42" ht="12.75">
      <c r="A409" s="50" t="s">
        <v>348</v>
      </c>
      <c r="B409" s="17" t="s">
        <v>895</v>
      </c>
      <c r="C409" s="17" t="s">
        <v>1543</v>
      </c>
      <c r="D409" s="17" t="s">
        <v>1941</v>
      </c>
      <c r="E409" s="26">
        <v>62</v>
      </c>
      <c r="F409" s="26">
        <v>0</v>
      </c>
      <c r="G409" s="26">
        <f t="shared" si="76"/>
        <v>0</v>
      </c>
      <c r="H409" s="26">
        <f t="shared" si="77"/>
        <v>0</v>
      </c>
      <c r="I409" s="26">
        <f t="shared" si="78"/>
        <v>0</v>
      </c>
      <c r="J409" s="72">
        <v>0.047</v>
      </c>
      <c r="K409" s="72">
        <f t="shared" si="79"/>
        <v>2.914</v>
      </c>
      <c r="L409" s="35" t="s">
        <v>1959</v>
      </c>
      <c r="M409" s="35" t="s">
        <v>122</v>
      </c>
      <c r="N409" s="26">
        <f t="shared" si="80"/>
        <v>0</v>
      </c>
      <c r="Y409" s="26">
        <f t="shared" si="81"/>
        <v>0</v>
      </c>
      <c r="Z409" s="26">
        <f t="shared" si="82"/>
        <v>0</v>
      </c>
      <c r="AA409" s="26">
        <f t="shared" si="83"/>
        <v>0</v>
      </c>
      <c r="AC409" s="12">
        <v>21</v>
      </c>
      <c r="AD409" s="12">
        <f>F409*0.162323651452282</f>
        <v>0</v>
      </c>
      <c r="AE409" s="12">
        <f>F409*(1-0.162323651452282)</f>
        <v>0</v>
      </c>
      <c r="AL409" s="12">
        <f t="shared" si="84"/>
        <v>0</v>
      </c>
      <c r="AM409" s="12">
        <f t="shared" si="85"/>
        <v>0</v>
      </c>
      <c r="AN409" s="38" t="s">
        <v>1997</v>
      </c>
      <c r="AO409" s="38" t="s">
        <v>2028</v>
      </c>
      <c r="AP409" s="32" t="s">
        <v>2045</v>
      </c>
    </row>
    <row r="410" spans="1:42" ht="12.75">
      <c r="A410" s="50" t="s">
        <v>349</v>
      </c>
      <c r="B410" s="17" t="s">
        <v>896</v>
      </c>
      <c r="C410" s="17" t="s">
        <v>1544</v>
      </c>
      <c r="D410" s="17" t="s">
        <v>1941</v>
      </c>
      <c r="E410" s="26">
        <v>1.92</v>
      </c>
      <c r="F410" s="26">
        <v>0</v>
      </c>
      <c r="G410" s="26">
        <f t="shared" si="76"/>
        <v>0</v>
      </c>
      <c r="H410" s="26">
        <f t="shared" si="77"/>
        <v>0</v>
      </c>
      <c r="I410" s="26">
        <f t="shared" si="78"/>
        <v>0</v>
      </c>
      <c r="J410" s="72">
        <v>0.088</v>
      </c>
      <c r="K410" s="72">
        <f t="shared" si="79"/>
        <v>0.16895999999999997</v>
      </c>
      <c r="L410" s="35" t="s">
        <v>1959</v>
      </c>
      <c r="M410" s="35" t="s">
        <v>122</v>
      </c>
      <c r="N410" s="26">
        <f t="shared" si="80"/>
        <v>0</v>
      </c>
      <c r="Y410" s="26">
        <f t="shared" si="81"/>
        <v>0</v>
      </c>
      <c r="Z410" s="26">
        <f t="shared" si="82"/>
        <v>0</v>
      </c>
      <c r="AA410" s="26">
        <f t="shared" si="83"/>
        <v>0</v>
      </c>
      <c r="AC410" s="12">
        <v>21</v>
      </c>
      <c r="AD410" s="12">
        <f>F410*0.164306784660767</f>
        <v>0</v>
      </c>
      <c r="AE410" s="12">
        <f>F410*(1-0.164306784660767)</f>
        <v>0</v>
      </c>
      <c r="AL410" s="12">
        <f t="shared" si="84"/>
        <v>0</v>
      </c>
      <c r="AM410" s="12">
        <f t="shared" si="85"/>
        <v>0</v>
      </c>
      <c r="AN410" s="38" t="s">
        <v>1997</v>
      </c>
      <c r="AO410" s="38" t="s">
        <v>2028</v>
      </c>
      <c r="AP410" s="32" t="s">
        <v>2045</v>
      </c>
    </row>
    <row r="411" spans="1:42" ht="12.75">
      <c r="A411" s="50" t="s">
        <v>350</v>
      </c>
      <c r="B411" s="17" t="s">
        <v>897</v>
      </c>
      <c r="C411" s="17" t="s">
        <v>1545</v>
      </c>
      <c r="D411" s="17" t="s">
        <v>1941</v>
      </c>
      <c r="E411" s="26">
        <v>5.91</v>
      </c>
      <c r="F411" s="26">
        <v>0</v>
      </c>
      <c r="G411" s="26">
        <f t="shared" si="76"/>
        <v>0</v>
      </c>
      <c r="H411" s="26">
        <f t="shared" si="77"/>
        <v>0</v>
      </c>
      <c r="I411" s="26">
        <f t="shared" si="78"/>
        <v>0</v>
      </c>
      <c r="J411" s="72">
        <v>0.067</v>
      </c>
      <c r="K411" s="72">
        <f t="shared" si="79"/>
        <v>0.39597000000000004</v>
      </c>
      <c r="L411" s="35" t="s">
        <v>1959</v>
      </c>
      <c r="M411" s="35" t="s">
        <v>122</v>
      </c>
      <c r="N411" s="26">
        <f t="shared" si="80"/>
        <v>0</v>
      </c>
      <c r="Y411" s="26">
        <f t="shared" si="81"/>
        <v>0</v>
      </c>
      <c r="Z411" s="26">
        <f t="shared" si="82"/>
        <v>0</v>
      </c>
      <c r="AA411" s="26">
        <f t="shared" si="83"/>
        <v>0</v>
      </c>
      <c r="AC411" s="12">
        <v>21</v>
      </c>
      <c r="AD411" s="12">
        <f>F411*0.0999824438202247</f>
        <v>0</v>
      </c>
      <c r="AE411" s="12">
        <f>F411*(1-0.0999824438202247)</f>
        <v>0</v>
      </c>
      <c r="AL411" s="12">
        <f t="shared" si="84"/>
        <v>0</v>
      </c>
      <c r="AM411" s="12">
        <f t="shared" si="85"/>
        <v>0</v>
      </c>
      <c r="AN411" s="38" t="s">
        <v>1997</v>
      </c>
      <c r="AO411" s="38" t="s">
        <v>2028</v>
      </c>
      <c r="AP411" s="32" t="s">
        <v>2045</v>
      </c>
    </row>
    <row r="412" spans="1:42" ht="12.75">
      <c r="A412" s="50" t="s">
        <v>351</v>
      </c>
      <c r="B412" s="17" t="s">
        <v>897</v>
      </c>
      <c r="C412" s="17" t="s">
        <v>1546</v>
      </c>
      <c r="D412" s="17" t="s">
        <v>1941</v>
      </c>
      <c r="E412" s="26">
        <v>4.2</v>
      </c>
      <c r="F412" s="26">
        <v>0</v>
      </c>
      <c r="G412" s="26">
        <f t="shared" si="76"/>
        <v>0</v>
      </c>
      <c r="H412" s="26">
        <f t="shared" si="77"/>
        <v>0</v>
      </c>
      <c r="I412" s="26">
        <f t="shared" si="78"/>
        <v>0</v>
      </c>
      <c r="J412" s="72">
        <v>0.067</v>
      </c>
      <c r="K412" s="72">
        <f t="shared" si="79"/>
        <v>0.28140000000000004</v>
      </c>
      <c r="L412" s="35" t="s">
        <v>1959</v>
      </c>
      <c r="M412" s="35" t="s">
        <v>122</v>
      </c>
      <c r="N412" s="26">
        <f t="shared" si="80"/>
        <v>0</v>
      </c>
      <c r="Y412" s="26">
        <f t="shared" si="81"/>
        <v>0</v>
      </c>
      <c r="Z412" s="26">
        <f t="shared" si="82"/>
        <v>0</v>
      </c>
      <c r="AA412" s="26">
        <f t="shared" si="83"/>
        <v>0</v>
      </c>
      <c r="AC412" s="12">
        <v>21</v>
      </c>
      <c r="AD412" s="12">
        <f>F412*0.149278996865204</f>
        <v>0</v>
      </c>
      <c r="AE412" s="12">
        <f>F412*(1-0.149278996865204)</f>
        <v>0</v>
      </c>
      <c r="AL412" s="12">
        <f t="shared" si="84"/>
        <v>0</v>
      </c>
      <c r="AM412" s="12">
        <f t="shared" si="85"/>
        <v>0</v>
      </c>
      <c r="AN412" s="38" t="s">
        <v>1997</v>
      </c>
      <c r="AO412" s="38" t="s">
        <v>2028</v>
      </c>
      <c r="AP412" s="32" t="s">
        <v>2045</v>
      </c>
    </row>
    <row r="413" spans="1:42" ht="12.75">
      <c r="A413" s="50" t="s">
        <v>352</v>
      </c>
      <c r="B413" s="17" t="s">
        <v>898</v>
      </c>
      <c r="C413" s="17" t="s">
        <v>1547</v>
      </c>
      <c r="D413" s="17" t="s">
        <v>1944</v>
      </c>
      <c r="E413" s="26">
        <v>2</v>
      </c>
      <c r="F413" s="26">
        <v>0</v>
      </c>
      <c r="G413" s="26">
        <f t="shared" si="76"/>
        <v>0</v>
      </c>
      <c r="H413" s="26">
        <f t="shared" si="77"/>
        <v>0</v>
      </c>
      <c r="I413" s="26">
        <f t="shared" si="78"/>
        <v>0</v>
      </c>
      <c r="J413" s="72">
        <v>0</v>
      </c>
      <c r="K413" s="72">
        <f t="shared" si="79"/>
        <v>0</v>
      </c>
      <c r="L413" s="35" t="s">
        <v>1959</v>
      </c>
      <c r="M413" s="35" t="s">
        <v>122</v>
      </c>
      <c r="N413" s="26">
        <f t="shared" si="80"/>
        <v>0</v>
      </c>
      <c r="Y413" s="26">
        <f t="shared" si="81"/>
        <v>0</v>
      </c>
      <c r="Z413" s="26">
        <f t="shared" si="82"/>
        <v>0</v>
      </c>
      <c r="AA413" s="26">
        <f t="shared" si="83"/>
        <v>0</v>
      </c>
      <c r="AC413" s="12">
        <v>21</v>
      </c>
      <c r="AD413" s="12">
        <f>F413*0</f>
        <v>0</v>
      </c>
      <c r="AE413" s="12">
        <f>F413*(1-0)</f>
        <v>0</v>
      </c>
      <c r="AL413" s="12">
        <f t="shared" si="84"/>
        <v>0</v>
      </c>
      <c r="AM413" s="12">
        <f t="shared" si="85"/>
        <v>0</v>
      </c>
      <c r="AN413" s="38" t="s">
        <v>1997</v>
      </c>
      <c r="AO413" s="38" t="s">
        <v>2028</v>
      </c>
      <c r="AP413" s="32" t="s">
        <v>2045</v>
      </c>
    </row>
    <row r="414" spans="1:42" ht="12.75">
      <c r="A414" s="50" t="s">
        <v>353</v>
      </c>
      <c r="B414" s="17" t="s">
        <v>899</v>
      </c>
      <c r="C414" s="17" t="s">
        <v>1548</v>
      </c>
      <c r="D414" s="17" t="s">
        <v>1944</v>
      </c>
      <c r="E414" s="26">
        <v>7</v>
      </c>
      <c r="F414" s="26">
        <v>0</v>
      </c>
      <c r="G414" s="26">
        <f t="shared" si="76"/>
        <v>0</v>
      </c>
      <c r="H414" s="26">
        <f t="shared" si="77"/>
        <v>0</v>
      </c>
      <c r="I414" s="26">
        <f t="shared" si="78"/>
        <v>0</v>
      </c>
      <c r="J414" s="72">
        <v>0</v>
      </c>
      <c r="K414" s="72">
        <f t="shared" si="79"/>
        <v>0</v>
      </c>
      <c r="L414" s="35" t="s">
        <v>1959</v>
      </c>
      <c r="M414" s="35" t="s">
        <v>122</v>
      </c>
      <c r="N414" s="26">
        <f t="shared" si="80"/>
        <v>0</v>
      </c>
      <c r="Y414" s="26">
        <f t="shared" si="81"/>
        <v>0</v>
      </c>
      <c r="Z414" s="26">
        <f t="shared" si="82"/>
        <v>0</v>
      </c>
      <c r="AA414" s="26">
        <f t="shared" si="83"/>
        <v>0</v>
      </c>
      <c r="AC414" s="12">
        <v>21</v>
      </c>
      <c r="AD414" s="12">
        <f>F414*0</f>
        <v>0</v>
      </c>
      <c r="AE414" s="12">
        <f>F414*(1-0)</f>
        <v>0</v>
      </c>
      <c r="AL414" s="12">
        <f t="shared" si="84"/>
        <v>0</v>
      </c>
      <c r="AM414" s="12">
        <f t="shared" si="85"/>
        <v>0</v>
      </c>
      <c r="AN414" s="38" t="s">
        <v>1997</v>
      </c>
      <c r="AO414" s="38" t="s">
        <v>2028</v>
      </c>
      <c r="AP414" s="32" t="s">
        <v>2045</v>
      </c>
    </row>
    <row r="415" spans="1:42" ht="12.75">
      <c r="A415" s="50" t="s">
        <v>354</v>
      </c>
      <c r="B415" s="17" t="s">
        <v>899</v>
      </c>
      <c r="C415" s="17" t="s">
        <v>1549</v>
      </c>
      <c r="D415" s="17" t="s">
        <v>1944</v>
      </c>
      <c r="E415" s="26">
        <v>2</v>
      </c>
      <c r="F415" s="26">
        <v>0</v>
      </c>
      <c r="G415" s="26">
        <f t="shared" si="76"/>
        <v>0</v>
      </c>
      <c r="H415" s="26">
        <f t="shared" si="77"/>
        <v>0</v>
      </c>
      <c r="I415" s="26">
        <f t="shared" si="78"/>
        <v>0</v>
      </c>
      <c r="J415" s="72">
        <v>0</v>
      </c>
      <c r="K415" s="72">
        <f t="shared" si="79"/>
        <v>0</v>
      </c>
      <c r="L415" s="35" t="s">
        <v>1959</v>
      </c>
      <c r="M415" s="35" t="s">
        <v>122</v>
      </c>
      <c r="N415" s="26">
        <f t="shared" si="80"/>
        <v>0</v>
      </c>
      <c r="Y415" s="26">
        <f t="shared" si="81"/>
        <v>0</v>
      </c>
      <c r="Z415" s="26">
        <f t="shared" si="82"/>
        <v>0</v>
      </c>
      <c r="AA415" s="26">
        <f t="shared" si="83"/>
        <v>0</v>
      </c>
      <c r="AC415" s="12">
        <v>21</v>
      </c>
      <c r="AD415" s="12">
        <f>F415*0</f>
        <v>0</v>
      </c>
      <c r="AE415" s="12">
        <f>F415*(1-0)</f>
        <v>0</v>
      </c>
      <c r="AL415" s="12">
        <f t="shared" si="84"/>
        <v>0</v>
      </c>
      <c r="AM415" s="12">
        <f t="shared" si="85"/>
        <v>0</v>
      </c>
      <c r="AN415" s="38" t="s">
        <v>1997</v>
      </c>
      <c r="AO415" s="38" t="s">
        <v>2028</v>
      </c>
      <c r="AP415" s="32" t="s">
        <v>2045</v>
      </c>
    </row>
    <row r="416" spans="1:42" ht="12.75">
      <c r="A416" s="50" t="s">
        <v>355</v>
      </c>
      <c r="B416" s="17" t="s">
        <v>900</v>
      </c>
      <c r="C416" s="17" t="s">
        <v>1550</v>
      </c>
      <c r="D416" s="17" t="s">
        <v>1944</v>
      </c>
      <c r="E416" s="26">
        <v>1</v>
      </c>
      <c r="F416" s="26">
        <v>0</v>
      </c>
      <c r="G416" s="26">
        <f t="shared" si="76"/>
        <v>0</v>
      </c>
      <c r="H416" s="26">
        <f t="shared" si="77"/>
        <v>0</v>
      </c>
      <c r="I416" s="26">
        <f t="shared" si="78"/>
        <v>0</v>
      </c>
      <c r="J416" s="72">
        <v>0</v>
      </c>
      <c r="K416" s="72">
        <f t="shared" si="79"/>
        <v>0</v>
      </c>
      <c r="L416" s="35" t="s">
        <v>1959</v>
      </c>
      <c r="M416" s="35" t="s">
        <v>122</v>
      </c>
      <c r="N416" s="26">
        <f t="shared" si="80"/>
        <v>0</v>
      </c>
      <c r="Y416" s="26">
        <f t="shared" si="81"/>
        <v>0</v>
      </c>
      <c r="Z416" s="26">
        <f t="shared" si="82"/>
        <v>0</v>
      </c>
      <c r="AA416" s="26">
        <f t="shared" si="83"/>
        <v>0</v>
      </c>
      <c r="AC416" s="12">
        <v>21</v>
      </c>
      <c r="AD416" s="12">
        <f>F416*0</f>
        <v>0</v>
      </c>
      <c r="AE416" s="12">
        <f>F416*(1-0)</f>
        <v>0</v>
      </c>
      <c r="AL416" s="12">
        <f t="shared" si="84"/>
        <v>0</v>
      </c>
      <c r="AM416" s="12">
        <f t="shared" si="85"/>
        <v>0</v>
      </c>
      <c r="AN416" s="38" t="s">
        <v>1997</v>
      </c>
      <c r="AO416" s="38" t="s">
        <v>2028</v>
      </c>
      <c r="AP416" s="32" t="s">
        <v>2045</v>
      </c>
    </row>
    <row r="417" spans="1:42" ht="12.75">
      <c r="A417" s="50" t="s">
        <v>356</v>
      </c>
      <c r="B417" s="17" t="s">
        <v>900</v>
      </c>
      <c r="C417" s="17" t="s">
        <v>1551</v>
      </c>
      <c r="D417" s="17" t="s">
        <v>1944</v>
      </c>
      <c r="E417" s="26">
        <v>2</v>
      </c>
      <c r="F417" s="26">
        <v>0</v>
      </c>
      <c r="G417" s="26">
        <f t="shared" si="76"/>
        <v>0</v>
      </c>
      <c r="H417" s="26">
        <f t="shared" si="77"/>
        <v>0</v>
      </c>
      <c r="I417" s="26">
        <f t="shared" si="78"/>
        <v>0</v>
      </c>
      <c r="J417" s="72">
        <v>0</v>
      </c>
      <c r="K417" s="72">
        <f t="shared" si="79"/>
        <v>0</v>
      </c>
      <c r="L417" s="35" t="s">
        <v>1959</v>
      </c>
      <c r="M417" s="35" t="s">
        <v>122</v>
      </c>
      <c r="N417" s="26">
        <f t="shared" si="80"/>
        <v>0</v>
      </c>
      <c r="Y417" s="26">
        <f t="shared" si="81"/>
        <v>0</v>
      </c>
      <c r="Z417" s="26">
        <f t="shared" si="82"/>
        <v>0</v>
      </c>
      <c r="AA417" s="26">
        <f t="shared" si="83"/>
        <v>0</v>
      </c>
      <c r="AC417" s="12">
        <v>21</v>
      </c>
      <c r="AD417" s="12">
        <f>F417*0</f>
        <v>0</v>
      </c>
      <c r="AE417" s="12">
        <f>F417*(1-0)</f>
        <v>0</v>
      </c>
      <c r="AL417" s="12">
        <f t="shared" si="84"/>
        <v>0</v>
      </c>
      <c r="AM417" s="12">
        <f t="shared" si="85"/>
        <v>0</v>
      </c>
      <c r="AN417" s="38" t="s">
        <v>1997</v>
      </c>
      <c r="AO417" s="38" t="s">
        <v>2028</v>
      </c>
      <c r="AP417" s="32" t="s">
        <v>2045</v>
      </c>
    </row>
    <row r="418" spans="1:42" ht="12.75">
      <c r="A418" s="50" t="s">
        <v>357</v>
      </c>
      <c r="B418" s="17" t="s">
        <v>901</v>
      </c>
      <c r="C418" s="17" t="s">
        <v>1552</v>
      </c>
      <c r="D418" s="17" t="s">
        <v>1941</v>
      </c>
      <c r="E418" s="26">
        <v>113.78</v>
      </c>
      <c r="F418" s="26">
        <v>0</v>
      </c>
      <c r="G418" s="26">
        <f t="shared" si="76"/>
        <v>0</v>
      </c>
      <c r="H418" s="26">
        <f t="shared" si="77"/>
        <v>0</v>
      </c>
      <c r="I418" s="26">
        <f t="shared" si="78"/>
        <v>0</v>
      </c>
      <c r="J418" s="72">
        <v>0.076</v>
      </c>
      <c r="K418" s="72">
        <f t="shared" si="79"/>
        <v>8.64728</v>
      </c>
      <c r="L418" s="35" t="s">
        <v>1959</v>
      </c>
      <c r="M418" s="35" t="s">
        <v>122</v>
      </c>
      <c r="N418" s="26">
        <f t="shared" si="80"/>
        <v>0</v>
      </c>
      <c r="Y418" s="26">
        <f t="shared" si="81"/>
        <v>0</v>
      </c>
      <c r="Z418" s="26">
        <f t="shared" si="82"/>
        <v>0</v>
      </c>
      <c r="AA418" s="26">
        <f t="shared" si="83"/>
        <v>0</v>
      </c>
      <c r="AC418" s="12">
        <v>21</v>
      </c>
      <c r="AD418" s="12">
        <f>F418*0.105094339622642</f>
        <v>0</v>
      </c>
      <c r="AE418" s="12">
        <f>F418*(1-0.105094339622642)</f>
        <v>0</v>
      </c>
      <c r="AL418" s="12">
        <f t="shared" si="84"/>
        <v>0</v>
      </c>
      <c r="AM418" s="12">
        <f t="shared" si="85"/>
        <v>0</v>
      </c>
      <c r="AN418" s="38" t="s">
        <v>1997</v>
      </c>
      <c r="AO418" s="38" t="s">
        <v>2028</v>
      </c>
      <c r="AP418" s="32" t="s">
        <v>2045</v>
      </c>
    </row>
    <row r="419" spans="1:42" ht="12.75">
      <c r="A419" s="50" t="s">
        <v>358</v>
      </c>
      <c r="B419" s="17" t="s">
        <v>902</v>
      </c>
      <c r="C419" s="17" t="s">
        <v>1553</v>
      </c>
      <c r="D419" s="17" t="s">
        <v>1941</v>
      </c>
      <c r="E419" s="26">
        <v>60.23</v>
      </c>
      <c r="F419" s="26">
        <v>0</v>
      </c>
      <c r="G419" s="26">
        <f t="shared" si="76"/>
        <v>0</v>
      </c>
      <c r="H419" s="26">
        <f t="shared" si="77"/>
        <v>0</v>
      </c>
      <c r="I419" s="26">
        <f t="shared" si="78"/>
        <v>0</v>
      </c>
      <c r="J419" s="72">
        <v>0.063</v>
      </c>
      <c r="K419" s="72">
        <f t="shared" si="79"/>
        <v>3.7944899999999997</v>
      </c>
      <c r="L419" s="35" t="s">
        <v>1959</v>
      </c>
      <c r="M419" s="35" t="s">
        <v>122</v>
      </c>
      <c r="N419" s="26">
        <f t="shared" si="80"/>
        <v>0</v>
      </c>
      <c r="Y419" s="26">
        <f t="shared" si="81"/>
        <v>0</v>
      </c>
      <c r="Z419" s="26">
        <f t="shared" si="82"/>
        <v>0</v>
      </c>
      <c r="AA419" s="26">
        <f t="shared" si="83"/>
        <v>0</v>
      </c>
      <c r="AC419" s="12">
        <v>21</v>
      </c>
      <c r="AD419" s="12">
        <f>F419*0.115863746958637</f>
        <v>0</v>
      </c>
      <c r="AE419" s="12">
        <f>F419*(1-0.115863746958637)</f>
        <v>0</v>
      </c>
      <c r="AL419" s="12">
        <f t="shared" si="84"/>
        <v>0</v>
      </c>
      <c r="AM419" s="12">
        <f t="shared" si="85"/>
        <v>0</v>
      </c>
      <c r="AN419" s="38" t="s">
        <v>1997</v>
      </c>
      <c r="AO419" s="38" t="s">
        <v>2028</v>
      </c>
      <c r="AP419" s="32" t="s">
        <v>2045</v>
      </c>
    </row>
    <row r="420" spans="1:42" ht="12.75">
      <c r="A420" s="50" t="s">
        <v>359</v>
      </c>
      <c r="B420" s="17" t="s">
        <v>902</v>
      </c>
      <c r="C420" s="17" t="s">
        <v>1553</v>
      </c>
      <c r="D420" s="17" t="s">
        <v>1941</v>
      </c>
      <c r="E420" s="26">
        <v>8.1</v>
      </c>
      <c r="F420" s="26">
        <v>0</v>
      </c>
      <c r="G420" s="26">
        <f t="shared" si="76"/>
        <v>0</v>
      </c>
      <c r="H420" s="26">
        <f t="shared" si="77"/>
        <v>0</v>
      </c>
      <c r="I420" s="26">
        <f t="shared" si="78"/>
        <v>0</v>
      </c>
      <c r="J420" s="72">
        <v>0.063</v>
      </c>
      <c r="K420" s="72">
        <f t="shared" si="79"/>
        <v>0.5103</v>
      </c>
      <c r="L420" s="35" t="s">
        <v>1959</v>
      </c>
      <c r="M420" s="35" t="s">
        <v>122</v>
      </c>
      <c r="N420" s="26">
        <f t="shared" si="80"/>
        <v>0</v>
      </c>
      <c r="Y420" s="26">
        <f t="shared" si="81"/>
        <v>0</v>
      </c>
      <c r="Z420" s="26">
        <f t="shared" si="82"/>
        <v>0</v>
      </c>
      <c r="AA420" s="26">
        <f t="shared" si="83"/>
        <v>0</v>
      </c>
      <c r="AC420" s="12">
        <v>21</v>
      </c>
      <c r="AD420" s="12">
        <f>F420*0.115863746958637</f>
        <v>0</v>
      </c>
      <c r="AE420" s="12">
        <f>F420*(1-0.115863746958637)</f>
        <v>0</v>
      </c>
      <c r="AL420" s="12">
        <f t="shared" si="84"/>
        <v>0</v>
      </c>
      <c r="AM420" s="12">
        <f t="shared" si="85"/>
        <v>0</v>
      </c>
      <c r="AN420" s="38" t="s">
        <v>1997</v>
      </c>
      <c r="AO420" s="38" t="s">
        <v>2028</v>
      </c>
      <c r="AP420" s="32" t="s">
        <v>2045</v>
      </c>
    </row>
    <row r="421" spans="1:36" ht="12.75">
      <c r="A421" s="52"/>
      <c r="B421" s="23" t="s">
        <v>46</v>
      </c>
      <c r="C421" s="121" t="s">
        <v>92</v>
      </c>
      <c r="D421" s="122"/>
      <c r="E421" s="122"/>
      <c r="F421" s="122"/>
      <c r="G421" s="40">
        <f>SUM(G422:G454)</f>
        <v>0</v>
      </c>
      <c r="H421" s="40">
        <f>SUM(H422:H454)</f>
        <v>0</v>
      </c>
      <c r="I421" s="40">
        <f>G421+H421</f>
        <v>0</v>
      </c>
      <c r="J421" s="74"/>
      <c r="K421" s="74">
        <f>SUM(K422:K454)</f>
        <v>181.91412</v>
      </c>
      <c r="L421" s="32"/>
      <c r="O421" s="40">
        <f>IF(P421="PR",I421,SUM(N422:N454))</f>
        <v>0</v>
      </c>
      <c r="P421" s="32" t="s">
        <v>1967</v>
      </c>
      <c r="Q421" s="40">
        <f>IF(P421="HS",G421,0)</f>
        <v>0</v>
      </c>
      <c r="R421" s="40">
        <f>IF(P421="HS",H421-O421,0)</f>
        <v>0</v>
      </c>
      <c r="S421" s="40">
        <f>IF(P421="PS",G421,0)</f>
        <v>0</v>
      </c>
      <c r="T421" s="40">
        <f>IF(P421="PS",H421-O421,0)</f>
        <v>0</v>
      </c>
      <c r="U421" s="40">
        <f>IF(P421="MP",G421,0)</f>
        <v>0</v>
      </c>
      <c r="V421" s="40">
        <f>IF(P421="MP",H421-O421,0)</f>
        <v>0</v>
      </c>
      <c r="W421" s="40">
        <f>IF(P421="OM",G421,0)</f>
        <v>0</v>
      </c>
      <c r="X421" s="32"/>
      <c r="AH421" s="40">
        <f>SUM(Y422:Y454)</f>
        <v>0</v>
      </c>
      <c r="AI421" s="40">
        <f>SUM(Z422:Z454)</f>
        <v>0</v>
      </c>
      <c r="AJ421" s="40">
        <f>SUM(AA422:AA454)</f>
        <v>0</v>
      </c>
    </row>
    <row r="422" spans="1:42" ht="12.75">
      <c r="A422" s="50" t="s">
        <v>360</v>
      </c>
      <c r="B422" s="17" t="s">
        <v>903</v>
      </c>
      <c r="C422" s="17" t="s">
        <v>1554</v>
      </c>
      <c r="D422" s="17" t="s">
        <v>1944</v>
      </c>
      <c r="E422" s="26">
        <v>6</v>
      </c>
      <c r="F422" s="26">
        <v>0</v>
      </c>
      <c r="G422" s="26">
        <f>E422*AD422</f>
        <v>0</v>
      </c>
      <c r="H422" s="26">
        <f>I422-G422</f>
        <v>0</v>
      </c>
      <c r="I422" s="26">
        <f>E422*F422</f>
        <v>0</v>
      </c>
      <c r="J422" s="72">
        <v>0.13834</v>
      </c>
      <c r="K422" s="72">
        <f>E422*J422</f>
        <v>0.8300399999999999</v>
      </c>
      <c r="L422" s="35" t="s">
        <v>1959</v>
      </c>
      <c r="M422" s="35" t="s">
        <v>122</v>
      </c>
      <c r="N422" s="26">
        <f>IF(M422="5",H422,0)</f>
        <v>0</v>
      </c>
      <c r="Y422" s="26">
        <f>IF(AC422=0,I422,0)</f>
        <v>0</v>
      </c>
      <c r="Z422" s="26">
        <f>IF(AC422=15,I422,0)</f>
        <v>0</v>
      </c>
      <c r="AA422" s="26">
        <f>IF(AC422=21,I422,0)</f>
        <v>0</v>
      </c>
      <c r="AC422" s="12">
        <v>21</v>
      </c>
      <c r="AD422" s="12">
        <f>F422*0.041729933504372</f>
        <v>0</v>
      </c>
      <c r="AE422" s="12">
        <f>F422*(1-0.041729933504372)</f>
        <v>0</v>
      </c>
      <c r="AL422" s="12">
        <f>E422*AD422</f>
        <v>0</v>
      </c>
      <c r="AM422" s="12">
        <f>E422*AE422</f>
        <v>0</v>
      </c>
      <c r="AN422" s="38" t="s">
        <v>1998</v>
      </c>
      <c r="AO422" s="38" t="s">
        <v>2028</v>
      </c>
      <c r="AP422" s="32" t="s">
        <v>2045</v>
      </c>
    </row>
    <row r="423" ht="12.75">
      <c r="C423" s="24" t="s">
        <v>1555</v>
      </c>
    </row>
    <row r="424" spans="1:42" ht="12.75">
      <c r="A424" s="50" t="s">
        <v>361</v>
      </c>
      <c r="B424" s="17" t="s">
        <v>904</v>
      </c>
      <c r="C424" s="17" t="s">
        <v>1556</v>
      </c>
      <c r="D424" s="17" t="s">
        <v>1940</v>
      </c>
      <c r="E424" s="26">
        <v>1.53</v>
      </c>
      <c r="F424" s="26">
        <v>0</v>
      </c>
      <c r="G424" s="26">
        <f>E424*AD424</f>
        <v>0</v>
      </c>
      <c r="H424" s="26">
        <f>I424-G424</f>
        <v>0</v>
      </c>
      <c r="I424" s="26">
        <f>E424*F424</f>
        <v>0</v>
      </c>
      <c r="J424" s="72">
        <v>1.8</v>
      </c>
      <c r="K424" s="72">
        <f>E424*J424</f>
        <v>2.754</v>
      </c>
      <c r="L424" s="35" t="s">
        <v>1959</v>
      </c>
      <c r="M424" s="35" t="s">
        <v>122</v>
      </c>
      <c r="N424" s="26">
        <f>IF(M424="5",H424,0)</f>
        <v>0</v>
      </c>
      <c r="Y424" s="26">
        <f>IF(AC424=0,I424,0)</f>
        <v>0</v>
      </c>
      <c r="Z424" s="26">
        <f>IF(AC424=15,I424,0)</f>
        <v>0</v>
      </c>
      <c r="AA424" s="26">
        <f>IF(AC424=21,I424,0)</f>
        <v>0</v>
      </c>
      <c r="AC424" s="12">
        <v>21</v>
      </c>
      <c r="AD424" s="12">
        <f>F424*0.0264440734557596</f>
        <v>0</v>
      </c>
      <c r="AE424" s="12">
        <f>F424*(1-0.0264440734557596)</f>
        <v>0</v>
      </c>
      <c r="AL424" s="12">
        <f>E424*AD424</f>
        <v>0</v>
      </c>
      <c r="AM424" s="12">
        <f>E424*AE424</f>
        <v>0</v>
      </c>
      <c r="AN424" s="38" t="s">
        <v>1998</v>
      </c>
      <c r="AO424" s="38" t="s">
        <v>2028</v>
      </c>
      <c r="AP424" s="32" t="s">
        <v>2045</v>
      </c>
    </row>
    <row r="425" spans="1:42" ht="12.75">
      <c r="A425" s="50" t="s">
        <v>362</v>
      </c>
      <c r="B425" s="17" t="s">
        <v>905</v>
      </c>
      <c r="C425" s="17" t="s">
        <v>1557</v>
      </c>
      <c r="D425" s="17" t="s">
        <v>1941</v>
      </c>
      <c r="E425" s="26">
        <v>20.36</v>
      </c>
      <c r="F425" s="26">
        <v>0</v>
      </c>
      <c r="G425" s="26">
        <f>E425*AD425</f>
        <v>0</v>
      </c>
      <c r="H425" s="26">
        <f>I425-G425</f>
        <v>0</v>
      </c>
      <c r="I425" s="26">
        <f>E425*F425</f>
        <v>0</v>
      </c>
      <c r="J425" s="72">
        <v>0.54</v>
      </c>
      <c r="K425" s="72">
        <f>E425*J425</f>
        <v>10.9944</v>
      </c>
      <c r="L425" s="35" t="s">
        <v>1959</v>
      </c>
      <c r="M425" s="35" t="s">
        <v>124</v>
      </c>
      <c r="N425" s="26">
        <f>IF(M425="5",H425,0)</f>
        <v>0</v>
      </c>
      <c r="Y425" s="26">
        <f>IF(AC425=0,I425,0)</f>
        <v>0</v>
      </c>
      <c r="Z425" s="26">
        <f>IF(AC425=15,I425,0)</f>
        <v>0</v>
      </c>
      <c r="AA425" s="26">
        <f>IF(AC425=21,I425,0)</f>
        <v>0</v>
      </c>
      <c r="AC425" s="12">
        <v>21</v>
      </c>
      <c r="AD425" s="12">
        <f>F425*0.0152699530516432</f>
        <v>0</v>
      </c>
      <c r="AE425" s="12">
        <f>F425*(1-0.0152699530516432)</f>
        <v>0</v>
      </c>
      <c r="AL425" s="12">
        <f>E425*AD425</f>
        <v>0</v>
      </c>
      <c r="AM425" s="12">
        <f>E425*AE425</f>
        <v>0</v>
      </c>
      <c r="AN425" s="38" t="s">
        <v>1998</v>
      </c>
      <c r="AO425" s="38" t="s">
        <v>2028</v>
      </c>
      <c r="AP425" s="32" t="s">
        <v>2045</v>
      </c>
    </row>
    <row r="426" ht="12.75">
      <c r="C426" s="24" t="s">
        <v>1558</v>
      </c>
    </row>
    <row r="427" spans="1:42" ht="12.75">
      <c r="A427" s="50" t="s">
        <v>363</v>
      </c>
      <c r="B427" s="17" t="s">
        <v>906</v>
      </c>
      <c r="C427" s="17" t="s">
        <v>1559</v>
      </c>
      <c r="D427" s="17" t="s">
        <v>1940</v>
      </c>
      <c r="E427" s="26">
        <v>0.45</v>
      </c>
      <c r="F427" s="26">
        <v>0</v>
      </c>
      <c r="G427" s="26">
        <f>E427*AD427</f>
        <v>0</v>
      </c>
      <c r="H427" s="26">
        <f>I427-G427</f>
        <v>0</v>
      </c>
      <c r="I427" s="26">
        <f>E427*F427</f>
        <v>0</v>
      </c>
      <c r="J427" s="72">
        <v>2.4</v>
      </c>
      <c r="K427" s="72">
        <f>E427*J427</f>
        <v>1.08</v>
      </c>
      <c r="L427" s="35" t="s">
        <v>1959</v>
      </c>
      <c r="M427" s="35" t="s">
        <v>122</v>
      </c>
      <c r="N427" s="26">
        <f>IF(M427="5",H427,0)</f>
        <v>0</v>
      </c>
      <c r="Y427" s="26">
        <f>IF(AC427=0,I427,0)</f>
        <v>0</v>
      </c>
      <c r="Z427" s="26">
        <f>IF(AC427=15,I427,0)</f>
        <v>0</v>
      </c>
      <c r="AA427" s="26">
        <f>IF(AC427=21,I427,0)</f>
        <v>0</v>
      </c>
      <c r="AC427" s="12">
        <v>21</v>
      </c>
      <c r="AD427" s="12">
        <f>F427*0</f>
        <v>0</v>
      </c>
      <c r="AE427" s="12">
        <f>F427*(1-0)</f>
        <v>0</v>
      </c>
      <c r="AL427" s="12">
        <f>E427*AD427</f>
        <v>0</v>
      </c>
      <c r="AM427" s="12">
        <f>E427*AE427</f>
        <v>0</v>
      </c>
      <c r="AN427" s="38" t="s">
        <v>1998</v>
      </c>
      <c r="AO427" s="38" t="s">
        <v>2028</v>
      </c>
      <c r="AP427" s="32" t="s">
        <v>2045</v>
      </c>
    </row>
    <row r="428" ht="26.25">
      <c r="C428" s="24" t="s">
        <v>1560</v>
      </c>
    </row>
    <row r="429" spans="1:42" ht="12.75">
      <c r="A429" s="50" t="s">
        <v>364</v>
      </c>
      <c r="B429" s="17" t="s">
        <v>907</v>
      </c>
      <c r="C429" s="17" t="s">
        <v>1561</v>
      </c>
      <c r="D429" s="17" t="s">
        <v>1940</v>
      </c>
      <c r="E429" s="26">
        <v>1.35</v>
      </c>
      <c r="F429" s="26">
        <v>0</v>
      </c>
      <c r="G429" s="26">
        <f>E429*AD429</f>
        <v>0</v>
      </c>
      <c r="H429" s="26">
        <f>I429-G429</f>
        <v>0</v>
      </c>
      <c r="I429" s="26">
        <f>E429*F429</f>
        <v>0</v>
      </c>
      <c r="J429" s="72">
        <v>2.4</v>
      </c>
      <c r="K429" s="72">
        <f>E429*J429</f>
        <v>3.24</v>
      </c>
      <c r="L429" s="35" t="s">
        <v>1959</v>
      </c>
      <c r="M429" s="35" t="s">
        <v>122</v>
      </c>
      <c r="N429" s="26">
        <f>IF(M429="5",H429,0)</f>
        <v>0</v>
      </c>
      <c r="Y429" s="26">
        <f>IF(AC429=0,I429,0)</f>
        <v>0</v>
      </c>
      <c r="Z429" s="26">
        <f>IF(AC429=15,I429,0)</f>
        <v>0</v>
      </c>
      <c r="AA429" s="26">
        <f>IF(AC429=21,I429,0)</f>
        <v>0</v>
      </c>
      <c r="AC429" s="12">
        <v>21</v>
      </c>
      <c r="AD429" s="12">
        <f>F429*0</f>
        <v>0</v>
      </c>
      <c r="AE429" s="12">
        <f>F429*(1-0)</f>
        <v>0</v>
      </c>
      <c r="AL429" s="12">
        <f>E429*AD429</f>
        <v>0</v>
      </c>
      <c r="AM429" s="12">
        <f>E429*AE429</f>
        <v>0</v>
      </c>
      <c r="AN429" s="38" t="s">
        <v>1998</v>
      </c>
      <c r="AO429" s="38" t="s">
        <v>2028</v>
      </c>
      <c r="AP429" s="32" t="s">
        <v>2045</v>
      </c>
    </row>
    <row r="430" ht="26.25">
      <c r="C430" s="24" t="s">
        <v>1562</v>
      </c>
    </row>
    <row r="431" spans="1:42" ht="12.75">
      <c r="A431" s="50" t="s">
        <v>365</v>
      </c>
      <c r="B431" s="17" t="s">
        <v>908</v>
      </c>
      <c r="C431" s="17" t="s">
        <v>1563</v>
      </c>
      <c r="D431" s="17" t="s">
        <v>1944</v>
      </c>
      <c r="E431" s="26">
        <v>2</v>
      </c>
      <c r="F431" s="26">
        <v>0</v>
      </c>
      <c r="G431" s="26">
        <f>E431*AD431</f>
        <v>0</v>
      </c>
      <c r="H431" s="26">
        <f>I431-G431</f>
        <v>0</v>
      </c>
      <c r="I431" s="26">
        <f>E431*F431</f>
        <v>0</v>
      </c>
      <c r="J431" s="72">
        <v>0.02433</v>
      </c>
      <c r="K431" s="72">
        <f>E431*J431</f>
        <v>0.04866</v>
      </c>
      <c r="L431" s="35" t="s">
        <v>1961</v>
      </c>
      <c r="M431" s="35" t="s">
        <v>122</v>
      </c>
      <c r="N431" s="26">
        <f>IF(M431="5",H431,0)</f>
        <v>0</v>
      </c>
      <c r="Y431" s="26">
        <f>IF(AC431=0,I431,0)</f>
        <v>0</v>
      </c>
      <c r="Z431" s="26">
        <f>IF(AC431=15,I431,0)</f>
        <v>0</v>
      </c>
      <c r="AA431" s="26">
        <f>IF(AC431=21,I431,0)</f>
        <v>0</v>
      </c>
      <c r="AC431" s="12">
        <v>21</v>
      </c>
      <c r="AD431" s="12">
        <f>F431*0.049811320754717</f>
        <v>0</v>
      </c>
      <c r="AE431" s="12">
        <f>F431*(1-0.049811320754717)</f>
        <v>0</v>
      </c>
      <c r="AL431" s="12">
        <f>E431*AD431</f>
        <v>0</v>
      </c>
      <c r="AM431" s="12">
        <f>E431*AE431</f>
        <v>0</v>
      </c>
      <c r="AN431" s="38" t="s">
        <v>1998</v>
      </c>
      <c r="AO431" s="38" t="s">
        <v>2028</v>
      </c>
      <c r="AP431" s="32" t="s">
        <v>2045</v>
      </c>
    </row>
    <row r="432" ht="26.25">
      <c r="C432" s="24" t="s">
        <v>1564</v>
      </c>
    </row>
    <row r="433" spans="1:42" ht="12.75">
      <c r="A433" s="50" t="s">
        <v>366</v>
      </c>
      <c r="B433" s="17" t="s">
        <v>909</v>
      </c>
      <c r="C433" s="17" t="s">
        <v>1565</v>
      </c>
      <c r="D433" s="17" t="s">
        <v>1940</v>
      </c>
      <c r="E433" s="26">
        <v>2.9</v>
      </c>
      <c r="F433" s="26">
        <v>0</v>
      </c>
      <c r="G433" s="26">
        <f>E433*AD433</f>
        <v>0</v>
      </c>
      <c r="H433" s="26">
        <f>I433-G433</f>
        <v>0</v>
      </c>
      <c r="I433" s="26">
        <f>E433*F433</f>
        <v>0</v>
      </c>
      <c r="J433" s="72">
        <v>1.8</v>
      </c>
      <c r="K433" s="72">
        <f>E433*J433</f>
        <v>5.22</v>
      </c>
      <c r="L433" s="35" t="s">
        <v>1959</v>
      </c>
      <c r="M433" s="35" t="s">
        <v>122</v>
      </c>
      <c r="N433" s="26">
        <f>IF(M433="5",H433,0)</f>
        <v>0</v>
      </c>
      <c r="Y433" s="26">
        <f>IF(AC433=0,I433,0)</f>
        <v>0</v>
      </c>
      <c r="Z433" s="26">
        <f>IF(AC433=15,I433,0)</f>
        <v>0</v>
      </c>
      <c r="AA433" s="26">
        <f>IF(AC433=21,I433,0)</f>
        <v>0</v>
      </c>
      <c r="AC433" s="12">
        <v>21</v>
      </c>
      <c r="AD433" s="12">
        <f>F433*0.0118561577559631</f>
        <v>0</v>
      </c>
      <c r="AE433" s="12">
        <f>F433*(1-0.0118561577559631)</f>
        <v>0</v>
      </c>
      <c r="AL433" s="12">
        <f>E433*AD433</f>
        <v>0</v>
      </c>
      <c r="AM433" s="12">
        <f>E433*AE433</f>
        <v>0</v>
      </c>
      <c r="AN433" s="38" t="s">
        <v>1998</v>
      </c>
      <c r="AO433" s="38" t="s">
        <v>2028</v>
      </c>
      <c r="AP433" s="32" t="s">
        <v>2045</v>
      </c>
    </row>
    <row r="434" ht="12.75">
      <c r="C434" s="24" t="s">
        <v>1566</v>
      </c>
    </row>
    <row r="435" spans="1:42" ht="12.75">
      <c r="A435" s="50" t="s">
        <v>367</v>
      </c>
      <c r="B435" s="17" t="s">
        <v>910</v>
      </c>
      <c r="C435" s="17" t="s">
        <v>1567</v>
      </c>
      <c r="D435" s="17" t="s">
        <v>1944</v>
      </c>
      <c r="E435" s="26">
        <v>20</v>
      </c>
      <c r="F435" s="26">
        <v>0</v>
      </c>
      <c r="G435" s="26">
        <f>E435*AD435</f>
        <v>0</v>
      </c>
      <c r="H435" s="26">
        <f>I435-G435</f>
        <v>0</v>
      </c>
      <c r="I435" s="26">
        <f>E435*F435</f>
        <v>0</v>
      </c>
      <c r="J435" s="72">
        <v>0.031</v>
      </c>
      <c r="K435" s="72">
        <f>E435*J435</f>
        <v>0.62</v>
      </c>
      <c r="L435" s="35" t="s">
        <v>1959</v>
      </c>
      <c r="M435" s="35" t="s">
        <v>122</v>
      </c>
      <c r="N435" s="26">
        <f>IF(M435="5",H435,0)</f>
        <v>0</v>
      </c>
      <c r="Y435" s="26">
        <f>IF(AC435=0,I435,0)</f>
        <v>0</v>
      </c>
      <c r="Z435" s="26">
        <f>IF(AC435=15,I435,0)</f>
        <v>0</v>
      </c>
      <c r="AA435" s="26">
        <f>IF(AC435=21,I435,0)</f>
        <v>0</v>
      </c>
      <c r="AC435" s="12">
        <v>21</v>
      </c>
      <c r="AD435" s="12">
        <f>F435*0.0620689655172414</f>
        <v>0</v>
      </c>
      <c r="AE435" s="12">
        <f>F435*(1-0.0620689655172414)</f>
        <v>0</v>
      </c>
      <c r="AL435" s="12">
        <f>E435*AD435</f>
        <v>0</v>
      </c>
      <c r="AM435" s="12">
        <f>E435*AE435</f>
        <v>0</v>
      </c>
      <c r="AN435" s="38" t="s">
        <v>1998</v>
      </c>
      <c r="AO435" s="38" t="s">
        <v>2028</v>
      </c>
      <c r="AP435" s="32" t="s">
        <v>2045</v>
      </c>
    </row>
    <row r="436" ht="12.75">
      <c r="C436" s="24" t="s">
        <v>1568</v>
      </c>
    </row>
    <row r="437" spans="1:42" ht="12.75">
      <c r="A437" s="50" t="s">
        <v>368</v>
      </c>
      <c r="B437" s="17" t="s">
        <v>911</v>
      </c>
      <c r="C437" s="17" t="s">
        <v>1569</v>
      </c>
      <c r="D437" s="17" t="s">
        <v>1942</v>
      </c>
      <c r="E437" s="26">
        <v>59.8</v>
      </c>
      <c r="F437" s="26">
        <v>0</v>
      </c>
      <c r="G437" s="26">
        <f>E437*AD437</f>
        <v>0</v>
      </c>
      <c r="H437" s="26">
        <f>I437-G437</f>
        <v>0</v>
      </c>
      <c r="I437" s="26">
        <f>E437*F437</f>
        <v>0</v>
      </c>
      <c r="J437" s="72">
        <v>0.008</v>
      </c>
      <c r="K437" s="72">
        <f>E437*J437</f>
        <v>0.4784</v>
      </c>
      <c r="L437" s="35" t="s">
        <v>1959</v>
      </c>
      <c r="M437" s="35" t="s">
        <v>122</v>
      </c>
      <c r="N437" s="26">
        <f>IF(M437="5",H437,0)</f>
        <v>0</v>
      </c>
      <c r="Y437" s="26">
        <f>IF(AC437=0,I437,0)</f>
        <v>0</v>
      </c>
      <c r="Z437" s="26">
        <f>IF(AC437=15,I437,0)</f>
        <v>0</v>
      </c>
      <c r="AA437" s="26">
        <f>IF(AC437=21,I437,0)</f>
        <v>0</v>
      </c>
      <c r="AC437" s="12">
        <v>21</v>
      </c>
      <c r="AD437" s="12">
        <f>F437*0</f>
        <v>0</v>
      </c>
      <c r="AE437" s="12">
        <f>F437*(1-0)</f>
        <v>0</v>
      </c>
      <c r="AL437" s="12">
        <f>E437*AD437</f>
        <v>0</v>
      </c>
      <c r="AM437" s="12">
        <f>E437*AE437</f>
        <v>0</v>
      </c>
      <c r="AN437" s="38" t="s">
        <v>1998</v>
      </c>
      <c r="AO437" s="38" t="s">
        <v>2028</v>
      </c>
      <c r="AP437" s="32" t="s">
        <v>2045</v>
      </c>
    </row>
    <row r="438" spans="1:42" ht="12.75">
      <c r="A438" s="50" t="s">
        <v>369</v>
      </c>
      <c r="B438" s="17" t="s">
        <v>912</v>
      </c>
      <c r="C438" s="17" t="s">
        <v>1570</v>
      </c>
      <c r="D438" s="17" t="s">
        <v>1942</v>
      </c>
      <c r="E438" s="26">
        <v>201.1</v>
      </c>
      <c r="F438" s="26">
        <v>0</v>
      </c>
      <c r="G438" s="26">
        <f>E438*AD438</f>
        <v>0</v>
      </c>
      <c r="H438" s="26">
        <f>I438-G438</f>
        <v>0</v>
      </c>
      <c r="I438" s="26">
        <f>E438*F438</f>
        <v>0</v>
      </c>
      <c r="J438" s="72">
        <v>0.012</v>
      </c>
      <c r="K438" s="72">
        <f>E438*J438</f>
        <v>2.4132</v>
      </c>
      <c r="L438" s="35" t="s">
        <v>1959</v>
      </c>
      <c r="M438" s="35" t="s">
        <v>122</v>
      </c>
      <c r="N438" s="26">
        <f>IF(M438="5",H438,0)</f>
        <v>0</v>
      </c>
      <c r="Y438" s="26">
        <f>IF(AC438=0,I438,0)</f>
        <v>0</v>
      </c>
      <c r="Z438" s="26">
        <f>IF(AC438=15,I438,0)</f>
        <v>0</v>
      </c>
      <c r="AA438" s="26">
        <f>IF(AC438=21,I438,0)</f>
        <v>0</v>
      </c>
      <c r="AC438" s="12">
        <v>21</v>
      </c>
      <c r="AD438" s="12">
        <f>F438*0</f>
        <v>0</v>
      </c>
      <c r="AE438" s="12">
        <f>F438*(1-0)</f>
        <v>0</v>
      </c>
      <c r="AL438" s="12">
        <f>E438*AD438</f>
        <v>0</v>
      </c>
      <c r="AM438" s="12">
        <f>E438*AE438</f>
        <v>0</v>
      </c>
      <c r="AN438" s="38" t="s">
        <v>1998</v>
      </c>
      <c r="AO438" s="38" t="s">
        <v>2028</v>
      </c>
      <c r="AP438" s="32" t="s">
        <v>2045</v>
      </c>
    </row>
    <row r="439" spans="1:42" ht="12.75">
      <c r="A439" s="50" t="s">
        <v>370</v>
      </c>
      <c r="B439" s="17" t="s">
        <v>913</v>
      </c>
      <c r="C439" s="17" t="s">
        <v>1571</v>
      </c>
      <c r="D439" s="17" t="s">
        <v>1942</v>
      </c>
      <c r="E439" s="26">
        <v>24.1</v>
      </c>
      <c r="F439" s="26">
        <v>0</v>
      </c>
      <c r="G439" s="26">
        <f>E439*AD439</f>
        <v>0</v>
      </c>
      <c r="H439" s="26">
        <f>I439-G439</f>
        <v>0</v>
      </c>
      <c r="I439" s="26">
        <f>E439*F439</f>
        <v>0</v>
      </c>
      <c r="J439" s="72">
        <v>0.012</v>
      </c>
      <c r="K439" s="72">
        <f>E439*J439</f>
        <v>0.2892</v>
      </c>
      <c r="L439" s="35" t="s">
        <v>1959</v>
      </c>
      <c r="M439" s="35" t="s">
        <v>122</v>
      </c>
      <c r="N439" s="26">
        <f>IF(M439="5",H439,0)</f>
        <v>0</v>
      </c>
      <c r="Y439" s="26">
        <f>IF(AC439=0,I439,0)</f>
        <v>0</v>
      </c>
      <c r="Z439" s="26">
        <f>IF(AC439=15,I439,0)</f>
        <v>0</v>
      </c>
      <c r="AA439" s="26">
        <f>IF(AC439=21,I439,0)</f>
        <v>0</v>
      </c>
      <c r="AC439" s="12">
        <v>21</v>
      </c>
      <c r="AD439" s="12">
        <f>F439*0</f>
        <v>0</v>
      </c>
      <c r="AE439" s="12">
        <f>F439*(1-0)</f>
        <v>0</v>
      </c>
      <c r="AL439" s="12">
        <f>E439*AD439</f>
        <v>0</v>
      </c>
      <c r="AM439" s="12">
        <f>E439*AE439</f>
        <v>0</v>
      </c>
      <c r="AN439" s="38" t="s">
        <v>1998</v>
      </c>
      <c r="AO439" s="38" t="s">
        <v>2028</v>
      </c>
      <c r="AP439" s="32" t="s">
        <v>2045</v>
      </c>
    </row>
    <row r="440" spans="1:42" ht="12.75">
      <c r="A440" s="50" t="s">
        <v>371</v>
      </c>
      <c r="B440" s="17" t="s">
        <v>914</v>
      </c>
      <c r="C440" s="17" t="s">
        <v>1572</v>
      </c>
      <c r="D440" s="17" t="s">
        <v>1942</v>
      </c>
      <c r="E440" s="26">
        <v>14.16</v>
      </c>
      <c r="F440" s="26">
        <v>0</v>
      </c>
      <c r="G440" s="26">
        <f>E440*AD440</f>
        <v>0</v>
      </c>
      <c r="H440" s="26">
        <f>I440-G440</f>
        <v>0</v>
      </c>
      <c r="I440" s="26">
        <f>E440*F440</f>
        <v>0</v>
      </c>
      <c r="J440" s="72">
        <v>0.03</v>
      </c>
      <c r="K440" s="72">
        <f>E440*J440</f>
        <v>0.4248</v>
      </c>
      <c r="L440" s="35" t="s">
        <v>1959</v>
      </c>
      <c r="M440" s="35" t="s">
        <v>122</v>
      </c>
      <c r="N440" s="26">
        <f>IF(M440="5",H440,0)</f>
        <v>0</v>
      </c>
      <c r="Y440" s="26">
        <f>IF(AC440=0,I440,0)</f>
        <v>0</v>
      </c>
      <c r="Z440" s="26">
        <f>IF(AC440=15,I440,0)</f>
        <v>0</v>
      </c>
      <c r="AA440" s="26">
        <f>IF(AC440=21,I440,0)</f>
        <v>0</v>
      </c>
      <c r="AC440" s="12">
        <v>21</v>
      </c>
      <c r="AD440" s="12">
        <f>F440*0</f>
        <v>0</v>
      </c>
      <c r="AE440" s="12">
        <f>F440*(1-0)</f>
        <v>0</v>
      </c>
      <c r="AL440" s="12">
        <f>E440*AD440</f>
        <v>0</v>
      </c>
      <c r="AM440" s="12">
        <f>E440*AE440</f>
        <v>0</v>
      </c>
      <c r="AN440" s="38" t="s">
        <v>1998</v>
      </c>
      <c r="AO440" s="38" t="s">
        <v>2028</v>
      </c>
      <c r="AP440" s="32" t="s">
        <v>2045</v>
      </c>
    </row>
    <row r="441" spans="1:42" ht="12.75">
      <c r="A441" s="50" t="s">
        <v>372</v>
      </c>
      <c r="B441" s="17" t="s">
        <v>915</v>
      </c>
      <c r="C441" s="17" t="s">
        <v>1573</v>
      </c>
      <c r="D441" s="17" t="s">
        <v>1942</v>
      </c>
      <c r="E441" s="26">
        <v>14.2</v>
      </c>
      <c r="F441" s="26">
        <v>0</v>
      </c>
      <c r="G441" s="26">
        <f>E441*AD441</f>
        <v>0</v>
      </c>
      <c r="H441" s="26">
        <f>I441-G441</f>
        <v>0</v>
      </c>
      <c r="I441" s="26">
        <f>E441*F441</f>
        <v>0</v>
      </c>
      <c r="J441" s="72">
        <v>0.24328</v>
      </c>
      <c r="K441" s="72">
        <f>E441*J441</f>
        <v>3.454576</v>
      </c>
      <c r="L441" s="35" t="s">
        <v>1959</v>
      </c>
      <c r="M441" s="35" t="s">
        <v>122</v>
      </c>
      <c r="N441" s="26">
        <f>IF(M441="5",H441,0)</f>
        <v>0</v>
      </c>
      <c r="Y441" s="26">
        <f>IF(AC441=0,I441,0)</f>
        <v>0</v>
      </c>
      <c r="Z441" s="26">
        <f>IF(AC441=15,I441,0)</f>
        <v>0</v>
      </c>
      <c r="AA441" s="26">
        <f>IF(AC441=21,I441,0)</f>
        <v>0</v>
      </c>
      <c r="AC441" s="12">
        <v>21</v>
      </c>
      <c r="AD441" s="12">
        <f>F441*0.0142857142857143</f>
        <v>0</v>
      </c>
      <c r="AE441" s="12">
        <f>F441*(1-0.0142857142857143)</f>
        <v>0</v>
      </c>
      <c r="AL441" s="12">
        <f>E441*AD441</f>
        <v>0</v>
      </c>
      <c r="AM441" s="12">
        <f>E441*AE441</f>
        <v>0</v>
      </c>
      <c r="AN441" s="38" t="s">
        <v>1998</v>
      </c>
      <c r="AO441" s="38" t="s">
        <v>2028</v>
      </c>
      <c r="AP441" s="32" t="s">
        <v>2045</v>
      </c>
    </row>
    <row r="442" ht="12.75">
      <c r="C442" s="24" t="s">
        <v>1320</v>
      </c>
    </row>
    <row r="443" spans="1:42" ht="12.75">
      <c r="A443" s="50" t="s">
        <v>373</v>
      </c>
      <c r="B443" s="17" t="s">
        <v>916</v>
      </c>
      <c r="C443" s="17" t="s">
        <v>1574</v>
      </c>
      <c r="D443" s="17" t="s">
        <v>1942</v>
      </c>
      <c r="E443" s="26">
        <v>1.8</v>
      </c>
      <c r="F443" s="26">
        <v>0</v>
      </c>
      <c r="G443" s="26">
        <f>E443*AD443</f>
        <v>0</v>
      </c>
      <c r="H443" s="26">
        <f>I443-G443</f>
        <v>0</v>
      </c>
      <c r="I443" s="26">
        <f>E443*F443</f>
        <v>0</v>
      </c>
      <c r="J443" s="72">
        <v>0.24328</v>
      </c>
      <c r="K443" s="72">
        <f>E443*J443</f>
        <v>0.437904</v>
      </c>
      <c r="L443" s="35" t="s">
        <v>1959</v>
      </c>
      <c r="M443" s="35" t="s">
        <v>122</v>
      </c>
      <c r="N443" s="26">
        <f>IF(M443="5",H443,0)</f>
        <v>0</v>
      </c>
      <c r="Y443" s="26">
        <f>IF(AC443=0,I443,0)</f>
        <v>0</v>
      </c>
      <c r="Z443" s="26">
        <f>IF(AC443=15,I443,0)</f>
        <v>0</v>
      </c>
      <c r="AA443" s="26">
        <f>IF(AC443=21,I443,0)</f>
        <v>0</v>
      </c>
      <c r="AC443" s="12">
        <v>21</v>
      </c>
      <c r="AD443" s="12">
        <f>F443*0.0114922813036021</f>
        <v>0</v>
      </c>
      <c r="AE443" s="12">
        <f>F443*(1-0.0114922813036021)</f>
        <v>0</v>
      </c>
      <c r="AL443" s="12">
        <f>E443*AD443</f>
        <v>0</v>
      </c>
      <c r="AM443" s="12">
        <f>E443*AE443</f>
        <v>0</v>
      </c>
      <c r="AN443" s="38" t="s">
        <v>1998</v>
      </c>
      <c r="AO443" s="38" t="s">
        <v>2028</v>
      </c>
      <c r="AP443" s="32" t="s">
        <v>2045</v>
      </c>
    </row>
    <row r="444" ht="12.75">
      <c r="C444" s="24" t="s">
        <v>1320</v>
      </c>
    </row>
    <row r="445" spans="1:42" ht="12.75">
      <c r="A445" s="50" t="s">
        <v>374</v>
      </c>
      <c r="B445" s="17" t="s">
        <v>917</v>
      </c>
      <c r="C445" s="17" t="s">
        <v>1575</v>
      </c>
      <c r="D445" s="17" t="s">
        <v>1942</v>
      </c>
      <c r="E445" s="26">
        <v>30</v>
      </c>
      <c r="F445" s="26">
        <v>0</v>
      </c>
      <c r="G445" s="26">
        <f aca="true" t="shared" si="86" ref="G445:G452">E445*AD445</f>
        <v>0</v>
      </c>
      <c r="H445" s="26">
        <f aca="true" t="shared" si="87" ref="H445:H452">I445-G445</f>
        <v>0</v>
      </c>
      <c r="I445" s="26">
        <f aca="true" t="shared" si="88" ref="I445:I452">E445*F445</f>
        <v>0</v>
      </c>
      <c r="J445" s="72">
        <v>0.042</v>
      </c>
      <c r="K445" s="72">
        <f aca="true" t="shared" si="89" ref="K445:K452">E445*J445</f>
        <v>1.26</v>
      </c>
      <c r="L445" s="35" t="s">
        <v>1959</v>
      </c>
      <c r="M445" s="35" t="s">
        <v>122</v>
      </c>
      <c r="N445" s="26">
        <f aca="true" t="shared" si="90" ref="N445:N452">IF(M445="5",H445,0)</f>
        <v>0</v>
      </c>
      <c r="Y445" s="26">
        <f aca="true" t="shared" si="91" ref="Y445:Y452">IF(AC445=0,I445,0)</f>
        <v>0</v>
      </c>
      <c r="Z445" s="26">
        <f aca="true" t="shared" si="92" ref="Z445:Z452">IF(AC445=15,I445,0)</f>
        <v>0</v>
      </c>
      <c r="AA445" s="26">
        <f aca="true" t="shared" si="93" ref="AA445:AA452">IF(AC445=21,I445,0)</f>
        <v>0</v>
      </c>
      <c r="AC445" s="12">
        <v>21</v>
      </c>
      <c r="AD445" s="12">
        <f aca="true" t="shared" si="94" ref="AD445:AD452">F445*0</f>
        <v>0</v>
      </c>
      <c r="AE445" s="12">
        <f aca="true" t="shared" si="95" ref="AE445:AE452">F445*(1-0)</f>
        <v>0</v>
      </c>
      <c r="AL445" s="12">
        <f aca="true" t="shared" si="96" ref="AL445:AL452">E445*AD445</f>
        <v>0</v>
      </c>
      <c r="AM445" s="12">
        <f aca="true" t="shared" si="97" ref="AM445:AM452">E445*AE445</f>
        <v>0</v>
      </c>
      <c r="AN445" s="38" t="s">
        <v>1998</v>
      </c>
      <c r="AO445" s="38" t="s">
        <v>2028</v>
      </c>
      <c r="AP445" s="32" t="s">
        <v>2045</v>
      </c>
    </row>
    <row r="446" spans="1:42" ht="12.75">
      <c r="A446" s="50" t="s">
        <v>375</v>
      </c>
      <c r="B446" s="17" t="s">
        <v>918</v>
      </c>
      <c r="C446" s="17" t="s">
        <v>1576</v>
      </c>
      <c r="D446" s="17" t="s">
        <v>1942</v>
      </c>
      <c r="E446" s="26">
        <v>13.2</v>
      </c>
      <c r="F446" s="26">
        <v>0</v>
      </c>
      <c r="G446" s="26">
        <f t="shared" si="86"/>
        <v>0</v>
      </c>
      <c r="H446" s="26">
        <f t="shared" si="87"/>
        <v>0</v>
      </c>
      <c r="I446" s="26">
        <f t="shared" si="88"/>
        <v>0</v>
      </c>
      <c r="J446" s="72">
        <v>0.065</v>
      </c>
      <c r="K446" s="72">
        <f t="shared" si="89"/>
        <v>0.858</v>
      </c>
      <c r="L446" s="35" t="s">
        <v>1959</v>
      </c>
      <c r="M446" s="35" t="s">
        <v>122</v>
      </c>
      <c r="N446" s="26">
        <f t="shared" si="90"/>
        <v>0</v>
      </c>
      <c r="Y446" s="26">
        <f t="shared" si="91"/>
        <v>0</v>
      </c>
      <c r="Z446" s="26">
        <f t="shared" si="92"/>
        <v>0</v>
      </c>
      <c r="AA446" s="26">
        <f t="shared" si="93"/>
        <v>0</v>
      </c>
      <c r="AC446" s="12">
        <v>21</v>
      </c>
      <c r="AD446" s="12">
        <f t="shared" si="94"/>
        <v>0</v>
      </c>
      <c r="AE446" s="12">
        <f t="shared" si="95"/>
        <v>0</v>
      </c>
      <c r="AL446" s="12">
        <f t="shared" si="96"/>
        <v>0</v>
      </c>
      <c r="AM446" s="12">
        <f t="shared" si="97"/>
        <v>0</v>
      </c>
      <c r="AN446" s="38" t="s">
        <v>1998</v>
      </c>
      <c r="AO446" s="38" t="s">
        <v>2028</v>
      </c>
      <c r="AP446" s="32" t="s">
        <v>2045</v>
      </c>
    </row>
    <row r="447" spans="1:42" ht="12.75">
      <c r="A447" s="50" t="s">
        <v>376</v>
      </c>
      <c r="B447" s="17" t="s">
        <v>919</v>
      </c>
      <c r="C447" s="17" t="s">
        <v>1577</v>
      </c>
      <c r="D447" s="17" t="s">
        <v>1942</v>
      </c>
      <c r="E447" s="26">
        <v>121.5</v>
      </c>
      <c r="F447" s="26">
        <v>0</v>
      </c>
      <c r="G447" s="26">
        <f t="shared" si="86"/>
        <v>0</v>
      </c>
      <c r="H447" s="26">
        <f t="shared" si="87"/>
        <v>0</v>
      </c>
      <c r="I447" s="26">
        <f t="shared" si="88"/>
        <v>0</v>
      </c>
      <c r="J447" s="72">
        <v>0.097</v>
      </c>
      <c r="K447" s="72">
        <f t="shared" si="89"/>
        <v>11.7855</v>
      </c>
      <c r="L447" s="35" t="s">
        <v>1959</v>
      </c>
      <c r="M447" s="35" t="s">
        <v>122</v>
      </c>
      <c r="N447" s="26">
        <f t="shared" si="90"/>
        <v>0</v>
      </c>
      <c r="Y447" s="26">
        <f t="shared" si="91"/>
        <v>0</v>
      </c>
      <c r="Z447" s="26">
        <f t="shared" si="92"/>
        <v>0</v>
      </c>
      <c r="AA447" s="26">
        <f t="shared" si="93"/>
        <v>0</v>
      </c>
      <c r="AC447" s="12">
        <v>21</v>
      </c>
      <c r="AD447" s="12">
        <f t="shared" si="94"/>
        <v>0</v>
      </c>
      <c r="AE447" s="12">
        <f t="shared" si="95"/>
        <v>0</v>
      </c>
      <c r="AL447" s="12">
        <f t="shared" si="96"/>
        <v>0</v>
      </c>
      <c r="AM447" s="12">
        <f t="shared" si="97"/>
        <v>0</v>
      </c>
      <c r="AN447" s="38" t="s">
        <v>1998</v>
      </c>
      <c r="AO447" s="38" t="s">
        <v>2028</v>
      </c>
      <c r="AP447" s="32" t="s">
        <v>2045</v>
      </c>
    </row>
    <row r="448" spans="1:42" ht="12.75">
      <c r="A448" s="50" t="s">
        <v>377</v>
      </c>
      <c r="B448" s="17" t="s">
        <v>920</v>
      </c>
      <c r="C448" s="17" t="s">
        <v>1578</v>
      </c>
      <c r="D448" s="17" t="s">
        <v>1942</v>
      </c>
      <c r="E448" s="26">
        <v>10.6</v>
      </c>
      <c r="F448" s="26">
        <v>0</v>
      </c>
      <c r="G448" s="26">
        <f t="shared" si="86"/>
        <v>0</v>
      </c>
      <c r="H448" s="26">
        <f t="shared" si="87"/>
        <v>0</v>
      </c>
      <c r="I448" s="26">
        <f t="shared" si="88"/>
        <v>0</v>
      </c>
      <c r="J448" s="72">
        <v>0.129</v>
      </c>
      <c r="K448" s="72">
        <f t="shared" si="89"/>
        <v>1.3674</v>
      </c>
      <c r="L448" s="35" t="s">
        <v>1959</v>
      </c>
      <c r="M448" s="35" t="s">
        <v>122</v>
      </c>
      <c r="N448" s="26">
        <f t="shared" si="90"/>
        <v>0</v>
      </c>
      <c r="Y448" s="26">
        <f t="shared" si="91"/>
        <v>0</v>
      </c>
      <c r="Z448" s="26">
        <f t="shared" si="92"/>
        <v>0</v>
      </c>
      <c r="AA448" s="26">
        <f t="shared" si="93"/>
        <v>0</v>
      </c>
      <c r="AC448" s="12">
        <v>21</v>
      </c>
      <c r="AD448" s="12">
        <f t="shared" si="94"/>
        <v>0</v>
      </c>
      <c r="AE448" s="12">
        <f t="shared" si="95"/>
        <v>0</v>
      </c>
      <c r="AL448" s="12">
        <f t="shared" si="96"/>
        <v>0</v>
      </c>
      <c r="AM448" s="12">
        <f t="shared" si="97"/>
        <v>0</v>
      </c>
      <c r="AN448" s="38" t="s">
        <v>1998</v>
      </c>
      <c r="AO448" s="38" t="s">
        <v>2028</v>
      </c>
      <c r="AP448" s="32" t="s">
        <v>2045</v>
      </c>
    </row>
    <row r="449" spans="1:42" ht="12.75">
      <c r="A449" s="50" t="s">
        <v>378</v>
      </c>
      <c r="B449" s="17" t="s">
        <v>921</v>
      </c>
      <c r="C449" s="17" t="s">
        <v>1579</v>
      </c>
      <c r="D449" s="17" t="s">
        <v>1941</v>
      </c>
      <c r="E449" s="26">
        <v>3272.2</v>
      </c>
      <c r="F449" s="26">
        <v>0</v>
      </c>
      <c r="G449" s="26">
        <f t="shared" si="86"/>
        <v>0</v>
      </c>
      <c r="H449" s="26">
        <f t="shared" si="87"/>
        <v>0</v>
      </c>
      <c r="I449" s="26">
        <f t="shared" si="88"/>
        <v>0</v>
      </c>
      <c r="J449" s="72">
        <v>0.02</v>
      </c>
      <c r="K449" s="72">
        <f t="shared" si="89"/>
        <v>65.444</v>
      </c>
      <c r="L449" s="35" t="s">
        <v>1959</v>
      </c>
      <c r="M449" s="35" t="s">
        <v>122</v>
      </c>
      <c r="N449" s="26">
        <f t="shared" si="90"/>
        <v>0</v>
      </c>
      <c r="Y449" s="26">
        <f t="shared" si="91"/>
        <v>0</v>
      </c>
      <c r="Z449" s="26">
        <f t="shared" si="92"/>
        <v>0</v>
      </c>
      <c r="AA449" s="26">
        <f t="shared" si="93"/>
        <v>0</v>
      </c>
      <c r="AC449" s="12">
        <v>21</v>
      </c>
      <c r="AD449" s="12">
        <f t="shared" si="94"/>
        <v>0</v>
      </c>
      <c r="AE449" s="12">
        <f t="shared" si="95"/>
        <v>0</v>
      </c>
      <c r="AL449" s="12">
        <f t="shared" si="96"/>
        <v>0</v>
      </c>
      <c r="AM449" s="12">
        <f t="shared" si="97"/>
        <v>0</v>
      </c>
      <c r="AN449" s="38" t="s">
        <v>1998</v>
      </c>
      <c r="AO449" s="38" t="s">
        <v>2028</v>
      </c>
      <c r="AP449" s="32" t="s">
        <v>2045</v>
      </c>
    </row>
    <row r="450" spans="1:42" ht="12.75">
      <c r="A450" s="50" t="s">
        <v>379</v>
      </c>
      <c r="B450" s="17" t="s">
        <v>922</v>
      </c>
      <c r="C450" s="17" t="s">
        <v>1580</v>
      </c>
      <c r="D450" s="17" t="s">
        <v>1941</v>
      </c>
      <c r="E450" s="26">
        <v>942.1</v>
      </c>
      <c r="F450" s="26">
        <v>0</v>
      </c>
      <c r="G450" s="26">
        <f t="shared" si="86"/>
        <v>0</v>
      </c>
      <c r="H450" s="26">
        <f t="shared" si="87"/>
        <v>0</v>
      </c>
      <c r="I450" s="26">
        <f t="shared" si="88"/>
        <v>0</v>
      </c>
      <c r="J450" s="72">
        <v>0.046</v>
      </c>
      <c r="K450" s="72">
        <f t="shared" si="89"/>
        <v>43.3366</v>
      </c>
      <c r="L450" s="35" t="s">
        <v>1959</v>
      </c>
      <c r="M450" s="35" t="s">
        <v>122</v>
      </c>
      <c r="N450" s="26">
        <f t="shared" si="90"/>
        <v>0</v>
      </c>
      <c r="Y450" s="26">
        <f t="shared" si="91"/>
        <v>0</v>
      </c>
      <c r="Z450" s="26">
        <f t="shared" si="92"/>
        <v>0</v>
      </c>
      <c r="AA450" s="26">
        <f t="shared" si="93"/>
        <v>0</v>
      </c>
      <c r="AC450" s="12">
        <v>21</v>
      </c>
      <c r="AD450" s="12">
        <f t="shared" si="94"/>
        <v>0</v>
      </c>
      <c r="AE450" s="12">
        <f t="shared" si="95"/>
        <v>0</v>
      </c>
      <c r="AL450" s="12">
        <f t="shared" si="96"/>
        <v>0</v>
      </c>
      <c r="AM450" s="12">
        <f t="shared" si="97"/>
        <v>0</v>
      </c>
      <c r="AN450" s="38" t="s">
        <v>1998</v>
      </c>
      <c r="AO450" s="38" t="s">
        <v>2028</v>
      </c>
      <c r="AP450" s="32" t="s">
        <v>2045</v>
      </c>
    </row>
    <row r="451" spans="1:42" ht="12.75">
      <c r="A451" s="50" t="s">
        <v>380</v>
      </c>
      <c r="B451" s="17" t="s">
        <v>923</v>
      </c>
      <c r="C451" s="17" t="s">
        <v>1581</v>
      </c>
      <c r="D451" s="17" t="s">
        <v>1941</v>
      </c>
      <c r="E451" s="26">
        <v>803.8</v>
      </c>
      <c r="F451" s="26">
        <v>0</v>
      </c>
      <c r="G451" s="26">
        <f t="shared" si="86"/>
        <v>0</v>
      </c>
      <c r="H451" s="26">
        <f t="shared" si="87"/>
        <v>0</v>
      </c>
      <c r="I451" s="26">
        <f t="shared" si="88"/>
        <v>0</v>
      </c>
      <c r="J451" s="72">
        <v>0.016</v>
      </c>
      <c r="K451" s="72">
        <f t="shared" si="89"/>
        <v>12.8608</v>
      </c>
      <c r="L451" s="35" t="s">
        <v>1959</v>
      </c>
      <c r="M451" s="35" t="s">
        <v>122</v>
      </c>
      <c r="N451" s="26">
        <f t="shared" si="90"/>
        <v>0</v>
      </c>
      <c r="Y451" s="26">
        <f t="shared" si="91"/>
        <v>0</v>
      </c>
      <c r="Z451" s="26">
        <f t="shared" si="92"/>
        <v>0</v>
      </c>
      <c r="AA451" s="26">
        <f t="shared" si="93"/>
        <v>0</v>
      </c>
      <c r="AC451" s="12">
        <v>21</v>
      </c>
      <c r="AD451" s="12">
        <f t="shared" si="94"/>
        <v>0</v>
      </c>
      <c r="AE451" s="12">
        <f t="shared" si="95"/>
        <v>0</v>
      </c>
      <c r="AL451" s="12">
        <f t="shared" si="96"/>
        <v>0</v>
      </c>
      <c r="AM451" s="12">
        <f t="shared" si="97"/>
        <v>0</v>
      </c>
      <c r="AN451" s="38" t="s">
        <v>1998</v>
      </c>
      <c r="AO451" s="38" t="s">
        <v>2028</v>
      </c>
      <c r="AP451" s="32" t="s">
        <v>2045</v>
      </c>
    </row>
    <row r="452" spans="1:42" ht="12.75">
      <c r="A452" s="50" t="s">
        <v>381</v>
      </c>
      <c r="B452" s="17" t="s">
        <v>924</v>
      </c>
      <c r="C452" s="17" t="s">
        <v>1582</v>
      </c>
      <c r="D452" s="17" t="s">
        <v>1941</v>
      </c>
      <c r="E452" s="26">
        <v>32</v>
      </c>
      <c r="F452" s="26">
        <v>0</v>
      </c>
      <c r="G452" s="26">
        <f t="shared" si="86"/>
        <v>0</v>
      </c>
      <c r="H452" s="26">
        <f t="shared" si="87"/>
        <v>0</v>
      </c>
      <c r="I452" s="26">
        <f t="shared" si="88"/>
        <v>0</v>
      </c>
      <c r="J452" s="72">
        <v>0.169</v>
      </c>
      <c r="K452" s="72">
        <f t="shared" si="89"/>
        <v>5.408</v>
      </c>
      <c r="L452" s="35" t="s">
        <v>1961</v>
      </c>
      <c r="M452" s="35" t="s">
        <v>122</v>
      </c>
      <c r="N452" s="26">
        <f t="shared" si="90"/>
        <v>0</v>
      </c>
      <c r="Y452" s="26">
        <f t="shared" si="91"/>
        <v>0</v>
      </c>
      <c r="Z452" s="26">
        <f t="shared" si="92"/>
        <v>0</v>
      </c>
      <c r="AA452" s="26">
        <f t="shared" si="93"/>
        <v>0</v>
      </c>
      <c r="AC452" s="12">
        <v>21</v>
      </c>
      <c r="AD452" s="12">
        <f t="shared" si="94"/>
        <v>0</v>
      </c>
      <c r="AE452" s="12">
        <f t="shared" si="95"/>
        <v>0</v>
      </c>
      <c r="AL452" s="12">
        <f t="shared" si="96"/>
        <v>0</v>
      </c>
      <c r="AM452" s="12">
        <f t="shared" si="97"/>
        <v>0</v>
      </c>
      <c r="AN452" s="38" t="s">
        <v>1998</v>
      </c>
      <c r="AO452" s="38" t="s">
        <v>2028</v>
      </c>
      <c r="AP452" s="32" t="s">
        <v>2045</v>
      </c>
    </row>
    <row r="453" ht="12.75">
      <c r="C453" s="24" t="s">
        <v>1583</v>
      </c>
    </row>
    <row r="454" spans="1:42" ht="12.75">
      <c r="A454" s="50" t="s">
        <v>382</v>
      </c>
      <c r="B454" s="17" t="s">
        <v>925</v>
      </c>
      <c r="C454" s="17" t="s">
        <v>1584</v>
      </c>
      <c r="D454" s="17" t="s">
        <v>1941</v>
      </c>
      <c r="E454" s="26">
        <v>107.48</v>
      </c>
      <c r="F454" s="26">
        <v>0</v>
      </c>
      <c r="G454" s="26">
        <f>E454*AD454</f>
        <v>0</v>
      </c>
      <c r="H454" s="26">
        <f>I454-G454</f>
        <v>0</v>
      </c>
      <c r="I454" s="26">
        <f>E454*F454</f>
        <v>0</v>
      </c>
      <c r="J454" s="72">
        <v>0.068</v>
      </c>
      <c r="K454" s="72">
        <f>E454*J454</f>
        <v>7.3086400000000005</v>
      </c>
      <c r="L454" s="35" t="s">
        <v>1959</v>
      </c>
      <c r="M454" s="35" t="s">
        <v>122</v>
      </c>
      <c r="N454" s="26">
        <f>IF(M454="5",H454,0)</f>
        <v>0</v>
      </c>
      <c r="Y454" s="26">
        <f>IF(AC454=0,I454,0)</f>
        <v>0</v>
      </c>
      <c r="Z454" s="26">
        <f>IF(AC454=15,I454,0)</f>
        <v>0</v>
      </c>
      <c r="AA454" s="26">
        <f>IF(AC454=21,I454,0)</f>
        <v>0</v>
      </c>
      <c r="AC454" s="12">
        <v>21</v>
      </c>
      <c r="AD454" s="12">
        <f>F454*0</f>
        <v>0</v>
      </c>
      <c r="AE454" s="12">
        <f>F454*(1-0)</f>
        <v>0</v>
      </c>
      <c r="AL454" s="12">
        <f>E454*AD454</f>
        <v>0</v>
      </c>
      <c r="AM454" s="12">
        <f>E454*AE454</f>
        <v>0</v>
      </c>
      <c r="AN454" s="38" t="s">
        <v>1998</v>
      </c>
      <c r="AO454" s="38" t="s">
        <v>2028</v>
      </c>
      <c r="AP454" s="32" t="s">
        <v>2045</v>
      </c>
    </row>
    <row r="455" spans="1:36" ht="12.75">
      <c r="A455" s="52"/>
      <c r="B455" s="23" t="s">
        <v>52</v>
      </c>
      <c r="C455" s="121" t="s">
        <v>98</v>
      </c>
      <c r="D455" s="122"/>
      <c r="E455" s="122"/>
      <c r="F455" s="122"/>
      <c r="G455" s="40">
        <f>SUM(G456:G468)</f>
        <v>0</v>
      </c>
      <c r="H455" s="40">
        <f>SUM(H456:H468)</f>
        <v>0</v>
      </c>
      <c r="I455" s="40">
        <f>G455+H455</f>
        <v>0</v>
      </c>
      <c r="J455" s="74"/>
      <c r="K455" s="74">
        <f>SUM(K456:K468)</f>
        <v>0</v>
      </c>
      <c r="L455" s="32"/>
      <c r="O455" s="40">
        <f>IF(P455="PR",I455,SUM(N456:N468))</f>
        <v>0</v>
      </c>
      <c r="P455" s="32" t="s">
        <v>1967</v>
      </c>
      <c r="Q455" s="40">
        <f>IF(P455="HS",G455,0)</f>
        <v>0</v>
      </c>
      <c r="R455" s="40">
        <f>IF(P455="HS",H455-O455,0)</f>
        <v>0</v>
      </c>
      <c r="S455" s="40">
        <f>IF(P455="PS",G455,0)</f>
        <v>0</v>
      </c>
      <c r="T455" s="40">
        <f>IF(P455="PS",H455-O455,0)</f>
        <v>0</v>
      </c>
      <c r="U455" s="40">
        <f>IF(P455="MP",G455,0)</f>
        <v>0</v>
      </c>
      <c r="V455" s="40">
        <f>IF(P455="MP",H455-O455,0)</f>
        <v>0</v>
      </c>
      <c r="W455" s="40">
        <f>IF(P455="OM",G455,0)</f>
        <v>0</v>
      </c>
      <c r="X455" s="32"/>
      <c r="AH455" s="40">
        <f>SUM(Y456:Y468)</f>
        <v>0</v>
      </c>
      <c r="AI455" s="40">
        <f>SUM(Z456:Z468)</f>
        <v>0</v>
      </c>
      <c r="AJ455" s="40">
        <f>SUM(AA456:AA468)</f>
        <v>0</v>
      </c>
    </row>
    <row r="456" spans="1:42" ht="12.75">
      <c r="A456" s="50" t="s">
        <v>383</v>
      </c>
      <c r="B456" s="17" t="s">
        <v>926</v>
      </c>
      <c r="C456" s="17" t="s">
        <v>1585</v>
      </c>
      <c r="D456" s="17" t="s">
        <v>1945</v>
      </c>
      <c r="E456" s="26">
        <v>375.57</v>
      </c>
      <c r="F456" s="26">
        <v>0</v>
      </c>
      <c r="G456" s="26">
        <f aca="true" t="shared" si="98" ref="G456:G462">E456*AD456</f>
        <v>0</v>
      </c>
      <c r="H456" s="26">
        <f aca="true" t="shared" si="99" ref="H456:H462">I456-G456</f>
        <v>0</v>
      </c>
      <c r="I456" s="26">
        <f aca="true" t="shared" si="100" ref="I456:I462">E456*F456</f>
        <v>0</v>
      </c>
      <c r="J456" s="72">
        <v>0</v>
      </c>
      <c r="K456" s="72">
        <f aca="true" t="shared" si="101" ref="K456:K462">E456*J456</f>
        <v>0</v>
      </c>
      <c r="L456" s="35" t="s">
        <v>1959</v>
      </c>
      <c r="M456" s="35" t="s">
        <v>122</v>
      </c>
      <c r="N456" s="26">
        <f aca="true" t="shared" si="102" ref="N456:N462">IF(M456="5",H456,0)</f>
        <v>0</v>
      </c>
      <c r="Y456" s="26">
        <f aca="true" t="shared" si="103" ref="Y456:Y462">IF(AC456=0,I456,0)</f>
        <v>0</v>
      </c>
      <c r="Z456" s="26">
        <f aca="true" t="shared" si="104" ref="Z456:Z462">IF(AC456=15,I456,0)</f>
        <v>0</v>
      </c>
      <c r="AA456" s="26">
        <f aca="true" t="shared" si="105" ref="AA456:AA462">IF(AC456=21,I456,0)</f>
        <v>0</v>
      </c>
      <c r="AC456" s="12">
        <v>21</v>
      </c>
      <c r="AD456" s="12">
        <f aca="true" t="shared" si="106" ref="AD456:AD462">F456*0</f>
        <v>0</v>
      </c>
      <c r="AE456" s="12">
        <f aca="true" t="shared" si="107" ref="AE456:AE462">F456*(1-0)</f>
        <v>0</v>
      </c>
      <c r="AL456" s="12">
        <f aca="true" t="shared" si="108" ref="AL456:AL462">E456*AD456</f>
        <v>0</v>
      </c>
      <c r="AM456" s="12">
        <f aca="true" t="shared" si="109" ref="AM456:AM462">E456*AE456</f>
        <v>0</v>
      </c>
      <c r="AN456" s="38" t="s">
        <v>1999</v>
      </c>
      <c r="AO456" s="38" t="s">
        <v>2028</v>
      </c>
      <c r="AP456" s="32" t="s">
        <v>2045</v>
      </c>
    </row>
    <row r="457" spans="1:42" ht="12.75">
      <c r="A457" s="50" t="s">
        <v>384</v>
      </c>
      <c r="B457" s="17" t="s">
        <v>927</v>
      </c>
      <c r="C457" s="17" t="s">
        <v>1586</v>
      </c>
      <c r="D457" s="17" t="s">
        <v>1951</v>
      </c>
      <c r="E457" s="26">
        <v>4</v>
      </c>
      <c r="F457" s="26">
        <v>0</v>
      </c>
      <c r="G457" s="26">
        <f t="shared" si="98"/>
        <v>0</v>
      </c>
      <c r="H457" s="26">
        <f t="shared" si="99"/>
        <v>0</v>
      </c>
      <c r="I457" s="26">
        <f t="shared" si="100"/>
        <v>0</v>
      </c>
      <c r="J457" s="72">
        <v>0</v>
      </c>
      <c r="K457" s="72">
        <f t="shared" si="101"/>
        <v>0</v>
      </c>
      <c r="L457" s="35" t="s">
        <v>1959</v>
      </c>
      <c r="M457" s="35" t="s">
        <v>122</v>
      </c>
      <c r="N457" s="26">
        <f t="shared" si="102"/>
        <v>0</v>
      </c>
      <c r="Y457" s="26">
        <f t="shared" si="103"/>
        <v>0</v>
      </c>
      <c r="Z457" s="26">
        <f t="shared" si="104"/>
        <v>0</v>
      </c>
      <c r="AA457" s="26">
        <f t="shared" si="105"/>
        <v>0</v>
      </c>
      <c r="AC457" s="12">
        <v>21</v>
      </c>
      <c r="AD457" s="12">
        <f t="shared" si="106"/>
        <v>0</v>
      </c>
      <c r="AE457" s="12">
        <f t="shared" si="107"/>
        <v>0</v>
      </c>
      <c r="AL457" s="12">
        <f t="shared" si="108"/>
        <v>0</v>
      </c>
      <c r="AM457" s="12">
        <f t="shared" si="109"/>
        <v>0</v>
      </c>
      <c r="AN457" s="38" t="s">
        <v>1999</v>
      </c>
      <c r="AO457" s="38" t="s">
        <v>2028</v>
      </c>
      <c r="AP457" s="32" t="s">
        <v>2045</v>
      </c>
    </row>
    <row r="458" spans="1:42" ht="12.75">
      <c r="A458" s="50" t="s">
        <v>385</v>
      </c>
      <c r="B458" s="17" t="s">
        <v>928</v>
      </c>
      <c r="C458" s="17" t="s">
        <v>1587</v>
      </c>
      <c r="D458" s="17" t="s">
        <v>1944</v>
      </c>
      <c r="E458" s="26">
        <v>4</v>
      </c>
      <c r="F458" s="26">
        <v>0</v>
      </c>
      <c r="G458" s="26">
        <f t="shared" si="98"/>
        <v>0</v>
      </c>
      <c r="H458" s="26">
        <f t="shared" si="99"/>
        <v>0</v>
      </c>
      <c r="I458" s="26">
        <f t="shared" si="100"/>
        <v>0</v>
      </c>
      <c r="J458" s="72">
        <v>0</v>
      </c>
      <c r="K458" s="72">
        <f t="shared" si="101"/>
        <v>0</v>
      </c>
      <c r="L458" s="35" t="s">
        <v>1959</v>
      </c>
      <c r="M458" s="35" t="s">
        <v>122</v>
      </c>
      <c r="N458" s="26">
        <f t="shared" si="102"/>
        <v>0</v>
      </c>
      <c r="Y458" s="26">
        <f t="shared" si="103"/>
        <v>0</v>
      </c>
      <c r="Z458" s="26">
        <f t="shared" si="104"/>
        <v>0</v>
      </c>
      <c r="AA458" s="26">
        <f t="shared" si="105"/>
        <v>0</v>
      </c>
      <c r="AC458" s="12">
        <v>21</v>
      </c>
      <c r="AD458" s="12">
        <f t="shared" si="106"/>
        <v>0</v>
      </c>
      <c r="AE458" s="12">
        <f t="shared" si="107"/>
        <v>0</v>
      </c>
      <c r="AL458" s="12">
        <f t="shared" si="108"/>
        <v>0</v>
      </c>
      <c r="AM458" s="12">
        <f t="shared" si="109"/>
        <v>0</v>
      </c>
      <c r="AN458" s="38" t="s">
        <v>1999</v>
      </c>
      <c r="AO458" s="38" t="s">
        <v>2028</v>
      </c>
      <c r="AP458" s="32" t="s">
        <v>2045</v>
      </c>
    </row>
    <row r="459" spans="1:42" ht="12.75">
      <c r="A459" s="50" t="s">
        <v>386</v>
      </c>
      <c r="B459" s="17" t="s">
        <v>929</v>
      </c>
      <c r="C459" s="17" t="s">
        <v>1588</v>
      </c>
      <c r="D459" s="17" t="s">
        <v>1945</v>
      </c>
      <c r="E459" s="26">
        <v>86.75</v>
      </c>
      <c r="F459" s="26">
        <v>0</v>
      </c>
      <c r="G459" s="26">
        <f t="shared" si="98"/>
        <v>0</v>
      </c>
      <c r="H459" s="26">
        <f t="shared" si="99"/>
        <v>0</v>
      </c>
      <c r="I459" s="26">
        <f t="shared" si="100"/>
        <v>0</v>
      </c>
      <c r="J459" s="72">
        <v>0</v>
      </c>
      <c r="K459" s="72">
        <f t="shared" si="101"/>
        <v>0</v>
      </c>
      <c r="L459" s="35" t="s">
        <v>1959</v>
      </c>
      <c r="M459" s="35" t="s">
        <v>126</v>
      </c>
      <c r="N459" s="26">
        <f t="shared" si="102"/>
        <v>0</v>
      </c>
      <c r="Y459" s="26">
        <f t="shared" si="103"/>
        <v>0</v>
      </c>
      <c r="Z459" s="26">
        <f t="shared" si="104"/>
        <v>0</v>
      </c>
      <c r="AA459" s="26">
        <f t="shared" si="105"/>
        <v>0</v>
      </c>
      <c r="AC459" s="12">
        <v>21</v>
      </c>
      <c r="AD459" s="12">
        <f t="shared" si="106"/>
        <v>0</v>
      </c>
      <c r="AE459" s="12">
        <f t="shared" si="107"/>
        <v>0</v>
      </c>
      <c r="AL459" s="12">
        <f t="shared" si="108"/>
        <v>0</v>
      </c>
      <c r="AM459" s="12">
        <f t="shared" si="109"/>
        <v>0</v>
      </c>
      <c r="AN459" s="38" t="s">
        <v>1999</v>
      </c>
      <c r="AO459" s="38" t="s">
        <v>2028</v>
      </c>
      <c r="AP459" s="32" t="s">
        <v>2045</v>
      </c>
    </row>
    <row r="460" spans="1:42" ht="12.75">
      <c r="A460" s="50" t="s">
        <v>387</v>
      </c>
      <c r="B460" s="17" t="s">
        <v>930</v>
      </c>
      <c r="C460" s="17" t="s">
        <v>1589</v>
      </c>
      <c r="D460" s="17" t="s">
        <v>1945</v>
      </c>
      <c r="E460" s="26">
        <v>35</v>
      </c>
      <c r="F460" s="26">
        <v>0</v>
      </c>
      <c r="G460" s="26">
        <f t="shared" si="98"/>
        <v>0</v>
      </c>
      <c r="H460" s="26">
        <f t="shared" si="99"/>
        <v>0</v>
      </c>
      <c r="I460" s="26">
        <f t="shared" si="100"/>
        <v>0</v>
      </c>
      <c r="J460" s="72">
        <v>0</v>
      </c>
      <c r="K460" s="72">
        <f t="shared" si="101"/>
        <v>0</v>
      </c>
      <c r="L460" s="35" t="s">
        <v>1959</v>
      </c>
      <c r="M460" s="35" t="s">
        <v>126</v>
      </c>
      <c r="N460" s="26">
        <f t="shared" si="102"/>
        <v>0</v>
      </c>
      <c r="Y460" s="26">
        <f t="shared" si="103"/>
        <v>0</v>
      </c>
      <c r="Z460" s="26">
        <f t="shared" si="104"/>
        <v>0</v>
      </c>
      <c r="AA460" s="26">
        <f t="shared" si="105"/>
        <v>0</v>
      </c>
      <c r="AC460" s="12">
        <v>21</v>
      </c>
      <c r="AD460" s="12">
        <f t="shared" si="106"/>
        <v>0</v>
      </c>
      <c r="AE460" s="12">
        <f t="shared" si="107"/>
        <v>0</v>
      </c>
      <c r="AL460" s="12">
        <f t="shared" si="108"/>
        <v>0</v>
      </c>
      <c r="AM460" s="12">
        <f t="shared" si="109"/>
        <v>0</v>
      </c>
      <c r="AN460" s="38" t="s">
        <v>1999</v>
      </c>
      <c r="AO460" s="38" t="s">
        <v>2028</v>
      </c>
      <c r="AP460" s="32" t="s">
        <v>2045</v>
      </c>
    </row>
    <row r="461" spans="1:42" ht="12.75">
      <c r="A461" s="50" t="s">
        <v>388</v>
      </c>
      <c r="B461" s="17" t="s">
        <v>931</v>
      </c>
      <c r="C461" s="17" t="s">
        <v>1590</v>
      </c>
      <c r="D461" s="17" t="s">
        <v>1945</v>
      </c>
      <c r="E461" s="26">
        <v>35</v>
      </c>
      <c r="F461" s="26">
        <v>0</v>
      </c>
      <c r="G461" s="26">
        <f t="shared" si="98"/>
        <v>0</v>
      </c>
      <c r="H461" s="26">
        <f t="shared" si="99"/>
        <v>0</v>
      </c>
      <c r="I461" s="26">
        <f t="shared" si="100"/>
        <v>0</v>
      </c>
      <c r="J461" s="72">
        <v>0</v>
      </c>
      <c r="K461" s="72">
        <f t="shared" si="101"/>
        <v>0</v>
      </c>
      <c r="L461" s="35" t="s">
        <v>1959</v>
      </c>
      <c r="M461" s="35" t="s">
        <v>126</v>
      </c>
      <c r="N461" s="26">
        <f t="shared" si="102"/>
        <v>0</v>
      </c>
      <c r="Y461" s="26">
        <f t="shared" si="103"/>
        <v>0</v>
      </c>
      <c r="Z461" s="26">
        <f t="shared" si="104"/>
        <v>0</v>
      </c>
      <c r="AA461" s="26">
        <f t="shared" si="105"/>
        <v>0</v>
      </c>
      <c r="AC461" s="12">
        <v>21</v>
      </c>
      <c r="AD461" s="12">
        <f t="shared" si="106"/>
        <v>0</v>
      </c>
      <c r="AE461" s="12">
        <f t="shared" si="107"/>
        <v>0</v>
      </c>
      <c r="AL461" s="12">
        <f t="shared" si="108"/>
        <v>0</v>
      </c>
      <c r="AM461" s="12">
        <f t="shared" si="109"/>
        <v>0</v>
      </c>
      <c r="AN461" s="38" t="s">
        <v>1999</v>
      </c>
      <c r="AO461" s="38" t="s">
        <v>2028</v>
      </c>
      <c r="AP461" s="32" t="s">
        <v>2045</v>
      </c>
    </row>
    <row r="462" spans="1:42" ht="12.75">
      <c r="A462" s="50" t="s">
        <v>389</v>
      </c>
      <c r="B462" s="17" t="s">
        <v>932</v>
      </c>
      <c r="C462" s="17" t="s">
        <v>1591</v>
      </c>
      <c r="D462" s="17" t="s">
        <v>1945</v>
      </c>
      <c r="E462" s="26">
        <v>1133.76</v>
      </c>
      <c r="F462" s="26">
        <v>0</v>
      </c>
      <c r="G462" s="26">
        <f t="shared" si="98"/>
        <v>0</v>
      </c>
      <c r="H462" s="26">
        <f t="shared" si="99"/>
        <v>0</v>
      </c>
      <c r="I462" s="26">
        <f t="shared" si="100"/>
        <v>0</v>
      </c>
      <c r="J462" s="72">
        <v>0</v>
      </c>
      <c r="K462" s="72">
        <f t="shared" si="101"/>
        <v>0</v>
      </c>
      <c r="L462" s="35" t="s">
        <v>1959</v>
      </c>
      <c r="M462" s="35" t="s">
        <v>126</v>
      </c>
      <c r="N462" s="26">
        <f t="shared" si="102"/>
        <v>0</v>
      </c>
      <c r="Y462" s="26">
        <f t="shared" si="103"/>
        <v>0</v>
      </c>
      <c r="Z462" s="26">
        <f t="shared" si="104"/>
        <v>0</v>
      </c>
      <c r="AA462" s="26">
        <f t="shared" si="105"/>
        <v>0</v>
      </c>
      <c r="AC462" s="12">
        <v>21</v>
      </c>
      <c r="AD462" s="12">
        <f t="shared" si="106"/>
        <v>0</v>
      </c>
      <c r="AE462" s="12">
        <f t="shared" si="107"/>
        <v>0</v>
      </c>
      <c r="AL462" s="12">
        <f t="shared" si="108"/>
        <v>0</v>
      </c>
      <c r="AM462" s="12">
        <f t="shared" si="109"/>
        <v>0</v>
      </c>
      <c r="AN462" s="38" t="s">
        <v>1999</v>
      </c>
      <c r="AO462" s="38" t="s">
        <v>2028</v>
      </c>
      <c r="AP462" s="32" t="s">
        <v>2045</v>
      </c>
    </row>
    <row r="463" ht="26.25">
      <c r="C463" s="24" t="s">
        <v>1592</v>
      </c>
    </row>
    <row r="464" spans="1:42" ht="12.75">
      <c r="A464" s="50" t="s">
        <v>390</v>
      </c>
      <c r="B464" s="17" t="s">
        <v>933</v>
      </c>
      <c r="C464" s="17" t="s">
        <v>1593</v>
      </c>
      <c r="D464" s="17" t="s">
        <v>1945</v>
      </c>
      <c r="E464" s="26">
        <v>7936.32</v>
      </c>
      <c r="F464" s="26">
        <v>0</v>
      </c>
      <c r="G464" s="26">
        <f>E464*AD464</f>
        <v>0</v>
      </c>
      <c r="H464" s="26">
        <f>I464-G464</f>
        <v>0</v>
      </c>
      <c r="I464" s="26">
        <f>E464*F464</f>
        <v>0</v>
      </c>
      <c r="J464" s="72">
        <v>0</v>
      </c>
      <c r="K464" s="72">
        <f>E464*J464</f>
        <v>0</v>
      </c>
      <c r="L464" s="35" t="s">
        <v>1959</v>
      </c>
      <c r="M464" s="35" t="s">
        <v>126</v>
      </c>
      <c r="N464" s="26">
        <f>IF(M464="5",H464,0)</f>
        <v>0</v>
      </c>
      <c r="Y464" s="26">
        <f>IF(AC464=0,I464,0)</f>
        <v>0</v>
      </c>
      <c r="Z464" s="26">
        <f>IF(AC464=15,I464,0)</f>
        <v>0</v>
      </c>
      <c r="AA464" s="26">
        <f>IF(AC464=21,I464,0)</f>
        <v>0</v>
      </c>
      <c r="AC464" s="12">
        <v>21</v>
      </c>
      <c r="AD464" s="12">
        <f>F464*0</f>
        <v>0</v>
      </c>
      <c r="AE464" s="12">
        <f>F464*(1-0)</f>
        <v>0</v>
      </c>
      <c r="AL464" s="12">
        <f>E464*AD464</f>
        <v>0</v>
      </c>
      <c r="AM464" s="12">
        <f>E464*AE464</f>
        <v>0</v>
      </c>
      <c r="AN464" s="38" t="s">
        <v>1999</v>
      </c>
      <c r="AO464" s="38" t="s">
        <v>2028</v>
      </c>
      <c r="AP464" s="32" t="s">
        <v>2045</v>
      </c>
    </row>
    <row r="465" spans="1:42" ht="12.75">
      <c r="A465" s="50" t="s">
        <v>391</v>
      </c>
      <c r="B465" s="17" t="s">
        <v>934</v>
      </c>
      <c r="C465" s="17" t="s">
        <v>1594</v>
      </c>
      <c r="D465" s="17" t="s">
        <v>1945</v>
      </c>
      <c r="E465" s="26">
        <v>1133.76</v>
      </c>
      <c r="F465" s="26">
        <v>0</v>
      </c>
      <c r="G465" s="26">
        <f>E465*AD465</f>
        <v>0</v>
      </c>
      <c r="H465" s="26">
        <f>I465-G465</f>
        <v>0</v>
      </c>
      <c r="I465" s="26">
        <f>E465*F465</f>
        <v>0</v>
      </c>
      <c r="J465" s="72">
        <v>0</v>
      </c>
      <c r="K465" s="72">
        <f>E465*J465</f>
        <v>0</v>
      </c>
      <c r="L465" s="35" t="s">
        <v>1959</v>
      </c>
      <c r="M465" s="35" t="s">
        <v>126</v>
      </c>
      <c r="N465" s="26">
        <f>IF(M465="5",H465,0)</f>
        <v>0</v>
      </c>
      <c r="Y465" s="26">
        <f>IF(AC465=0,I465,0)</f>
        <v>0</v>
      </c>
      <c r="Z465" s="26">
        <f>IF(AC465=15,I465,0)</f>
        <v>0</v>
      </c>
      <c r="AA465" s="26">
        <f>IF(AC465=21,I465,0)</f>
        <v>0</v>
      </c>
      <c r="AC465" s="12">
        <v>21</v>
      </c>
      <c r="AD465" s="12">
        <f>F465*0</f>
        <v>0</v>
      </c>
      <c r="AE465" s="12">
        <f>F465*(1-0)</f>
        <v>0</v>
      </c>
      <c r="AL465" s="12">
        <f>E465*AD465</f>
        <v>0</v>
      </c>
      <c r="AM465" s="12">
        <f>E465*AE465</f>
        <v>0</v>
      </c>
      <c r="AN465" s="38" t="s">
        <v>1999</v>
      </c>
      <c r="AO465" s="38" t="s">
        <v>2028</v>
      </c>
      <c r="AP465" s="32" t="s">
        <v>2045</v>
      </c>
    </row>
    <row r="466" spans="1:42" ht="12.75">
      <c r="A466" s="50" t="s">
        <v>392</v>
      </c>
      <c r="B466" s="17" t="s">
        <v>935</v>
      </c>
      <c r="C466" s="17" t="s">
        <v>1595</v>
      </c>
      <c r="D466" s="17" t="s">
        <v>1945</v>
      </c>
      <c r="E466" s="26">
        <v>9070.08</v>
      </c>
      <c r="F466" s="26">
        <v>0</v>
      </c>
      <c r="G466" s="26">
        <f>E466*AD466</f>
        <v>0</v>
      </c>
      <c r="H466" s="26">
        <f>I466-G466</f>
        <v>0</v>
      </c>
      <c r="I466" s="26">
        <f>E466*F466</f>
        <v>0</v>
      </c>
      <c r="J466" s="72">
        <v>0</v>
      </c>
      <c r="K466" s="72">
        <f>E466*J466</f>
        <v>0</v>
      </c>
      <c r="L466" s="35" t="s">
        <v>1959</v>
      </c>
      <c r="M466" s="35" t="s">
        <v>126</v>
      </c>
      <c r="N466" s="26">
        <f>IF(M466="5",H466,0)</f>
        <v>0</v>
      </c>
      <c r="Y466" s="26">
        <f>IF(AC466=0,I466,0)</f>
        <v>0</v>
      </c>
      <c r="Z466" s="26">
        <f>IF(AC466=15,I466,0)</f>
        <v>0</v>
      </c>
      <c r="AA466" s="26">
        <f>IF(AC466=21,I466,0)</f>
        <v>0</v>
      </c>
      <c r="AC466" s="12">
        <v>21</v>
      </c>
      <c r="AD466" s="12">
        <f>F466*0</f>
        <v>0</v>
      </c>
      <c r="AE466" s="12">
        <f>F466*(1-0)</f>
        <v>0</v>
      </c>
      <c r="AL466" s="12">
        <f>E466*AD466</f>
        <v>0</v>
      </c>
      <c r="AM466" s="12">
        <f>E466*AE466</f>
        <v>0</v>
      </c>
      <c r="AN466" s="38" t="s">
        <v>1999</v>
      </c>
      <c r="AO466" s="38" t="s">
        <v>2028</v>
      </c>
      <c r="AP466" s="32" t="s">
        <v>2045</v>
      </c>
    </row>
    <row r="467" ht="12.75">
      <c r="C467" s="24" t="s">
        <v>1596</v>
      </c>
    </row>
    <row r="468" spans="1:42" ht="12.75">
      <c r="A468" s="50" t="s">
        <v>393</v>
      </c>
      <c r="B468" s="17" t="s">
        <v>936</v>
      </c>
      <c r="C468" s="17" t="s">
        <v>1597</v>
      </c>
      <c r="D468" s="17" t="s">
        <v>1945</v>
      </c>
      <c r="E468" s="26">
        <v>1127.4</v>
      </c>
      <c r="F468" s="26">
        <v>0</v>
      </c>
      <c r="G468" s="26">
        <f>E468*AD468</f>
        <v>0</v>
      </c>
      <c r="H468" s="26">
        <f>I468-G468</f>
        <v>0</v>
      </c>
      <c r="I468" s="26">
        <f>E468*F468</f>
        <v>0</v>
      </c>
      <c r="J468" s="72">
        <v>0</v>
      </c>
      <c r="K468" s="72">
        <f>E468*J468</f>
        <v>0</v>
      </c>
      <c r="L468" s="35" t="s">
        <v>1962</v>
      </c>
      <c r="M468" s="35" t="s">
        <v>122</v>
      </c>
      <c r="N468" s="26">
        <f>IF(M468="5",H468,0)</f>
        <v>0</v>
      </c>
      <c r="Y468" s="26">
        <f>IF(AC468=0,I468,0)</f>
        <v>0</v>
      </c>
      <c r="Z468" s="26">
        <f>IF(AC468=15,I468,0)</f>
        <v>0</v>
      </c>
      <c r="AA468" s="26">
        <f>IF(AC468=21,I468,0)</f>
        <v>0</v>
      </c>
      <c r="AC468" s="12">
        <v>21</v>
      </c>
      <c r="AD468" s="12">
        <f>F468*0</f>
        <v>0</v>
      </c>
      <c r="AE468" s="12">
        <f>F468*(1-0)</f>
        <v>0</v>
      </c>
      <c r="AL468" s="12">
        <f>E468*AD468</f>
        <v>0</v>
      </c>
      <c r="AM468" s="12">
        <f>E468*AE468</f>
        <v>0</v>
      </c>
      <c r="AN468" s="38" t="s">
        <v>1999</v>
      </c>
      <c r="AO468" s="38" t="s">
        <v>2028</v>
      </c>
      <c r="AP468" s="32" t="s">
        <v>2045</v>
      </c>
    </row>
    <row r="469" spans="1:36" ht="12.75">
      <c r="A469" s="52"/>
      <c r="B469" s="23" t="s">
        <v>24</v>
      </c>
      <c r="C469" s="121" t="s">
        <v>71</v>
      </c>
      <c r="D469" s="122"/>
      <c r="E469" s="122"/>
      <c r="F469" s="122"/>
      <c r="G469" s="40">
        <f>SUM(G470:G492)</f>
        <v>0</v>
      </c>
      <c r="H469" s="40">
        <f>SUM(H470:H492)</f>
        <v>0</v>
      </c>
      <c r="I469" s="40">
        <f>G469+H469</f>
        <v>0</v>
      </c>
      <c r="J469" s="74"/>
      <c r="K469" s="74">
        <f>SUM(K470:K492)</f>
        <v>12.1689497</v>
      </c>
      <c r="L469" s="32"/>
      <c r="O469" s="40">
        <f>IF(P469="PR",I469,SUM(N470:N492))</f>
        <v>0</v>
      </c>
      <c r="P469" s="32" t="s">
        <v>1968</v>
      </c>
      <c r="Q469" s="40">
        <f>IF(P469="HS",G469,0)</f>
        <v>0</v>
      </c>
      <c r="R469" s="40">
        <f>IF(P469="HS",H469-O469,0)</f>
        <v>0</v>
      </c>
      <c r="S469" s="40">
        <f>IF(P469="PS",G469,0)</f>
        <v>0</v>
      </c>
      <c r="T469" s="40">
        <f>IF(P469="PS",H469-O469,0)</f>
        <v>0</v>
      </c>
      <c r="U469" s="40">
        <f>IF(P469="MP",G469,0)</f>
        <v>0</v>
      </c>
      <c r="V469" s="40">
        <f>IF(P469="MP",H469-O469,0)</f>
        <v>0</v>
      </c>
      <c r="W469" s="40">
        <f>IF(P469="OM",G469,0)</f>
        <v>0</v>
      </c>
      <c r="X469" s="32"/>
      <c r="AH469" s="40">
        <f>SUM(Y470:Y492)</f>
        <v>0</v>
      </c>
      <c r="AI469" s="40">
        <f>SUM(Z470:Z492)</f>
        <v>0</v>
      </c>
      <c r="AJ469" s="40">
        <f>SUM(AA470:AA492)</f>
        <v>0</v>
      </c>
    </row>
    <row r="470" spans="1:42" ht="12.75">
      <c r="A470" s="53" t="s">
        <v>394</v>
      </c>
      <c r="B470" s="18" t="s">
        <v>937</v>
      </c>
      <c r="C470" s="18" t="s">
        <v>1598</v>
      </c>
      <c r="D470" s="18" t="s">
        <v>1952</v>
      </c>
      <c r="E470" s="27">
        <v>0.93</v>
      </c>
      <c r="F470" s="27">
        <v>0</v>
      </c>
      <c r="G470" s="27">
        <f>E470*AD470</f>
        <v>0</v>
      </c>
      <c r="H470" s="27">
        <f>I470-G470</f>
        <v>0</v>
      </c>
      <c r="I470" s="27">
        <f>E470*F470</f>
        <v>0</v>
      </c>
      <c r="J470" s="76">
        <v>1</v>
      </c>
      <c r="K470" s="76">
        <f>E470*J470</f>
        <v>0.93</v>
      </c>
      <c r="L470" s="36" t="s">
        <v>1959</v>
      </c>
      <c r="M470" s="36" t="s">
        <v>7</v>
      </c>
      <c r="N470" s="27">
        <f>IF(M470="5",H470,0)</f>
        <v>0</v>
      </c>
      <c r="Y470" s="27">
        <f>IF(AC470=0,I470,0)</f>
        <v>0</v>
      </c>
      <c r="Z470" s="27">
        <f>IF(AC470=15,I470,0)</f>
        <v>0</v>
      </c>
      <c r="AA470" s="27">
        <f>IF(AC470=21,I470,0)</f>
        <v>0</v>
      </c>
      <c r="AC470" s="12">
        <v>21</v>
      </c>
      <c r="AD470" s="12">
        <f>F470*1</f>
        <v>0</v>
      </c>
      <c r="AE470" s="12">
        <f>F470*(1-1)</f>
        <v>0</v>
      </c>
      <c r="AL470" s="12">
        <f>E470*AD470</f>
        <v>0</v>
      </c>
      <c r="AM470" s="12">
        <f>E470*AE470</f>
        <v>0</v>
      </c>
      <c r="AN470" s="38" t="s">
        <v>2000</v>
      </c>
      <c r="AO470" s="38" t="s">
        <v>2029</v>
      </c>
      <c r="AP470" s="32" t="s">
        <v>2000</v>
      </c>
    </row>
    <row r="471" spans="1:42" s="60" customFormat="1" ht="26.25">
      <c r="A471" s="64" t="s">
        <v>395</v>
      </c>
      <c r="B471" s="65" t="s">
        <v>938</v>
      </c>
      <c r="C471" s="65" t="s">
        <v>1599</v>
      </c>
      <c r="D471" s="65" t="s">
        <v>1941</v>
      </c>
      <c r="E471" s="66">
        <v>2164.22</v>
      </c>
      <c r="F471" s="66">
        <v>0</v>
      </c>
      <c r="G471" s="66">
        <f>E471*AD471</f>
        <v>0</v>
      </c>
      <c r="H471" s="66">
        <f>I471-G471</f>
        <v>0</v>
      </c>
      <c r="I471" s="66">
        <f>E471*F471</f>
        <v>0</v>
      </c>
      <c r="J471" s="75">
        <v>0.0043</v>
      </c>
      <c r="K471" s="75">
        <f>E471*J471</f>
        <v>9.306146</v>
      </c>
      <c r="L471" s="67" t="s">
        <v>1959</v>
      </c>
      <c r="M471" s="67" t="s">
        <v>7</v>
      </c>
      <c r="N471" s="66">
        <f>IF(M471="5",H471,0)</f>
        <v>0</v>
      </c>
      <c r="Y471" s="66">
        <f>IF(AC471=0,I471,0)</f>
        <v>0</v>
      </c>
      <c r="Z471" s="66">
        <f>IF(AC471=15,I471,0)</f>
        <v>0</v>
      </c>
      <c r="AA471" s="66">
        <f>IF(AC471=21,I471,0)</f>
        <v>0</v>
      </c>
      <c r="AC471" s="61">
        <v>21</v>
      </c>
      <c r="AD471" s="61">
        <f>F471*1</f>
        <v>0</v>
      </c>
      <c r="AE471" s="61">
        <f>F471*(1-1)</f>
        <v>0</v>
      </c>
      <c r="AL471" s="61">
        <f>E471*AD471</f>
        <v>0</v>
      </c>
      <c r="AM471" s="61">
        <f>E471*AE471</f>
        <v>0</v>
      </c>
      <c r="AN471" s="62" t="s">
        <v>2000</v>
      </c>
      <c r="AO471" s="62" t="s">
        <v>2029</v>
      </c>
      <c r="AP471" s="63" t="s">
        <v>2000</v>
      </c>
    </row>
    <row r="472" spans="1:42" ht="12.75">
      <c r="A472" s="50" t="s">
        <v>396</v>
      </c>
      <c r="B472" s="17" t="s">
        <v>939</v>
      </c>
      <c r="C472" s="17" t="s">
        <v>1600</v>
      </c>
      <c r="D472" s="17" t="s">
        <v>1941</v>
      </c>
      <c r="E472" s="26">
        <v>708.9</v>
      </c>
      <c r="F472" s="26">
        <v>0</v>
      </c>
      <c r="G472" s="26">
        <f>E472*AD472</f>
        <v>0</v>
      </c>
      <c r="H472" s="26">
        <f>I472-G472</f>
        <v>0</v>
      </c>
      <c r="I472" s="26">
        <f>E472*F472</f>
        <v>0</v>
      </c>
      <c r="J472" s="72">
        <v>0.00082</v>
      </c>
      <c r="K472" s="72">
        <f>E472*J472</f>
        <v>0.581298</v>
      </c>
      <c r="L472" s="35" t="s">
        <v>1959</v>
      </c>
      <c r="M472" s="35" t="s">
        <v>122</v>
      </c>
      <c r="N472" s="26">
        <f>IF(M472="5",H472,0)</f>
        <v>0</v>
      </c>
      <c r="Y472" s="26">
        <f>IF(AC472=0,I472,0)</f>
        <v>0</v>
      </c>
      <c r="Z472" s="26">
        <f>IF(AC472=15,I472,0)</f>
        <v>0</v>
      </c>
      <c r="AA472" s="26">
        <f>IF(AC472=21,I472,0)</f>
        <v>0</v>
      </c>
      <c r="AC472" s="12">
        <v>21</v>
      </c>
      <c r="AD472" s="12">
        <f>F472*0.111849315068493</f>
        <v>0</v>
      </c>
      <c r="AE472" s="12">
        <f>F472*(1-0.111849315068493)</f>
        <v>0</v>
      </c>
      <c r="AL472" s="12">
        <f>E472*AD472</f>
        <v>0</v>
      </c>
      <c r="AM472" s="12">
        <f>E472*AE472</f>
        <v>0</v>
      </c>
      <c r="AN472" s="38" t="s">
        <v>2000</v>
      </c>
      <c r="AO472" s="38" t="s">
        <v>2029</v>
      </c>
      <c r="AP472" s="32" t="s">
        <v>2000</v>
      </c>
    </row>
    <row r="473" ht="12.75">
      <c r="C473" s="24" t="s">
        <v>1601</v>
      </c>
    </row>
    <row r="474" spans="1:42" ht="12.75">
      <c r="A474" s="50" t="s">
        <v>397</v>
      </c>
      <c r="B474" s="17" t="s">
        <v>940</v>
      </c>
      <c r="C474" s="17" t="s">
        <v>1602</v>
      </c>
      <c r="D474" s="17" t="s">
        <v>1941</v>
      </c>
      <c r="E474" s="26">
        <v>239.38</v>
      </c>
      <c r="F474" s="26">
        <v>0</v>
      </c>
      <c r="G474" s="26">
        <f>E474*AD474</f>
        <v>0</v>
      </c>
      <c r="H474" s="26">
        <f>I474-G474</f>
        <v>0</v>
      </c>
      <c r="I474" s="26">
        <f>E474*F474</f>
        <v>0</v>
      </c>
      <c r="J474" s="72">
        <v>0.00099</v>
      </c>
      <c r="K474" s="72">
        <f>E474*J474</f>
        <v>0.2369862</v>
      </c>
      <c r="L474" s="35" t="s">
        <v>1959</v>
      </c>
      <c r="M474" s="35" t="s">
        <v>122</v>
      </c>
      <c r="N474" s="26">
        <f>IF(M474="5",H474,0)</f>
        <v>0</v>
      </c>
      <c r="Y474" s="26">
        <f>IF(AC474=0,I474,0)</f>
        <v>0</v>
      </c>
      <c r="Z474" s="26">
        <f>IF(AC474=15,I474,0)</f>
        <v>0</v>
      </c>
      <c r="AA474" s="26">
        <f>IF(AC474=21,I474,0)</f>
        <v>0</v>
      </c>
      <c r="AC474" s="12">
        <v>21</v>
      </c>
      <c r="AD474" s="12">
        <f>F474*0.118782436293661</f>
        <v>0</v>
      </c>
      <c r="AE474" s="12">
        <f>F474*(1-0.118782436293661)</f>
        <v>0</v>
      </c>
      <c r="AL474" s="12">
        <f>E474*AD474</f>
        <v>0</v>
      </c>
      <c r="AM474" s="12">
        <f>E474*AE474</f>
        <v>0</v>
      </c>
      <c r="AN474" s="38" t="s">
        <v>2000</v>
      </c>
      <c r="AO474" s="38" t="s">
        <v>2029</v>
      </c>
      <c r="AP474" s="32" t="s">
        <v>2000</v>
      </c>
    </row>
    <row r="475" ht="12.75">
      <c r="C475" s="24" t="s">
        <v>1601</v>
      </c>
    </row>
    <row r="476" spans="1:42" s="60" customFormat="1" ht="26.25">
      <c r="A476" s="56" t="s">
        <v>398</v>
      </c>
      <c r="B476" s="57" t="s">
        <v>941</v>
      </c>
      <c r="C476" s="57" t="s">
        <v>1603</v>
      </c>
      <c r="D476" s="57" t="s">
        <v>1941</v>
      </c>
      <c r="E476" s="58">
        <v>4.8</v>
      </c>
      <c r="F476" s="58">
        <v>0</v>
      </c>
      <c r="G476" s="58">
        <f>E476*AD476</f>
        <v>0</v>
      </c>
      <c r="H476" s="58">
        <f>I476-G476</f>
        <v>0</v>
      </c>
      <c r="I476" s="58">
        <f>E476*F476</f>
        <v>0</v>
      </c>
      <c r="J476" s="77">
        <v>0.0015</v>
      </c>
      <c r="K476" s="77">
        <f>E476*J476</f>
        <v>0.0072</v>
      </c>
      <c r="L476" s="59" t="s">
        <v>1959</v>
      </c>
      <c r="M476" s="59" t="s">
        <v>122</v>
      </c>
      <c r="N476" s="58">
        <f>IF(M476="5",H476,0)</f>
        <v>0</v>
      </c>
      <c r="Y476" s="58">
        <f>IF(AC476=0,I476,0)</f>
        <v>0</v>
      </c>
      <c r="Z476" s="58">
        <f>IF(AC476=15,I476,0)</f>
        <v>0</v>
      </c>
      <c r="AA476" s="58">
        <f>IF(AC476=21,I476,0)</f>
        <v>0</v>
      </c>
      <c r="AC476" s="61">
        <v>21</v>
      </c>
      <c r="AD476" s="61">
        <f>F476*0.689941520467836</f>
        <v>0</v>
      </c>
      <c r="AE476" s="61">
        <f>F476*(1-0.689941520467836)</f>
        <v>0</v>
      </c>
      <c r="AL476" s="61">
        <f>E476*AD476</f>
        <v>0</v>
      </c>
      <c r="AM476" s="61">
        <f>E476*AE476</f>
        <v>0</v>
      </c>
      <c r="AN476" s="62" t="s">
        <v>2000</v>
      </c>
      <c r="AO476" s="62" t="s">
        <v>2029</v>
      </c>
      <c r="AP476" s="63" t="s">
        <v>2000</v>
      </c>
    </row>
    <row r="477" ht="26.25">
      <c r="C477" s="24" t="s">
        <v>1604</v>
      </c>
    </row>
    <row r="478" spans="1:42" s="60" customFormat="1" ht="26.25">
      <c r="A478" s="56" t="s">
        <v>399</v>
      </c>
      <c r="B478" s="57" t="s">
        <v>941</v>
      </c>
      <c r="C478" s="57" t="s">
        <v>1605</v>
      </c>
      <c r="D478" s="57" t="s">
        <v>1941</v>
      </c>
      <c r="E478" s="58">
        <v>1.3</v>
      </c>
      <c r="F478" s="58">
        <v>0</v>
      </c>
      <c r="G478" s="58">
        <f>E478*AD478</f>
        <v>0</v>
      </c>
      <c r="H478" s="58">
        <f>I478-G478</f>
        <v>0</v>
      </c>
      <c r="I478" s="58">
        <f>E478*F478</f>
        <v>0</v>
      </c>
      <c r="J478" s="77">
        <v>0.0015</v>
      </c>
      <c r="K478" s="77">
        <f>E478*J478</f>
        <v>0.0019500000000000001</v>
      </c>
      <c r="L478" s="59" t="s">
        <v>1959</v>
      </c>
      <c r="M478" s="59" t="s">
        <v>122</v>
      </c>
      <c r="N478" s="58">
        <f>IF(M478="5",H478,0)</f>
        <v>0</v>
      </c>
      <c r="Y478" s="58">
        <f>IF(AC478=0,I478,0)</f>
        <v>0</v>
      </c>
      <c r="Z478" s="58">
        <f>IF(AC478=15,I478,0)</f>
        <v>0</v>
      </c>
      <c r="AA478" s="58">
        <f>IF(AC478=21,I478,0)</f>
        <v>0</v>
      </c>
      <c r="AC478" s="61">
        <v>21</v>
      </c>
      <c r="AD478" s="61">
        <f>F478*0.689941520467836</f>
        <v>0</v>
      </c>
      <c r="AE478" s="61">
        <f>F478*(1-0.689941520467836)</f>
        <v>0</v>
      </c>
      <c r="AL478" s="61">
        <f>E478*AD478</f>
        <v>0</v>
      </c>
      <c r="AM478" s="61">
        <f>E478*AE478</f>
        <v>0</v>
      </c>
      <c r="AN478" s="62" t="s">
        <v>2000</v>
      </c>
      <c r="AO478" s="62" t="s">
        <v>2029</v>
      </c>
      <c r="AP478" s="63" t="s">
        <v>2000</v>
      </c>
    </row>
    <row r="479" ht="12.75">
      <c r="C479" s="24" t="s">
        <v>1606</v>
      </c>
    </row>
    <row r="480" spans="1:42" ht="12.75">
      <c r="A480" s="50" t="s">
        <v>400</v>
      </c>
      <c r="B480" s="17" t="s">
        <v>942</v>
      </c>
      <c r="C480" s="17" t="s">
        <v>1607</v>
      </c>
      <c r="D480" s="17" t="s">
        <v>1941</v>
      </c>
      <c r="E480" s="26">
        <v>168.23</v>
      </c>
      <c r="F480" s="26">
        <v>0</v>
      </c>
      <c r="G480" s="26">
        <f>E480*AD480</f>
        <v>0</v>
      </c>
      <c r="H480" s="26">
        <f>I480-G480</f>
        <v>0</v>
      </c>
      <c r="I480" s="26">
        <f>E480*F480</f>
        <v>0</v>
      </c>
      <c r="J480" s="72">
        <v>0.00473</v>
      </c>
      <c r="K480" s="72">
        <f>E480*J480</f>
        <v>0.7957278999999999</v>
      </c>
      <c r="L480" s="35" t="s">
        <v>1961</v>
      </c>
      <c r="M480" s="35" t="s">
        <v>122</v>
      </c>
      <c r="N480" s="26">
        <f>IF(M480="5",H480,0)</f>
        <v>0</v>
      </c>
      <c r="Y480" s="26">
        <f>IF(AC480=0,I480,0)</f>
        <v>0</v>
      </c>
      <c r="Z480" s="26">
        <f>IF(AC480=15,I480,0)</f>
        <v>0</v>
      </c>
      <c r="AA480" s="26">
        <f>IF(AC480=21,I480,0)</f>
        <v>0</v>
      </c>
      <c r="AC480" s="12">
        <v>21</v>
      </c>
      <c r="AD480" s="12">
        <f>F480*0.75</f>
        <v>0</v>
      </c>
      <c r="AE480" s="12">
        <f>F480*(1-0.75)</f>
        <v>0</v>
      </c>
      <c r="AL480" s="12">
        <f>E480*AD480</f>
        <v>0</v>
      </c>
      <c r="AM480" s="12">
        <f>E480*AE480</f>
        <v>0</v>
      </c>
      <c r="AN480" s="38" t="s">
        <v>2000</v>
      </c>
      <c r="AO480" s="38" t="s">
        <v>2029</v>
      </c>
      <c r="AP480" s="32" t="s">
        <v>2000</v>
      </c>
    </row>
    <row r="481" ht="26.25">
      <c r="C481" s="24" t="s">
        <v>1608</v>
      </c>
    </row>
    <row r="482" spans="1:42" s="60" customFormat="1" ht="26.25">
      <c r="A482" s="56" t="s">
        <v>401</v>
      </c>
      <c r="B482" s="57" t="s">
        <v>943</v>
      </c>
      <c r="C482" s="57" t="s">
        <v>1609</v>
      </c>
      <c r="D482" s="57" t="s">
        <v>1941</v>
      </c>
      <c r="E482" s="58">
        <v>5</v>
      </c>
      <c r="F482" s="58">
        <v>0</v>
      </c>
      <c r="G482" s="58">
        <f>E482*AD482</f>
        <v>0</v>
      </c>
      <c r="H482" s="58">
        <f>I482-G482</f>
        <v>0</v>
      </c>
      <c r="I482" s="58">
        <f>E482*F482</f>
        <v>0</v>
      </c>
      <c r="J482" s="77">
        <v>0.0034</v>
      </c>
      <c r="K482" s="77">
        <f>E482*J482</f>
        <v>0.016999999999999998</v>
      </c>
      <c r="L482" s="59" t="s">
        <v>1959</v>
      </c>
      <c r="M482" s="59" t="s">
        <v>122</v>
      </c>
      <c r="N482" s="58">
        <f>IF(M482="5",H482,0)</f>
        <v>0</v>
      </c>
      <c r="Y482" s="58">
        <f>IF(AC482=0,I482,0)</f>
        <v>0</v>
      </c>
      <c r="Z482" s="58">
        <f>IF(AC482=15,I482,0)</f>
        <v>0</v>
      </c>
      <c r="AA482" s="58">
        <f>IF(AC482=21,I482,0)</f>
        <v>0</v>
      </c>
      <c r="AC482" s="61">
        <v>21</v>
      </c>
      <c r="AD482" s="61">
        <f>F482*0.727968613403271</f>
        <v>0</v>
      </c>
      <c r="AE482" s="61">
        <f>F482*(1-0.727968613403271)</f>
        <v>0</v>
      </c>
      <c r="AL482" s="61">
        <f>E482*AD482</f>
        <v>0</v>
      </c>
      <c r="AM482" s="61">
        <f>E482*AE482</f>
        <v>0</v>
      </c>
      <c r="AN482" s="62" t="s">
        <v>2000</v>
      </c>
      <c r="AO482" s="62" t="s">
        <v>2029</v>
      </c>
      <c r="AP482" s="63" t="s">
        <v>2000</v>
      </c>
    </row>
    <row r="483" ht="12.75">
      <c r="C483" s="24" t="s">
        <v>1610</v>
      </c>
    </row>
    <row r="484" spans="1:42" ht="12.75">
      <c r="A484" s="50" t="s">
        <v>402</v>
      </c>
      <c r="B484" s="17" t="s">
        <v>944</v>
      </c>
      <c r="C484" s="17" t="s">
        <v>1611</v>
      </c>
      <c r="D484" s="17" t="s">
        <v>1942</v>
      </c>
      <c r="E484" s="26">
        <v>4.1</v>
      </c>
      <c r="F484" s="26">
        <v>0</v>
      </c>
      <c r="G484" s="26">
        <f>E484*AD484</f>
        <v>0</v>
      </c>
      <c r="H484" s="26">
        <f>I484-G484</f>
        <v>0</v>
      </c>
      <c r="I484" s="26">
        <f>E484*F484</f>
        <v>0</v>
      </c>
      <c r="J484" s="72">
        <v>2E-05</v>
      </c>
      <c r="K484" s="72">
        <f>E484*J484</f>
        <v>8.2E-05</v>
      </c>
      <c r="L484" s="35" t="s">
        <v>1959</v>
      </c>
      <c r="M484" s="35" t="s">
        <v>122</v>
      </c>
      <c r="N484" s="26">
        <f>IF(M484="5",H484,0)</f>
        <v>0</v>
      </c>
      <c r="Y484" s="26">
        <f>IF(AC484=0,I484,0)</f>
        <v>0</v>
      </c>
      <c r="Z484" s="26">
        <f>IF(AC484=15,I484,0)</f>
        <v>0</v>
      </c>
      <c r="AA484" s="26">
        <f>IF(AC484=21,I484,0)</f>
        <v>0</v>
      </c>
      <c r="AC484" s="12">
        <v>21</v>
      </c>
      <c r="AD484" s="12">
        <f>F484*0.732967032967033</f>
        <v>0</v>
      </c>
      <c r="AE484" s="12">
        <f>F484*(1-0.732967032967033)</f>
        <v>0</v>
      </c>
      <c r="AL484" s="12">
        <f>E484*AD484</f>
        <v>0</v>
      </c>
      <c r="AM484" s="12">
        <f>E484*AE484</f>
        <v>0</v>
      </c>
      <c r="AN484" s="38" t="s">
        <v>2000</v>
      </c>
      <c r="AO484" s="38" t="s">
        <v>2029</v>
      </c>
      <c r="AP484" s="32" t="s">
        <v>2000</v>
      </c>
    </row>
    <row r="485" ht="12.75">
      <c r="C485" s="24" t="s">
        <v>1612</v>
      </c>
    </row>
    <row r="486" spans="1:42" ht="12.75">
      <c r="A486" s="50" t="s">
        <v>403</v>
      </c>
      <c r="B486" s="17" t="s">
        <v>945</v>
      </c>
      <c r="C486" s="17" t="s">
        <v>1613</v>
      </c>
      <c r="D486" s="17" t="s">
        <v>1941</v>
      </c>
      <c r="E486" s="26">
        <v>708.9</v>
      </c>
      <c r="F486" s="26">
        <v>0</v>
      </c>
      <c r="G486" s="26">
        <f>E486*AD486</f>
        <v>0</v>
      </c>
      <c r="H486" s="26">
        <f>I486-G486</f>
        <v>0</v>
      </c>
      <c r="I486" s="26">
        <f>E486*F486</f>
        <v>0</v>
      </c>
      <c r="J486" s="72">
        <v>0</v>
      </c>
      <c r="K486" s="72">
        <f>E486*J486</f>
        <v>0</v>
      </c>
      <c r="L486" s="35" t="s">
        <v>1959</v>
      </c>
      <c r="M486" s="35" t="s">
        <v>122</v>
      </c>
      <c r="N486" s="26">
        <f>IF(M486="5",H486,0)</f>
        <v>0</v>
      </c>
      <c r="Y486" s="26">
        <f>IF(AC486=0,I486,0)</f>
        <v>0</v>
      </c>
      <c r="Z486" s="26">
        <f>IF(AC486=15,I486,0)</f>
        <v>0</v>
      </c>
      <c r="AA486" s="26">
        <f>IF(AC486=21,I486,0)</f>
        <v>0</v>
      </c>
      <c r="AC486" s="12">
        <v>21</v>
      </c>
      <c r="AD486" s="12">
        <f>F486*0</f>
        <v>0</v>
      </c>
      <c r="AE486" s="12">
        <f>F486*(1-0)</f>
        <v>0</v>
      </c>
      <c r="AL486" s="12">
        <f>E486*AD486</f>
        <v>0</v>
      </c>
      <c r="AM486" s="12">
        <f>E486*AE486</f>
        <v>0</v>
      </c>
      <c r="AN486" s="38" t="s">
        <v>2000</v>
      </c>
      <c r="AO486" s="38" t="s">
        <v>2029</v>
      </c>
      <c r="AP486" s="32" t="s">
        <v>2000</v>
      </c>
    </row>
    <row r="487" spans="1:42" ht="12.75">
      <c r="A487" s="50" t="s">
        <v>404</v>
      </c>
      <c r="B487" s="17" t="s">
        <v>946</v>
      </c>
      <c r="C487" s="17" t="s">
        <v>1614</v>
      </c>
      <c r="D487" s="17" t="s">
        <v>1941</v>
      </c>
      <c r="E487" s="26">
        <v>239.38</v>
      </c>
      <c r="F487" s="26">
        <v>0</v>
      </c>
      <c r="G487" s="26">
        <f>E487*AD487</f>
        <v>0</v>
      </c>
      <c r="H487" s="26">
        <f>I487-G487</f>
        <v>0</v>
      </c>
      <c r="I487" s="26">
        <f>E487*F487</f>
        <v>0</v>
      </c>
      <c r="J487" s="72">
        <v>0.00017</v>
      </c>
      <c r="K487" s="72">
        <f>E487*J487</f>
        <v>0.040694600000000004</v>
      </c>
      <c r="L487" s="35" t="s">
        <v>1959</v>
      </c>
      <c r="M487" s="35" t="s">
        <v>122</v>
      </c>
      <c r="N487" s="26">
        <f>IF(M487="5",H487,0)</f>
        <v>0</v>
      </c>
      <c r="Y487" s="26">
        <f>IF(AC487=0,I487,0)</f>
        <v>0</v>
      </c>
      <c r="Z487" s="26">
        <f>IF(AC487=15,I487,0)</f>
        <v>0</v>
      </c>
      <c r="AA487" s="26">
        <f>IF(AC487=21,I487,0)</f>
        <v>0</v>
      </c>
      <c r="AC487" s="12">
        <v>21</v>
      </c>
      <c r="AD487" s="12">
        <f>F487*0.199014778325123</f>
        <v>0</v>
      </c>
      <c r="AE487" s="12">
        <f>F487*(1-0.199014778325123)</f>
        <v>0</v>
      </c>
      <c r="AL487" s="12">
        <f>E487*AD487</f>
        <v>0</v>
      </c>
      <c r="AM487" s="12">
        <f>E487*AE487</f>
        <v>0</v>
      </c>
      <c r="AN487" s="38" t="s">
        <v>2000</v>
      </c>
      <c r="AO487" s="38" t="s">
        <v>2029</v>
      </c>
      <c r="AP487" s="32" t="s">
        <v>2000</v>
      </c>
    </row>
    <row r="488" spans="1:42" ht="12.75">
      <c r="A488" s="50" t="s">
        <v>405</v>
      </c>
      <c r="B488" s="17" t="s">
        <v>947</v>
      </c>
      <c r="C488" s="17" t="s">
        <v>1615</v>
      </c>
      <c r="D488" s="17" t="s">
        <v>1941</v>
      </c>
      <c r="E488" s="26">
        <v>246.5</v>
      </c>
      <c r="F488" s="26">
        <v>0</v>
      </c>
      <c r="G488" s="26">
        <f>E488*AD488</f>
        <v>0</v>
      </c>
      <c r="H488" s="26">
        <f>I488-G488</f>
        <v>0</v>
      </c>
      <c r="I488" s="26">
        <f>E488*F488</f>
        <v>0</v>
      </c>
      <c r="J488" s="72">
        <v>0.00071</v>
      </c>
      <c r="K488" s="72">
        <f>E488*J488</f>
        <v>0.175015</v>
      </c>
      <c r="L488" s="35" t="s">
        <v>1963</v>
      </c>
      <c r="M488" s="35" t="s">
        <v>122</v>
      </c>
      <c r="N488" s="26">
        <f>IF(M488="5",H488,0)</f>
        <v>0</v>
      </c>
      <c r="Y488" s="26">
        <f>IF(AC488=0,I488,0)</f>
        <v>0</v>
      </c>
      <c r="Z488" s="26">
        <f>IF(AC488=15,I488,0)</f>
        <v>0</v>
      </c>
      <c r="AA488" s="26">
        <f>IF(AC488=21,I488,0)</f>
        <v>0</v>
      </c>
      <c r="AC488" s="12">
        <v>21</v>
      </c>
      <c r="AD488" s="12">
        <f>F488*0.504035874439462</f>
        <v>0</v>
      </c>
      <c r="AE488" s="12">
        <f>F488*(1-0.504035874439462)</f>
        <v>0</v>
      </c>
      <c r="AL488" s="12">
        <f>E488*AD488</f>
        <v>0</v>
      </c>
      <c r="AM488" s="12">
        <f>E488*AE488</f>
        <v>0</v>
      </c>
      <c r="AN488" s="38" t="s">
        <v>2000</v>
      </c>
      <c r="AO488" s="38" t="s">
        <v>2029</v>
      </c>
      <c r="AP488" s="32" t="s">
        <v>2000</v>
      </c>
    </row>
    <row r="489" ht="12.75">
      <c r="C489" s="24" t="s">
        <v>1616</v>
      </c>
    </row>
    <row r="490" spans="1:42" ht="12.75">
      <c r="A490" s="50" t="s">
        <v>406</v>
      </c>
      <c r="B490" s="17" t="s">
        <v>948</v>
      </c>
      <c r="C490" s="17" t="s">
        <v>1617</v>
      </c>
      <c r="D490" s="17" t="s">
        <v>1942</v>
      </c>
      <c r="E490" s="26">
        <v>145</v>
      </c>
      <c r="F490" s="26">
        <v>0</v>
      </c>
      <c r="G490" s="26">
        <f>E490*AD490</f>
        <v>0</v>
      </c>
      <c r="H490" s="26">
        <f>I490-G490</f>
        <v>0</v>
      </c>
      <c r="I490" s="26">
        <f>E490*F490</f>
        <v>0</v>
      </c>
      <c r="J490" s="72">
        <v>0.00053</v>
      </c>
      <c r="K490" s="72">
        <f>E490*J490</f>
        <v>0.07685</v>
      </c>
      <c r="L490" s="35" t="s">
        <v>1959</v>
      </c>
      <c r="M490" s="35" t="s">
        <v>122</v>
      </c>
      <c r="N490" s="26">
        <f>IF(M490="5",H490,0)</f>
        <v>0</v>
      </c>
      <c r="Y490" s="26">
        <f>IF(AC490=0,I490,0)</f>
        <v>0</v>
      </c>
      <c r="Z490" s="26">
        <f>IF(AC490=15,I490,0)</f>
        <v>0</v>
      </c>
      <c r="AA490" s="26">
        <f>IF(AC490=21,I490,0)</f>
        <v>0</v>
      </c>
      <c r="AC490" s="12">
        <v>21</v>
      </c>
      <c r="AD490" s="12">
        <f>F490*0.748939393939394</f>
        <v>0</v>
      </c>
      <c r="AE490" s="12">
        <f>F490*(1-0.748939393939394)</f>
        <v>0</v>
      </c>
      <c r="AL490" s="12">
        <f>E490*AD490</f>
        <v>0</v>
      </c>
      <c r="AM490" s="12">
        <f>E490*AE490</f>
        <v>0</v>
      </c>
      <c r="AN490" s="38" t="s">
        <v>2000</v>
      </c>
      <c r="AO490" s="38" t="s">
        <v>2029</v>
      </c>
      <c r="AP490" s="32" t="s">
        <v>2000</v>
      </c>
    </row>
    <row r="491" ht="12.75">
      <c r="C491" s="24" t="s">
        <v>1618</v>
      </c>
    </row>
    <row r="492" spans="1:42" ht="12.75">
      <c r="A492" s="50" t="s">
        <v>407</v>
      </c>
      <c r="B492" s="17" t="s">
        <v>949</v>
      </c>
      <c r="C492" s="17" t="s">
        <v>1619</v>
      </c>
      <c r="D492" s="17" t="s">
        <v>1950</v>
      </c>
      <c r="E492" s="26">
        <v>200</v>
      </c>
      <c r="F492" s="26">
        <v>0</v>
      </c>
      <c r="G492" s="26">
        <f>E492*AD492</f>
        <v>0</v>
      </c>
      <c r="H492" s="26">
        <f>I492-G492</f>
        <v>0</v>
      </c>
      <c r="I492" s="26">
        <f>E492*F492</f>
        <v>0</v>
      </c>
      <c r="J492" s="72">
        <v>0</v>
      </c>
      <c r="K492" s="72">
        <f>E492*J492</f>
        <v>0</v>
      </c>
      <c r="L492" s="35" t="s">
        <v>1961</v>
      </c>
      <c r="M492" s="35" t="s">
        <v>122</v>
      </c>
      <c r="N492" s="26">
        <f>IF(M492="5",H492,0)</f>
        <v>0</v>
      </c>
      <c r="Y492" s="26">
        <f>IF(AC492=0,I492,0)</f>
        <v>0</v>
      </c>
      <c r="Z492" s="26">
        <f>IF(AC492=15,I492,0)</f>
        <v>0</v>
      </c>
      <c r="AA492" s="26">
        <f>IF(AC492=21,I492,0)</f>
        <v>0</v>
      </c>
      <c r="AC492" s="12">
        <v>21</v>
      </c>
      <c r="AD492" s="12">
        <f>F492*0</f>
        <v>0</v>
      </c>
      <c r="AE492" s="12">
        <f>F492*(1-0)</f>
        <v>0</v>
      </c>
      <c r="AL492" s="12">
        <f>E492*AD492</f>
        <v>0</v>
      </c>
      <c r="AM492" s="12">
        <f>E492*AE492</f>
        <v>0</v>
      </c>
      <c r="AN492" s="38" t="s">
        <v>2000</v>
      </c>
      <c r="AO492" s="38" t="s">
        <v>2029</v>
      </c>
      <c r="AP492" s="32" t="s">
        <v>2037</v>
      </c>
    </row>
    <row r="493" ht="26.25">
      <c r="C493" s="24" t="s">
        <v>1620</v>
      </c>
    </row>
    <row r="494" spans="1:36" ht="12.75">
      <c r="A494" s="52"/>
      <c r="B494" s="23" t="s">
        <v>25</v>
      </c>
      <c r="C494" s="121" t="s">
        <v>72</v>
      </c>
      <c r="D494" s="122"/>
      <c r="E494" s="122"/>
      <c r="F494" s="122"/>
      <c r="G494" s="40">
        <f>SUM(G495:G521)</f>
        <v>0</v>
      </c>
      <c r="H494" s="40">
        <f>SUM(H495:H521)</f>
        <v>0</v>
      </c>
      <c r="I494" s="40">
        <f>G494+H494</f>
        <v>0</v>
      </c>
      <c r="J494" s="74"/>
      <c r="K494" s="74">
        <f>SUM(K495:K521)</f>
        <v>10.708708800000004</v>
      </c>
      <c r="L494" s="32"/>
      <c r="O494" s="40">
        <f>IF(P494="PR",I494,SUM(N495:N521))</f>
        <v>0</v>
      </c>
      <c r="P494" s="32" t="s">
        <v>1968</v>
      </c>
      <c r="Q494" s="40">
        <f>IF(P494="HS",G494,0)</f>
        <v>0</v>
      </c>
      <c r="R494" s="40">
        <f>IF(P494="HS",H494-O494,0)</f>
        <v>0</v>
      </c>
      <c r="S494" s="40">
        <f>IF(P494="PS",G494,0)</f>
        <v>0</v>
      </c>
      <c r="T494" s="40">
        <f>IF(P494="PS",H494-O494,0)</f>
        <v>0</v>
      </c>
      <c r="U494" s="40">
        <f>IF(P494="MP",G494,0)</f>
        <v>0</v>
      </c>
      <c r="V494" s="40">
        <f>IF(P494="MP",H494-O494,0)</f>
        <v>0</v>
      </c>
      <c r="W494" s="40">
        <f>IF(P494="OM",G494,0)</f>
        <v>0</v>
      </c>
      <c r="X494" s="32"/>
      <c r="AH494" s="40">
        <f>SUM(Y495:Y521)</f>
        <v>0</v>
      </c>
      <c r="AI494" s="40">
        <f>SUM(Z495:Z521)</f>
        <v>0</v>
      </c>
      <c r="AJ494" s="40">
        <f>SUM(AA495:AA521)</f>
        <v>0</v>
      </c>
    </row>
    <row r="495" spans="1:42" ht="12.75">
      <c r="A495" s="53" t="s">
        <v>408</v>
      </c>
      <c r="B495" s="18" t="s">
        <v>950</v>
      </c>
      <c r="C495" s="18" t="s">
        <v>1621</v>
      </c>
      <c r="D495" s="18" t="s">
        <v>1942</v>
      </c>
      <c r="E495" s="27">
        <v>1588.26</v>
      </c>
      <c r="F495" s="27">
        <v>0</v>
      </c>
      <c r="G495" s="27">
        <f aca="true" t="shared" si="110" ref="G495:G505">E495*AD495</f>
        <v>0</v>
      </c>
      <c r="H495" s="27">
        <f aca="true" t="shared" si="111" ref="H495:H505">I495-G495</f>
        <v>0</v>
      </c>
      <c r="I495" s="27">
        <f aca="true" t="shared" si="112" ref="I495:I505">E495*F495</f>
        <v>0</v>
      </c>
      <c r="J495" s="76">
        <v>0</v>
      </c>
      <c r="K495" s="76">
        <f aca="true" t="shared" si="113" ref="K495:K505">E495*J495</f>
        <v>0</v>
      </c>
      <c r="L495" s="36" t="s">
        <v>1964</v>
      </c>
      <c r="M495" s="36" t="s">
        <v>7</v>
      </c>
      <c r="N495" s="27">
        <f aca="true" t="shared" si="114" ref="N495:N505">IF(M495="5",H495,0)</f>
        <v>0</v>
      </c>
      <c r="Y495" s="27">
        <f aca="true" t="shared" si="115" ref="Y495:Y505">IF(AC495=0,I495,0)</f>
        <v>0</v>
      </c>
      <c r="Z495" s="27">
        <f aca="true" t="shared" si="116" ref="Z495:Z505">IF(AC495=15,I495,0)</f>
        <v>0</v>
      </c>
      <c r="AA495" s="27">
        <f aca="true" t="shared" si="117" ref="AA495:AA505">IF(AC495=21,I495,0)</f>
        <v>0</v>
      </c>
      <c r="AC495" s="12">
        <v>21</v>
      </c>
      <c r="AD495" s="12">
        <f aca="true" t="shared" si="118" ref="AD495:AD504">F495*1</f>
        <v>0</v>
      </c>
      <c r="AE495" s="12">
        <f aca="true" t="shared" si="119" ref="AE495:AE504">F495*(1-1)</f>
        <v>0</v>
      </c>
      <c r="AL495" s="12">
        <f aca="true" t="shared" si="120" ref="AL495:AL505">E495*AD495</f>
        <v>0</v>
      </c>
      <c r="AM495" s="12">
        <f aca="true" t="shared" si="121" ref="AM495:AM505">E495*AE495</f>
        <v>0</v>
      </c>
      <c r="AN495" s="38" t="s">
        <v>2001</v>
      </c>
      <c r="AO495" s="38" t="s">
        <v>2029</v>
      </c>
      <c r="AP495" s="32" t="s">
        <v>2001</v>
      </c>
    </row>
    <row r="496" spans="1:42" ht="12.75">
      <c r="A496" s="53" t="s">
        <v>409</v>
      </c>
      <c r="B496" s="18" t="s">
        <v>951</v>
      </c>
      <c r="C496" s="18" t="s">
        <v>1622</v>
      </c>
      <c r="D496" s="18" t="s">
        <v>1940</v>
      </c>
      <c r="E496" s="27">
        <v>19.67</v>
      </c>
      <c r="F496" s="27">
        <v>0</v>
      </c>
      <c r="G496" s="27">
        <f t="shared" si="110"/>
        <v>0</v>
      </c>
      <c r="H496" s="27">
        <f t="shared" si="111"/>
        <v>0</v>
      </c>
      <c r="I496" s="27">
        <f t="shared" si="112"/>
        <v>0</v>
      </c>
      <c r="J496" s="76">
        <v>0.025</v>
      </c>
      <c r="K496" s="76">
        <f t="shared" si="113"/>
        <v>0.4917500000000001</v>
      </c>
      <c r="L496" s="36" t="s">
        <v>1964</v>
      </c>
      <c r="M496" s="36" t="s">
        <v>7</v>
      </c>
      <c r="N496" s="27">
        <f t="shared" si="114"/>
        <v>0</v>
      </c>
      <c r="Y496" s="27">
        <f t="shared" si="115"/>
        <v>0</v>
      </c>
      <c r="Z496" s="27">
        <f t="shared" si="116"/>
        <v>0</v>
      </c>
      <c r="AA496" s="27">
        <f t="shared" si="117"/>
        <v>0</v>
      </c>
      <c r="AC496" s="12">
        <v>21</v>
      </c>
      <c r="AD496" s="12">
        <f t="shared" si="118"/>
        <v>0</v>
      </c>
      <c r="AE496" s="12">
        <f t="shared" si="119"/>
        <v>0</v>
      </c>
      <c r="AL496" s="12">
        <f t="shared" si="120"/>
        <v>0</v>
      </c>
      <c r="AM496" s="12">
        <f t="shared" si="121"/>
        <v>0</v>
      </c>
      <c r="AN496" s="38" t="s">
        <v>2001</v>
      </c>
      <c r="AO496" s="38" t="s">
        <v>2029</v>
      </c>
      <c r="AP496" s="32" t="s">
        <v>2001</v>
      </c>
    </row>
    <row r="497" spans="1:42" ht="12.75">
      <c r="A497" s="53" t="s">
        <v>410</v>
      </c>
      <c r="B497" s="18" t="s">
        <v>952</v>
      </c>
      <c r="C497" s="18" t="s">
        <v>1623</v>
      </c>
      <c r="D497" s="18" t="s">
        <v>1941</v>
      </c>
      <c r="E497" s="27">
        <v>246.56</v>
      </c>
      <c r="F497" s="27">
        <v>0</v>
      </c>
      <c r="G497" s="27">
        <f t="shared" si="110"/>
        <v>0</v>
      </c>
      <c r="H497" s="27">
        <f t="shared" si="111"/>
        <v>0</v>
      </c>
      <c r="I497" s="27">
        <f t="shared" si="112"/>
        <v>0</v>
      </c>
      <c r="J497" s="76">
        <v>0.00264</v>
      </c>
      <c r="K497" s="76">
        <f t="shared" si="113"/>
        <v>0.6509184</v>
      </c>
      <c r="L497" s="36" t="s">
        <v>1959</v>
      </c>
      <c r="M497" s="36" t="s">
        <v>7</v>
      </c>
      <c r="N497" s="27">
        <f t="shared" si="114"/>
        <v>0</v>
      </c>
      <c r="Y497" s="27">
        <f t="shared" si="115"/>
        <v>0</v>
      </c>
      <c r="Z497" s="27">
        <f t="shared" si="116"/>
        <v>0</v>
      </c>
      <c r="AA497" s="27">
        <f t="shared" si="117"/>
        <v>0</v>
      </c>
      <c r="AC497" s="12">
        <v>21</v>
      </c>
      <c r="AD497" s="12">
        <f t="shared" si="118"/>
        <v>0</v>
      </c>
      <c r="AE497" s="12">
        <f t="shared" si="119"/>
        <v>0</v>
      </c>
      <c r="AL497" s="12">
        <f t="shared" si="120"/>
        <v>0</v>
      </c>
      <c r="AM497" s="12">
        <f t="shared" si="121"/>
        <v>0</v>
      </c>
      <c r="AN497" s="38" t="s">
        <v>2001</v>
      </c>
      <c r="AO497" s="38" t="s">
        <v>2029</v>
      </c>
      <c r="AP497" s="32" t="s">
        <v>2001</v>
      </c>
    </row>
    <row r="498" spans="1:42" ht="12.75">
      <c r="A498" s="53" t="s">
        <v>411</v>
      </c>
      <c r="B498" s="18" t="s">
        <v>953</v>
      </c>
      <c r="C498" s="18" t="s">
        <v>1624</v>
      </c>
      <c r="D498" s="18" t="s">
        <v>1940</v>
      </c>
      <c r="E498" s="27">
        <v>87.09</v>
      </c>
      <c r="F498" s="27">
        <v>0</v>
      </c>
      <c r="G498" s="27">
        <f t="shared" si="110"/>
        <v>0</v>
      </c>
      <c r="H498" s="27">
        <f t="shared" si="111"/>
        <v>0</v>
      </c>
      <c r="I498" s="27">
        <f t="shared" si="112"/>
        <v>0</v>
      </c>
      <c r="J498" s="76">
        <v>0.03</v>
      </c>
      <c r="K498" s="76">
        <f t="shared" si="113"/>
        <v>2.6127</v>
      </c>
      <c r="L498" s="36" t="s">
        <v>1959</v>
      </c>
      <c r="M498" s="36" t="s">
        <v>7</v>
      </c>
      <c r="N498" s="27">
        <f t="shared" si="114"/>
        <v>0</v>
      </c>
      <c r="Y498" s="27">
        <f t="shared" si="115"/>
        <v>0</v>
      </c>
      <c r="Z498" s="27">
        <f t="shared" si="116"/>
        <v>0</v>
      </c>
      <c r="AA498" s="27">
        <f t="shared" si="117"/>
        <v>0</v>
      </c>
      <c r="AC498" s="12">
        <v>21</v>
      </c>
      <c r="AD498" s="12">
        <f t="shared" si="118"/>
        <v>0</v>
      </c>
      <c r="AE498" s="12">
        <f t="shared" si="119"/>
        <v>0</v>
      </c>
      <c r="AL498" s="12">
        <f t="shared" si="120"/>
        <v>0</v>
      </c>
      <c r="AM498" s="12">
        <f t="shared" si="121"/>
        <v>0</v>
      </c>
      <c r="AN498" s="38" t="s">
        <v>2001</v>
      </c>
      <c r="AO498" s="38" t="s">
        <v>2029</v>
      </c>
      <c r="AP498" s="32" t="s">
        <v>2001</v>
      </c>
    </row>
    <row r="499" spans="1:42" ht="12.75">
      <c r="A499" s="53" t="s">
        <v>412</v>
      </c>
      <c r="B499" s="18" t="s">
        <v>954</v>
      </c>
      <c r="C499" s="18" t="s">
        <v>1625</v>
      </c>
      <c r="D499" s="18" t="s">
        <v>1941</v>
      </c>
      <c r="E499" s="27">
        <v>674.86</v>
      </c>
      <c r="F499" s="27">
        <v>0</v>
      </c>
      <c r="G499" s="27">
        <f t="shared" si="110"/>
        <v>0</v>
      </c>
      <c r="H499" s="27">
        <f t="shared" si="111"/>
        <v>0</v>
      </c>
      <c r="I499" s="27">
        <f t="shared" si="112"/>
        <v>0</v>
      </c>
      <c r="J499" s="76">
        <v>0.0006</v>
      </c>
      <c r="K499" s="76">
        <f t="shared" si="113"/>
        <v>0.404916</v>
      </c>
      <c r="L499" s="36" t="s">
        <v>1959</v>
      </c>
      <c r="M499" s="36" t="s">
        <v>7</v>
      </c>
      <c r="N499" s="27">
        <f t="shared" si="114"/>
        <v>0</v>
      </c>
      <c r="Y499" s="27">
        <f t="shared" si="115"/>
        <v>0</v>
      </c>
      <c r="Z499" s="27">
        <f t="shared" si="116"/>
        <v>0</v>
      </c>
      <c r="AA499" s="27">
        <f t="shared" si="117"/>
        <v>0</v>
      </c>
      <c r="AC499" s="12">
        <v>21</v>
      </c>
      <c r="AD499" s="12">
        <f t="shared" si="118"/>
        <v>0</v>
      </c>
      <c r="AE499" s="12">
        <f t="shared" si="119"/>
        <v>0</v>
      </c>
      <c r="AL499" s="12">
        <f t="shared" si="120"/>
        <v>0</v>
      </c>
      <c r="AM499" s="12">
        <f t="shared" si="121"/>
        <v>0</v>
      </c>
      <c r="AN499" s="38" t="s">
        <v>2001</v>
      </c>
      <c r="AO499" s="38" t="s">
        <v>2029</v>
      </c>
      <c r="AP499" s="32" t="s">
        <v>2001</v>
      </c>
    </row>
    <row r="500" spans="1:42" ht="12.75">
      <c r="A500" s="53" t="s">
        <v>413</v>
      </c>
      <c r="B500" s="18" t="s">
        <v>955</v>
      </c>
      <c r="C500" s="18" t="s">
        <v>1626</v>
      </c>
      <c r="D500" s="18" t="s">
        <v>1941</v>
      </c>
      <c r="E500" s="27">
        <v>145.95</v>
      </c>
      <c r="F500" s="27">
        <v>0</v>
      </c>
      <c r="G500" s="27">
        <f t="shared" si="110"/>
        <v>0</v>
      </c>
      <c r="H500" s="27">
        <f t="shared" si="111"/>
        <v>0</v>
      </c>
      <c r="I500" s="27">
        <f t="shared" si="112"/>
        <v>0</v>
      </c>
      <c r="J500" s="76">
        <v>0.0008</v>
      </c>
      <c r="K500" s="76">
        <f t="shared" si="113"/>
        <v>0.11676</v>
      </c>
      <c r="L500" s="36" t="s">
        <v>1959</v>
      </c>
      <c r="M500" s="36" t="s">
        <v>7</v>
      </c>
      <c r="N500" s="27">
        <f t="shared" si="114"/>
        <v>0</v>
      </c>
      <c r="Y500" s="27">
        <f t="shared" si="115"/>
        <v>0</v>
      </c>
      <c r="Z500" s="27">
        <f t="shared" si="116"/>
        <v>0</v>
      </c>
      <c r="AA500" s="27">
        <f t="shared" si="117"/>
        <v>0</v>
      </c>
      <c r="AC500" s="12">
        <v>21</v>
      </c>
      <c r="AD500" s="12">
        <f t="shared" si="118"/>
        <v>0</v>
      </c>
      <c r="AE500" s="12">
        <f t="shared" si="119"/>
        <v>0</v>
      </c>
      <c r="AL500" s="12">
        <f t="shared" si="120"/>
        <v>0</v>
      </c>
      <c r="AM500" s="12">
        <f t="shared" si="121"/>
        <v>0</v>
      </c>
      <c r="AN500" s="38" t="s">
        <v>2001</v>
      </c>
      <c r="AO500" s="38" t="s">
        <v>2029</v>
      </c>
      <c r="AP500" s="32" t="s">
        <v>2001</v>
      </c>
    </row>
    <row r="501" spans="1:42" ht="12.75">
      <c r="A501" s="53" t="s">
        <v>414</v>
      </c>
      <c r="B501" s="18" t="s">
        <v>956</v>
      </c>
      <c r="C501" s="18" t="s">
        <v>1627</v>
      </c>
      <c r="D501" s="18" t="s">
        <v>1941</v>
      </c>
      <c r="E501" s="27">
        <v>11.9</v>
      </c>
      <c r="F501" s="27">
        <v>0</v>
      </c>
      <c r="G501" s="27">
        <f t="shared" si="110"/>
        <v>0</v>
      </c>
      <c r="H501" s="27">
        <f t="shared" si="111"/>
        <v>0</v>
      </c>
      <c r="I501" s="27">
        <f t="shared" si="112"/>
        <v>0</v>
      </c>
      <c r="J501" s="76">
        <v>0.0015</v>
      </c>
      <c r="K501" s="76">
        <f t="shared" si="113"/>
        <v>0.01785</v>
      </c>
      <c r="L501" s="36" t="s">
        <v>1959</v>
      </c>
      <c r="M501" s="36" t="s">
        <v>7</v>
      </c>
      <c r="N501" s="27">
        <f t="shared" si="114"/>
        <v>0</v>
      </c>
      <c r="Y501" s="27">
        <f t="shared" si="115"/>
        <v>0</v>
      </c>
      <c r="Z501" s="27">
        <f t="shared" si="116"/>
        <v>0</v>
      </c>
      <c r="AA501" s="27">
        <f t="shared" si="117"/>
        <v>0</v>
      </c>
      <c r="AC501" s="12">
        <v>21</v>
      </c>
      <c r="AD501" s="12">
        <f t="shared" si="118"/>
        <v>0</v>
      </c>
      <c r="AE501" s="12">
        <f t="shared" si="119"/>
        <v>0</v>
      </c>
      <c r="AL501" s="12">
        <f t="shared" si="120"/>
        <v>0</v>
      </c>
      <c r="AM501" s="12">
        <f t="shared" si="121"/>
        <v>0</v>
      </c>
      <c r="AN501" s="38" t="s">
        <v>2001</v>
      </c>
      <c r="AO501" s="38" t="s">
        <v>2029</v>
      </c>
      <c r="AP501" s="32" t="s">
        <v>2001</v>
      </c>
    </row>
    <row r="502" spans="1:42" ht="12.75">
      <c r="A502" s="53" t="s">
        <v>415</v>
      </c>
      <c r="B502" s="18" t="s">
        <v>957</v>
      </c>
      <c r="C502" s="18" t="s">
        <v>1628</v>
      </c>
      <c r="D502" s="18" t="s">
        <v>1941</v>
      </c>
      <c r="E502" s="27">
        <v>12.6</v>
      </c>
      <c r="F502" s="27">
        <v>0</v>
      </c>
      <c r="G502" s="27">
        <f t="shared" si="110"/>
        <v>0</v>
      </c>
      <c r="H502" s="27">
        <f t="shared" si="111"/>
        <v>0</v>
      </c>
      <c r="I502" s="27">
        <f t="shared" si="112"/>
        <v>0</v>
      </c>
      <c r="J502" s="76">
        <v>0.0015</v>
      </c>
      <c r="K502" s="76">
        <f t="shared" si="113"/>
        <v>0.0189</v>
      </c>
      <c r="L502" s="36" t="s">
        <v>1959</v>
      </c>
      <c r="M502" s="36" t="s">
        <v>7</v>
      </c>
      <c r="N502" s="27">
        <f t="shared" si="114"/>
        <v>0</v>
      </c>
      <c r="Y502" s="27">
        <f t="shared" si="115"/>
        <v>0</v>
      </c>
      <c r="Z502" s="27">
        <f t="shared" si="116"/>
        <v>0</v>
      </c>
      <c r="AA502" s="27">
        <f t="shared" si="117"/>
        <v>0</v>
      </c>
      <c r="AC502" s="12">
        <v>21</v>
      </c>
      <c r="AD502" s="12">
        <f t="shared" si="118"/>
        <v>0</v>
      </c>
      <c r="AE502" s="12">
        <f t="shared" si="119"/>
        <v>0</v>
      </c>
      <c r="AL502" s="12">
        <f t="shared" si="120"/>
        <v>0</v>
      </c>
      <c r="AM502" s="12">
        <f t="shared" si="121"/>
        <v>0</v>
      </c>
      <c r="AN502" s="38" t="s">
        <v>2001</v>
      </c>
      <c r="AO502" s="38" t="s">
        <v>2029</v>
      </c>
      <c r="AP502" s="32" t="s">
        <v>2001</v>
      </c>
    </row>
    <row r="503" spans="1:42" s="60" customFormat="1" ht="26.25">
      <c r="A503" s="64" t="s">
        <v>416</v>
      </c>
      <c r="B503" s="65" t="s">
        <v>958</v>
      </c>
      <c r="C503" s="65" t="s">
        <v>1629</v>
      </c>
      <c r="D503" s="65" t="s">
        <v>1941</v>
      </c>
      <c r="E503" s="66">
        <v>808.24</v>
      </c>
      <c r="F503" s="66">
        <v>0</v>
      </c>
      <c r="G503" s="66">
        <f t="shared" si="110"/>
        <v>0</v>
      </c>
      <c r="H503" s="66">
        <f t="shared" si="111"/>
        <v>0</v>
      </c>
      <c r="I503" s="66">
        <f t="shared" si="112"/>
        <v>0</v>
      </c>
      <c r="J503" s="75">
        <v>0.0021</v>
      </c>
      <c r="K503" s="75">
        <f t="shared" si="113"/>
        <v>1.697304</v>
      </c>
      <c r="L503" s="67" t="s">
        <v>1959</v>
      </c>
      <c r="M503" s="67" t="s">
        <v>7</v>
      </c>
      <c r="N503" s="66">
        <f t="shared" si="114"/>
        <v>0</v>
      </c>
      <c r="Y503" s="66">
        <f t="shared" si="115"/>
        <v>0</v>
      </c>
      <c r="Z503" s="66">
        <f t="shared" si="116"/>
        <v>0</v>
      </c>
      <c r="AA503" s="66">
        <f t="shared" si="117"/>
        <v>0</v>
      </c>
      <c r="AC503" s="61">
        <v>21</v>
      </c>
      <c r="AD503" s="61">
        <f t="shared" si="118"/>
        <v>0</v>
      </c>
      <c r="AE503" s="61">
        <f t="shared" si="119"/>
        <v>0</v>
      </c>
      <c r="AL503" s="61">
        <f t="shared" si="120"/>
        <v>0</v>
      </c>
      <c r="AM503" s="61">
        <f t="shared" si="121"/>
        <v>0</v>
      </c>
      <c r="AN503" s="62" t="s">
        <v>2001</v>
      </c>
      <c r="AO503" s="62" t="s">
        <v>2029</v>
      </c>
      <c r="AP503" s="63" t="s">
        <v>2001</v>
      </c>
    </row>
    <row r="504" spans="1:42" s="60" customFormat="1" ht="26.25">
      <c r="A504" s="64" t="s">
        <v>417</v>
      </c>
      <c r="B504" s="65" t="s">
        <v>959</v>
      </c>
      <c r="C504" s="65" t="s">
        <v>1630</v>
      </c>
      <c r="D504" s="65" t="s">
        <v>1941</v>
      </c>
      <c r="E504" s="66">
        <v>808.24</v>
      </c>
      <c r="F504" s="66">
        <v>0</v>
      </c>
      <c r="G504" s="66">
        <f t="shared" si="110"/>
        <v>0</v>
      </c>
      <c r="H504" s="66">
        <f t="shared" si="111"/>
        <v>0</v>
      </c>
      <c r="I504" s="66">
        <f t="shared" si="112"/>
        <v>0</v>
      </c>
      <c r="J504" s="75">
        <v>0.0024</v>
      </c>
      <c r="K504" s="75">
        <f t="shared" si="113"/>
        <v>1.939776</v>
      </c>
      <c r="L504" s="67" t="s">
        <v>1959</v>
      </c>
      <c r="M504" s="67" t="s">
        <v>7</v>
      </c>
      <c r="N504" s="66">
        <f t="shared" si="114"/>
        <v>0</v>
      </c>
      <c r="Y504" s="66">
        <f t="shared" si="115"/>
        <v>0</v>
      </c>
      <c r="Z504" s="66">
        <f t="shared" si="116"/>
        <v>0</v>
      </c>
      <c r="AA504" s="66">
        <f t="shared" si="117"/>
        <v>0</v>
      </c>
      <c r="AC504" s="61">
        <v>21</v>
      </c>
      <c r="AD504" s="61">
        <f t="shared" si="118"/>
        <v>0</v>
      </c>
      <c r="AE504" s="61">
        <f t="shared" si="119"/>
        <v>0</v>
      </c>
      <c r="AL504" s="61">
        <f t="shared" si="120"/>
        <v>0</v>
      </c>
      <c r="AM504" s="61">
        <f t="shared" si="121"/>
        <v>0</v>
      </c>
      <c r="AN504" s="62" t="s">
        <v>2001</v>
      </c>
      <c r="AO504" s="62" t="s">
        <v>2029</v>
      </c>
      <c r="AP504" s="63" t="s">
        <v>2001</v>
      </c>
    </row>
    <row r="505" spans="1:42" ht="12.75">
      <c r="A505" s="50" t="s">
        <v>418</v>
      </c>
      <c r="B505" s="17" t="s">
        <v>960</v>
      </c>
      <c r="C505" s="17" t="s">
        <v>1631</v>
      </c>
      <c r="D505" s="17" t="s">
        <v>1941</v>
      </c>
      <c r="E505" s="26">
        <v>104.9</v>
      </c>
      <c r="F505" s="26">
        <v>0</v>
      </c>
      <c r="G505" s="26">
        <f t="shared" si="110"/>
        <v>0</v>
      </c>
      <c r="H505" s="26">
        <f t="shared" si="111"/>
        <v>0</v>
      </c>
      <c r="I505" s="26">
        <f t="shared" si="112"/>
        <v>0</v>
      </c>
      <c r="J505" s="72">
        <v>0.00023</v>
      </c>
      <c r="K505" s="72">
        <f t="shared" si="113"/>
        <v>0.024127000000000003</v>
      </c>
      <c r="L505" s="35" t="s">
        <v>1959</v>
      </c>
      <c r="M505" s="35" t="s">
        <v>122</v>
      </c>
      <c r="N505" s="26">
        <f t="shared" si="114"/>
        <v>0</v>
      </c>
      <c r="Y505" s="26">
        <f t="shared" si="115"/>
        <v>0</v>
      </c>
      <c r="Z505" s="26">
        <f t="shared" si="116"/>
        <v>0</v>
      </c>
      <c r="AA505" s="26">
        <f t="shared" si="117"/>
        <v>0</v>
      </c>
      <c r="AC505" s="12">
        <v>21</v>
      </c>
      <c r="AD505" s="12">
        <f>F505*0.0474235807860262</f>
        <v>0</v>
      </c>
      <c r="AE505" s="12">
        <f>F505*(1-0.0474235807860262)</f>
        <v>0</v>
      </c>
      <c r="AL505" s="12">
        <f t="shared" si="120"/>
        <v>0</v>
      </c>
      <c r="AM505" s="12">
        <f t="shared" si="121"/>
        <v>0</v>
      </c>
      <c r="AN505" s="38" t="s">
        <v>2001</v>
      </c>
      <c r="AO505" s="38" t="s">
        <v>2029</v>
      </c>
      <c r="AP505" s="32" t="s">
        <v>2001</v>
      </c>
    </row>
    <row r="506" ht="12.75">
      <c r="C506" s="24" t="s">
        <v>1601</v>
      </c>
    </row>
    <row r="507" spans="1:42" ht="12.75">
      <c r="A507" s="50" t="s">
        <v>419</v>
      </c>
      <c r="B507" s="17" t="s">
        <v>961</v>
      </c>
      <c r="C507" s="17" t="s">
        <v>1632</v>
      </c>
      <c r="D507" s="17" t="s">
        <v>1941</v>
      </c>
      <c r="E507" s="26">
        <v>679.9</v>
      </c>
      <c r="F507" s="26">
        <v>0</v>
      </c>
      <c r="G507" s="26">
        <f>E507*AD507</f>
        <v>0</v>
      </c>
      <c r="H507" s="26">
        <f>I507-G507</f>
        <v>0</v>
      </c>
      <c r="I507" s="26">
        <f>E507*F507</f>
        <v>0</v>
      </c>
      <c r="J507" s="72">
        <v>0.00014</v>
      </c>
      <c r="K507" s="72">
        <f>E507*J507</f>
        <v>0.09518599999999999</v>
      </c>
      <c r="L507" s="35" t="s">
        <v>1959</v>
      </c>
      <c r="M507" s="35" t="s">
        <v>122</v>
      </c>
      <c r="N507" s="26">
        <f>IF(M507="5",H507,0)</f>
        <v>0</v>
      </c>
      <c r="Y507" s="26">
        <f>IF(AC507=0,I507,0)</f>
        <v>0</v>
      </c>
      <c r="Z507" s="26">
        <f>IF(AC507=15,I507,0)</f>
        <v>0</v>
      </c>
      <c r="AA507" s="26">
        <f>IF(AC507=21,I507,0)</f>
        <v>0</v>
      </c>
      <c r="AC507" s="12">
        <v>21</v>
      </c>
      <c r="AD507" s="12">
        <f>F507*0.314987080103359</f>
        <v>0</v>
      </c>
      <c r="AE507" s="12">
        <f>F507*(1-0.314987080103359)</f>
        <v>0</v>
      </c>
      <c r="AL507" s="12">
        <f>E507*AD507</f>
        <v>0</v>
      </c>
      <c r="AM507" s="12">
        <f>E507*AE507</f>
        <v>0</v>
      </c>
      <c r="AN507" s="38" t="s">
        <v>2001</v>
      </c>
      <c r="AO507" s="38" t="s">
        <v>2029</v>
      </c>
      <c r="AP507" s="32" t="s">
        <v>2001</v>
      </c>
    </row>
    <row r="508" ht="12.75">
      <c r="C508" s="24" t="s">
        <v>1633</v>
      </c>
    </row>
    <row r="509" spans="1:42" ht="12.75">
      <c r="A509" s="50" t="s">
        <v>420</v>
      </c>
      <c r="B509" s="17" t="s">
        <v>962</v>
      </c>
      <c r="C509" s="17" t="s">
        <v>1634</v>
      </c>
      <c r="D509" s="17" t="s">
        <v>1941</v>
      </c>
      <c r="E509" s="26">
        <v>1398.9</v>
      </c>
      <c r="F509" s="26">
        <v>0</v>
      </c>
      <c r="G509" s="26">
        <f>E509*AD509</f>
        <v>0</v>
      </c>
      <c r="H509" s="26">
        <f>I509-G509</f>
        <v>0</v>
      </c>
      <c r="I509" s="26">
        <f>E509*F509</f>
        <v>0</v>
      </c>
      <c r="J509" s="72">
        <v>0</v>
      </c>
      <c r="K509" s="72">
        <f>E509*J509</f>
        <v>0</v>
      </c>
      <c r="L509" s="35" t="s">
        <v>1959</v>
      </c>
      <c r="M509" s="35" t="s">
        <v>122</v>
      </c>
      <c r="N509" s="26">
        <f>IF(M509="5",H509,0)</f>
        <v>0</v>
      </c>
      <c r="Y509" s="26">
        <f>IF(AC509=0,I509,0)</f>
        <v>0</v>
      </c>
      <c r="Z509" s="26">
        <f>IF(AC509=15,I509,0)</f>
        <v>0</v>
      </c>
      <c r="AA509" s="26">
        <f>IF(AC509=21,I509,0)</f>
        <v>0</v>
      </c>
      <c r="AC509" s="12">
        <v>21</v>
      </c>
      <c r="AD509" s="12">
        <f>F509*0</f>
        <v>0</v>
      </c>
      <c r="AE509" s="12">
        <f>F509*(1-0)</f>
        <v>0</v>
      </c>
      <c r="AL509" s="12">
        <f>E509*AD509</f>
        <v>0</v>
      </c>
      <c r="AM509" s="12">
        <f>E509*AE509</f>
        <v>0</v>
      </c>
      <c r="AN509" s="38" t="s">
        <v>2001</v>
      </c>
      <c r="AO509" s="38" t="s">
        <v>2029</v>
      </c>
      <c r="AP509" s="32" t="s">
        <v>2001</v>
      </c>
    </row>
    <row r="510" ht="12.75">
      <c r="C510" s="24" t="s">
        <v>1216</v>
      </c>
    </row>
    <row r="511" spans="1:42" ht="12.75">
      <c r="A511" s="50" t="s">
        <v>421</v>
      </c>
      <c r="B511" s="17" t="s">
        <v>963</v>
      </c>
      <c r="C511" s="17" t="s">
        <v>1635</v>
      </c>
      <c r="D511" s="17" t="s">
        <v>1942</v>
      </c>
      <c r="E511" s="26">
        <v>1542</v>
      </c>
      <c r="F511" s="26">
        <v>0</v>
      </c>
      <c r="G511" s="26">
        <f>E511*AD511</f>
        <v>0</v>
      </c>
      <c r="H511" s="26">
        <f>I511-G511</f>
        <v>0</v>
      </c>
      <c r="I511" s="26">
        <f>E511*F511</f>
        <v>0</v>
      </c>
      <c r="J511" s="72">
        <v>0</v>
      </c>
      <c r="K511" s="72">
        <f>E511*J511</f>
        <v>0</v>
      </c>
      <c r="L511" s="35" t="s">
        <v>1959</v>
      </c>
      <c r="M511" s="35" t="s">
        <v>122</v>
      </c>
      <c r="N511" s="26">
        <f>IF(M511="5",H511,0)</f>
        <v>0</v>
      </c>
      <c r="Y511" s="26">
        <f>IF(AC511=0,I511,0)</f>
        <v>0</v>
      </c>
      <c r="Z511" s="26">
        <f>IF(AC511=15,I511,0)</f>
        <v>0</v>
      </c>
      <c r="AA511" s="26">
        <f>IF(AC511=21,I511,0)</f>
        <v>0</v>
      </c>
      <c r="AC511" s="12">
        <v>21</v>
      </c>
      <c r="AD511" s="12">
        <f>F511*0</f>
        <v>0</v>
      </c>
      <c r="AE511" s="12">
        <f>F511*(1-0)</f>
        <v>0</v>
      </c>
      <c r="AL511" s="12">
        <f>E511*AD511</f>
        <v>0</v>
      </c>
      <c r="AM511" s="12">
        <f>E511*AE511</f>
        <v>0</v>
      </c>
      <c r="AN511" s="38" t="s">
        <v>2001</v>
      </c>
      <c r="AO511" s="38" t="s">
        <v>2029</v>
      </c>
      <c r="AP511" s="32" t="s">
        <v>2001</v>
      </c>
    </row>
    <row r="512" ht="12.75">
      <c r="C512" s="24" t="s">
        <v>1216</v>
      </c>
    </row>
    <row r="513" spans="1:42" s="60" customFormat="1" ht="26.25">
      <c r="A513" s="56" t="s">
        <v>422</v>
      </c>
      <c r="B513" s="57" t="s">
        <v>964</v>
      </c>
      <c r="C513" s="57" t="s">
        <v>1636</v>
      </c>
      <c r="D513" s="57" t="s">
        <v>1941</v>
      </c>
      <c r="E513" s="58">
        <v>1384.4</v>
      </c>
      <c r="F513" s="58">
        <v>0</v>
      </c>
      <c r="G513" s="58">
        <f>E513*AD513</f>
        <v>0</v>
      </c>
      <c r="H513" s="58">
        <f>I513-G513</f>
        <v>0</v>
      </c>
      <c r="I513" s="58">
        <f>E513*F513</f>
        <v>0</v>
      </c>
      <c r="J513" s="77">
        <v>0</v>
      </c>
      <c r="K513" s="77">
        <f>E513*J513</f>
        <v>0</v>
      </c>
      <c r="L513" s="59" t="s">
        <v>1959</v>
      </c>
      <c r="M513" s="59" t="s">
        <v>122</v>
      </c>
      <c r="N513" s="58">
        <f>IF(M513="5",H513,0)</f>
        <v>0</v>
      </c>
      <c r="Y513" s="58">
        <f>IF(AC513=0,I513,0)</f>
        <v>0</v>
      </c>
      <c r="Z513" s="58">
        <f>IF(AC513=15,I513,0)</f>
        <v>0</v>
      </c>
      <c r="AA513" s="58">
        <f>IF(AC513=21,I513,0)</f>
        <v>0</v>
      </c>
      <c r="AC513" s="61">
        <v>21</v>
      </c>
      <c r="AD513" s="61">
        <f>F513*0</f>
        <v>0</v>
      </c>
      <c r="AE513" s="61">
        <f>F513*(1-0)</f>
        <v>0</v>
      </c>
      <c r="AL513" s="61">
        <f>E513*AD513</f>
        <v>0</v>
      </c>
      <c r="AM513" s="61">
        <f>E513*AE513</f>
        <v>0</v>
      </c>
      <c r="AN513" s="62" t="s">
        <v>2001</v>
      </c>
      <c r="AO513" s="62" t="s">
        <v>2029</v>
      </c>
      <c r="AP513" s="63" t="s">
        <v>2001</v>
      </c>
    </row>
    <row r="514" ht="12.75">
      <c r="C514" s="24" t="s">
        <v>1216</v>
      </c>
    </row>
    <row r="515" spans="1:42" ht="12.75">
      <c r="A515" s="50" t="s">
        <v>423</v>
      </c>
      <c r="B515" s="17" t="s">
        <v>965</v>
      </c>
      <c r="C515" s="17" t="s">
        <v>1637</v>
      </c>
      <c r="D515" s="17" t="s">
        <v>1941</v>
      </c>
      <c r="E515" s="26">
        <v>239.38</v>
      </c>
      <c r="F515" s="26">
        <v>0</v>
      </c>
      <c r="G515" s="26">
        <f>E515*AD515</f>
        <v>0</v>
      </c>
      <c r="H515" s="26">
        <f>I515-G515</f>
        <v>0</v>
      </c>
      <c r="I515" s="26">
        <f>E515*F515</f>
        <v>0</v>
      </c>
      <c r="J515" s="72">
        <v>0.00023</v>
      </c>
      <c r="K515" s="72">
        <f>E515*J515</f>
        <v>0.0550574</v>
      </c>
      <c r="L515" s="35" t="s">
        <v>1959</v>
      </c>
      <c r="M515" s="35" t="s">
        <v>122</v>
      </c>
      <c r="N515" s="26">
        <f>IF(M515="5",H515,0)</f>
        <v>0</v>
      </c>
      <c r="Y515" s="26">
        <f>IF(AC515=0,I515,0)</f>
        <v>0</v>
      </c>
      <c r="Z515" s="26">
        <f>IF(AC515=15,I515,0)</f>
        <v>0</v>
      </c>
      <c r="AA515" s="26">
        <f>IF(AC515=21,I515,0)</f>
        <v>0</v>
      </c>
      <c r="AC515" s="12">
        <v>21</v>
      </c>
      <c r="AD515" s="12">
        <f>F515*0.100555555555556</f>
        <v>0</v>
      </c>
      <c r="AE515" s="12">
        <f>F515*(1-0.100555555555556)</f>
        <v>0</v>
      </c>
      <c r="AL515" s="12">
        <f>E515*AD515</f>
        <v>0</v>
      </c>
      <c r="AM515" s="12">
        <f>E515*AE515</f>
        <v>0</v>
      </c>
      <c r="AN515" s="38" t="s">
        <v>2001</v>
      </c>
      <c r="AO515" s="38" t="s">
        <v>2029</v>
      </c>
      <c r="AP515" s="32" t="s">
        <v>2001</v>
      </c>
    </row>
    <row r="516" ht="12.75">
      <c r="C516" s="24" t="s">
        <v>1638</v>
      </c>
    </row>
    <row r="517" spans="1:42" ht="12.75">
      <c r="A517" s="50" t="s">
        <v>424</v>
      </c>
      <c r="B517" s="17" t="s">
        <v>965</v>
      </c>
      <c r="C517" s="17" t="s">
        <v>1639</v>
      </c>
      <c r="D517" s="17" t="s">
        <v>1941</v>
      </c>
      <c r="E517" s="26">
        <v>24.5</v>
      </c>
      <c r="F517" s="26">
        <v>0</v>
      </c>
      <c r="G517" s="26">
        <f>E517*AD517</f>
        <v>0</v>
      </c>
      <c r="H517" s="26">
        <f>I517-G517</f>
        <v>0</v>
      </c>
      <c r="I517" s="26">
        <f>E517*F517</f>
        <v>0</v>
      </c>
      <c r="J517" s="72">
        <v>0.00023</v>
      </c>
      <c r="K517" s="72">
        <f>E517*J517</f>
        <v>0.005635</v>
      </c>
      <c r="L517" s="35" t="s">
        <v>1959</v>
      </c>
      <c r="M517" s="35" t="s">
        <v>122</v>
      </c>
      <c r="N517" s="26">
        <f>IF(M517="5",H517,0)</f>
        <v>0</v>
      </c>
      <c r="Y517" s="26">
        <f>IF(AC517=0,I517,0)</f>
        <v>0</v>
      </c>
      <c r="Z517" s="26">
        <f>IF(AC517=15,I517,0)</f>
        <v>0</v>
      </c>
      <c r="AA517" s="26">
        <f>IF(AC517=21,I517,0)</f>
        <v>0</v>
      </c>
      <c r="AC517" s="12">
        <v>21</v>
      </c>
      <c r="AD517" s="12">
        <f>F517*0.100555555555556</f>
        <v>0</v>
      </c>
      <c r="AE517" s="12">
        <f>F517*(1-0.100555555555556)</f>
        <v>0</v>
      </c>
      <c r="AL517" s="12">
        <f>E517*AD517</f>
        <v>0</v>
      </c>
      <c r="AM517" s="12">
        <f>E517*AE517</f>
        <v>0</v>
      </c>
      <c r="AN517" s="38" t="s">
        <v>2001</v>
      </c>
      <c r="AO517" s="38" t="s">
        <v>2029</v>
      </c>
      <c r="AP517" s="32" t="s">
        <v>2001</v>
      </c>
    </row>
    <row r="518" ht="12.75">
      <c r="C518" s="24" t="s">
        <v>1640</v>
      </c>
    </row>
    <row r="519" spans="1:42" ht="12.75">
      <c r="A519" s="50" t="s">
        <v>425</v>
      </c>
      <c r="B519" s="17" t="s">
        <v>966</v>
      </c>
      <c r="C519" s="17" t="s">
        <v>1641</v>
      </c>
      <c r="D519" s="17" t="s">
        <v>1941</v>
      </c>
      <c r="E519" s="26">
        <v>1498.3</v>
      </c>
      <c r="F519" s="26">
        <v>0</v>
      </c>
      <c r="G519" s="26">
        <f>E519*AD519</f>
        <v>0</v>
      </c>
      <c r="H519" s="26">
        <f>I519-G519</f>
        <v>0</v>
      </c>
      <c r="I519" s="26">
        <f>E519*F519</f>
        <v>0</v>
      </c>
      <c r="J519" s="72">
        <v>1E-05</v>
      </c>
      <c r="K519" s="72">
        <f>E519*J519</f>
        <v>0.014983000000000002</v>
      </c>
      <c r="L519" s="35" t="s">
        <v>1959</v>
      </c>
      <c r="M519" s="35" t="s">
        <v>122</v>
      </c>
      <c r="N519" s="26">
        <f>IF(M519="5",H519,0)</f>
        <v>0</v>
      </c>
      <c r="Y519" s="26">
        <f>IF(AC519=0,I519,0)</f>
        <v>0</v>
      </c>
      <c r="Z519" s="26">
        <f>IF(AC519=15,I519,0)</f>
        <v>0</v>
      </c>
      <c r="AA519" s="26">
        <f>IF(AC519=21,I519,0)</f>
        <v>0</v>
      </c>
      <c r="AC519" s="12">
        <v>21</v>
      </c>
      <c r="AD519" s="12">
        <f>F519*0.299615384615385</f>
        <v>0</v>
      </c>
      <c r="AE519" s="12">
        <f>F519*(1-0.299615384615385)</f>
        <v>0</v>
      </c>
      <c r="AL519" s="12">
        <f>E519*AD519</f>
        <v>0</v>
      </c>
      <c r="AM519" s="12">
        <f>E519*AE519</f>
        <v>0</v>
      </c>
      <c r="AN519" s="38" t="s">
        <v>2001</v>
      </c>
      <c r="AO519" s="38" t="s">
        <v>2029</v>
      </c>
      <c r="AP519" s="32" t="s">
        <v>2001</v>
      </c>
    </row>
    <row r="520" ht="12.75">
      <c r="C520" s="24" t="s">
        <v>1642</v>
      </c>
    </row>
    <row r="521" spans="1:42" s="60" customFormat="1" ht="26.25">
      <c r="A521" s="56" t="s">
        <v>426</v>
      </c>
      <c r="B521" s="57" t="s">
        <v>967</v>
      </c>
      <c r="C521" s="57" t="s">
        <v>1643</v>
      </c>
      <c r="D521" s="57" t="s">
        <v>1941</v>
      </c>
      <c r="E521" s="58">
        <v>679.8</v>
      </c>
      <c r="F521" s="58">
        <v>0</v>
      </c>
      <c r="G521" s="58">
        <f>E521*AD521</f>
        <v>0</v>
      </c>
      <c r="H521" s="58">
        <f>I521-G521</f>
        <v>0</v>
      </c>
      <c r="I521" s="58">
        <f>E521*F521</f>
        <v>0</v>
      </c>
      <c r="J521" s="77">
        <v>0.00377</v>
      </c>
      <c r="K521" s="77">
        <f>E521*J521</f>
        <v>2.562846</v>
      </c>
      <c r="L521" s="59" t="s">
        <v>1959</v>
      </c>
      <c r="M521" s="59" t="s">
        <v>122</v>
      </c>
      <c r="N521" s="58">
        <f>IF(M521="5",H521,0)</f>
        <v>0</v>
      </c>
      <c r="Y521" s="58">
        <f>IF(AC521=0,I521,0)</f>
        <v>0</v>
      </c>
      <c r="Z521" s="58">
        <f>IF(AC521=15,I521,0)</f>
        <v>0</v>
      </c>
      <c r="AA521" s="58">
        <f>IF(AC521=21,I521,0)</f>
        <v>0</v>
      </c>
      <c r="AC521" s="61">
        <v>21</v>
      </c>
      <c r="AD521" s="61">
        <f>F521*0.8</f>
        <v>0</v>
      </c>
      <c r="AE521" s="61">
        <f>F521*(1-0.8)</f>
        <v>0</v>
      </c>
      <c r="AL521" s="61">
        <f>E521*AD521</f>
        <v>0</v>
      </c>
      <c r="AM521" s="61">
        <f>E521*AE521</f>
        <v>0</v>
      </c>
      <c r="AN521" s="62" t="s">
        <v>2001</v>
      </c>
      <c r="AO521" s="62" t="s">
        <v>2029</v>
      </c>
      <c r="AP521" s="63" t="s">
        <v>2001</v>
      </c>
    </row>
    <row r="522" ht="12.75">
      <c r="C522" s="24" t="s">
        <v>1644</v>
      </c>
    </row>
    <row r="523" spans="1:36" ht="12.75">
      <c r="A523" s="52"/>
      <c r="B523" s="23" t="s">
        <v>26</v>
      </c>
      <c r="C523" s="121" t="s">
        <v>73</v>
      </c>
      <c r="D523" s="122"/>
      <c r="E523" s="122"/>
      <c r="F523" s="122"/>
      <c r="G523" s="40">
        <f>SUM(G524:G554)</f>
        <v>0</v>
      </c>
      <c r="H523" s="40">
        <f>SUM(H524:H554)</f>
        <v>0</v>
      </c>
      <c r="I523" s="40">
        <f>G523+H523</f>
        <v>0</v>
      </c>
      <c r="J523" s="74"/>
      <c r="K523" s="74">
        <f>SUM(K524:K554)</f>
        <v>30.3677089</v>
      </c>
      <c r="L523" s="32"/>
      <c r="O523" s="40">
        <f>IF(P523="PR",I523,SUM(N524:N554))</f>
        <v>0</v>
      </c>
      <c r="P523" s="32" t="s">
        <v>1968</v>
      </c>
      <c r="Q523" s="40">
        <f>IF(P523="HS",G523,0)</f>
        <v>0</v>
      </c>
      <c r="R523" s="40">
        <f>IF(P523="HS",H523-O523,0)</f>
        <v>0</v>
      </c>
      <c r="S523" s="40">
        <f>IF(P523="PS",G523,0)</f>
        <v>0</v>
      </c>
      <c r="T523" s="40">
        <f>IF(P523="PS",H523-O523,0)</f>
        <v>0</v>
      </c>
      <c r="U523" s="40">
        <f>IF(P523="MP",G523,0)</f>
        <v>0</v>
      </c>
      <c r="V523" s="40">
        <f>IF(P523="MP",H523-O523,0)</f>
        <v>0</v>
      </c>
      <c r="W523" s="40">
        <f>IF(P523="OM",G523,0)</f>
        <v>0</v>
      </c>
      <c r="X523" s="32"/>
      <c r="AH523" s="40">
        <f>SUM(Y524:Y554)</f>
        <v>0</v>
      </c>
      <c r="AI523" s="40">
        <f>SUM(Z524:Z554)</f>
        <v>0</v>
      </c>
      <c r="AJ523" s="40">
        <f>SUM(AA524:AA554)</f>
        <v>0</v>
      </c>
    </row>
    <row r="524" spans="1:42" ht="12.75">
      <c r="A524" s="53" t="s">
        <v>427</v>
      </c>
      <c r="B524" s="18" t="s">
        <v>968</v>
      </c>
      <c r="C524" s="18" t="s">
        <v>1645</v>
      </c>
      <c r="D524" s="18" t="s">
        <v>1940</v>
      </c>
      <c r="E524" s="27">
        <v>3.33</v>
      </c>
      <c r="F524" s="27">
        <v>0</v>
      </c>
      <c r="G524" s="27">
        <f>E524*AD524</f>
        <v>0</v>
      </c>
      <c r="H524" s="27">
        <f>I524-G524</f>
        <v>0</v>
      </c>
      <c r="I524" s="27">
        <f>E524*F524</f>
        <v>0</v>
      </c>
      <c r="J524" s="76">
        <v>0.55</v>
      </c>
      <c r="K524" s="76">
        <f>E524*J524</f>
        <v>1.8315000000000001</v>
      </c>
      <c r="L524" s="36" t="s">
        <v>1959</v>
      </c>
      <c r="M524" s="36" t="s">
        <v>7</v>
      </c>
      <c r="N524" s="27">
        <f>IF(M524="5",H524,0)</f>
        <v>0</v>
      </c>
      <c r="Y524" s="27">
        <f>IF(AC524=0,I524,0)</f>
        <v>0</v>
      </c>
      <c r="Z524" s="27">
        <f>IF(AC524=15,I524,0)</f>
        <v>0</v>
      </c>
      <c r="AA524" s="27">
        <f>IF(AC524=21,I524,0)</f>
        <v>0</v>
      </c>
      <c r="AC524" s="12">
        <v>21</v>
      </c>
      <c r="AD524" s="12">
        <f>F524*1</f>
        <v>0</v>
      </c>
      <c r="AE524" s="12">
        <f>F524*(1-1)</f>
        <v>0</v>
      </c>
      <c r="AL524" s="12">
        <f>E524*AD524</f>
        <v>0</v>
      </c>
      <c r="AM524" s="12">
        <f>E524*AE524</f>
        <v>0</v>
      </c>
      <c r="AN524" s="38" t="s">
        <v>2002</v>
      </c>
      <c r="AO524" s="38" t="s">
        <v>2030</v>
      </c>
      <c r="AP524" s="32" t="s">
        <v>2051</v>
      </c>
    </row>
    <row r="525" spans="1:42" ht="12.75">
      <c r="A525" s="53" t="s">
        <v>428</v>
      </c>
      <c r="B525" s="18" t="s">
        <v>969</v>
      </c>
      <c r="C525" s="18" t="s">
        <v>1646</v>
      </c>
      <c r="D525" s="18" t="s">
        <v>1940</v>
      </c>
      <c r="E525" s="27">
        <v>5.43</v>
      </c>
      <c r="F525" s="27">
        <v>0</v>
      </c>
      <c r="G525" s="27">
        <f>E525*AD525</f>
        <v>0</v>
      </c>
      <c r="H525" s="27">
        <f>I525-G525</f>
        <v>0</v>
      </c>
      <c r="I525" s="27">
        <f>E525*F525</f>
        <v>0</v>
      </c>
      <c r="J525" s="76">
        <v>0.55</v>
      </c>
      <c r="K525" s="76">
        <f>E525*J525</f>
        <v>2.9865</v>
      </c>
      <c r="L525" s="36" t="s">
        <v>1959</v>
      </c>
      <c r="M525" s="36" t="s">
        <v>7</v>
      </c>
      <c r="N525" s="27">
        <f>IF(M525="5",H525,0)</f>
        <v>0</v>
      </c>
      <c r="Y525" s="27">
        <f>IF(AC525=0,I525,0)</f>
        <v>0</v>
      </c>
      <c r="Z525" s="27">
        <f>IF(AC525=15,I525,0)</f>
        <v>0</v>
      </c>
      <c r="AA525" s="27">
        <f>IF(AC525=21,I525,0)</f>
        <v>0</v>
      </c>
      <c r="AC525" s="12">
        <v>21</v>
      </c>
      <c r="AD525" s="12">
        <f>F525*1</f>
        <v>0</v>
      </c>
      <c r="AE525" s="12">
        <f>F525*(1-1)</f>
        <v>0</v>
      </c>
      <c r="AL525" s="12">
        <f>E525*AD525</f>
        <v>0</v>
      </c>
      <c r="AM525" s="12">
        <f>E525*AE525</f>
        <v>0</v>
      </c>
      <c r="AN525" s="38" t="s">
        <v>2002</v>
      </c>
      <c r="AO525" s="38" t="s">
        <v>2030</v>
      </c>
      <c r="AP525" s="32" t="s">
        <v>2051</v>
      </c>
    </row>
    <row r="526" spans="1:42" ht="12.75">
      <c r="A526" s="53" t="s">
        <v>429</v>
      </c>
      <c r="B526" s="18" t="s">
        <v>970</v>
      </c>
      <c r="C526" s="18" t="s">
        <v>1647</v>
      </c>
      <c r="D526" s="18" t="s">
        <v>1940</v>
      </c>
      <c r="E526" s="27">
        <v>0.57</v>
      </c>
      <c r="F526" s="27">
        <v>0</v>
      </c>
      <c r="G526" s="27">
        <f>E526*AD526</f>
        <v>0</v>
      </c>
      <c r="H526" s="27">
        <f>I526-G526</f>
        <v>0</v>
      </c>
      <c r="I526" s="27">
        <f>E526*F526</f>
        <v>0</v>
      </c>
      <c r="J526" s="76">
        <v>0.55</v>
      </c>
      <c r="K526" s="76">
        <f>E526*J526</f>
        <v>0.3135</v>
      </c>
      <c r="L526" s="36" t="s">
        <v>1959</v>
      </c>
      <c r="M526" s="36" t="s">
        <v>7</v>
      </c>
      <c r="N526" s="27">
        <f>IF(M526="5",H526,0)</f>
        <v>0</v>
      </c>
      <c r="Y526" s="27">
        <f>IF(AC526=0,I526,0)</f>
        <v>0</v>
      </c>
      <c r="Z526" s="27">
        <f>IF(AC526=15,I526,0)</f>
        <v>0</v>
      </c>
      <c r="AA526" s="27">
        <f>IF(AC526=21,I526,0)</f>
        <v>0</v>
      </c>
      <c r="AC526" s="12">
        <v>21</v>
      </c>
      <c r="AD526" s="12">
        <f>F526*1</f>
        <v>0</v>
      </c>
      <c r="AE526" s="12">
        <f>F526*(1-1)</f>
        <v>0</v>
      </c>
      <c r="AL526" s="12">
        <f>E526*AD526</f>
        <v>0</v>
      </c>
      <c r="AM526" s="12">
        <f>E526*AE526</f>
        <v>0</v>
      </c>
      <c r="AN526" s="38" t="s">
        <v>2002</v>
      </c>
      <c r="AO526" s="38" t="s">
        <v>2030</v>
      </c>
      <c r="AP526" s="32" t="s">
        <v>2043</v>
      </c>
    </row>
    <row r="527" spans="1:42" ht="12.75">
      <c r="A527" s="53" t="s">
        <v>430</v>
      </c>
      <c r="B527" s="18" t="s">
        <v>971</v>
      </c>
      <c r="C527" s="18" t="s">
        <v>1648</v>
      </c>
      <c r="D527" s="18" t="s">
        <v>1941</v>
      </c>
      <c r="E527" s="27">
        <v>44.22</v>
      </c>
      <c r="F527" s="27">
        <v>0</v>
      </c>
      <c r="G527" s="27">
        <f>E527*AD527</f>
        <v>0</v>
      </c>
      <c r="H527" s="27">
        <f>I527-G527</f>
        <v>0</v>
      </c>
      <c r="I527" s="27">
        <f>E527*F527</f>
        <v>0</v>
      </c>
      <c r="J527" s="76">
        <v>0.0157</v>
      </c>
      <c r="K527" s="76">
        <f>E527*J527</f>
        <v>0.6942539999999999</v>
      </c>
      <c r="L527" s="36" t="s">
        <v>1959</v>
      </c>
      <c r="M527" s="36" t="s">
        <v>7</v>
      </c>
      <c r="N527" s="27">
        <f>IF(M527="5",H527,0)</f>
        <v>0</v>
      </c>
      <c r="Y527" s="27">
        <f>IF(AC527=0,I527,0)</f>
        <v>0</v>
      </c>
      <c r="Z527" s="27">
        <f>IF(AC527=15,I527,0)</f>
        <v>0</v>
      </c>
      <c r="AA527" s="27">
        <f>IF(AC527=21,I527,0)</f>
        <v>0</v>
      </c>
      <c r="AC527" s="12">
        <v>21</v>
      </c>
      <c r="AD527" s="12">
        <f>F527*1</f>
        <v>0</v>
      </c>
      <c r="AE527" s="12">
        <f>F527*(1-1)</f>
        <v>0</v>
      </c>
      <c r="AL527" s="12">
        <f>E527*AD527</f>
        <v>0</v>
      </c>
      <c r="AM527" s="12">
        <f>E527*AE527</f>
        <v>0</v>
      </c>
      <c r="AN527" s="38" t="s">
        <v>2002</v>
      </c>
      <c r="AO527" s="38" t="s">
        <v>2030</v>
      </c>
      <c r="AP527" s="32" t="s">
        <v>2002</v>
      </c>
    </row>
    <row r="528" spans="1:42" ht="12.75">
      <c r="A528" s="50" t="s">
        <v>431</v>
      </c>
      <c r="B528" s="17" t="s">
        <v>972</v>
      </c>
      <c r="C528" s="17" t="s">
        <v>1649</v>
      </c>
      <c r="D528" s="17" t="s">
        <v>1941</v>
      </c>
      <c r="E528" s="26">
        <v>10.45</v>
      </c>
      <c r="F528" s="26">
        <v>0</v>
      </c>
      <c r="G528" s="26">
        <f>E528*AD528</f>
        <v>0</v>
      </c>
      <c r="H528" s="26">
        <f>I528-G528</f>
        <v>0</v>
      </c>
      <c r="I528" s="26">
        <f>E528*F528</f>
        <v>0</v>
      </c>
      <c r="J528" s="72">
        <v>0.022</v>
      </c>
      <c r="K528" s="72">
        <f>E528*J528</f>
        <v>0.22989999999999997</v>
      </c>
      <c r="L528" s="35" t="s">
        <v>1959</v>
      </c>
      <c r="M528" s="35" t="s">
        <v>122</v>
      </c>
      <c r="N528" s="26">
        <f>IF(M528="5",H528,0)</f>
        <v>0</v>
      </c>
      <c r="Y528" s="26">
        <f>IF(AC528=0,I528,0)</f>
        <v>0</v>
      </c>
      <c r="Z528" s="26">
        <f>IF(AC528=15,I528,0)</f>
        <v>0</v>
      </c>
      <c r="AA528" s="26">
        <f>IF(AC528=21,I528,0)</f>
        <v>0</v>
      </c>
      <c r="AC528" s="12">
        <v>21</v>
      </c>
      <c r="AD528" s="12">
        <f>F528*0.115015015015015</f>
        <v>0</v>
      </c>
      <c r="AE528" s="12">
        <f>F528*(1-0.115015015015015)</f>
        <v>0</v>
      </c>
      <c r="AL528" s="12">
        <f>E528*AD528</f>
        <v>0</v>
      </c>
      <c r="AM528" s="12">
        <f>E528*AE528</f>
        <v>0</v>
      </c>
      <c r="AN528" s="38" t="s">
        <v>2002</v>
      </c>
      <c r="AO528" s="38" t="s">
        <v>2030</v>
      </c>
      <c r="AP528" s="32" t="s">
        <v>2045</v>
      </c>
    </row>
    <row r="529" ht="12.75">
      <c r="C529" s="24" t="s">
        <v>1650</v>
      </c>
    </row>
    <row r="530" spans="1:42" ht="12.75">
      <c r="A530" s="50" t="s">
        <v>432</v>
      </c>
      <c r="B530" s="17" t="s">
        <v>973</v>
      </c>
      <c r="C530" s="17" t="s">
        <v>1651</v>
      </c>
      <c r="D530" s="17" t="s">
        <v>1942</v>
      </c>
      <c r="E530" s="26">
        <v>19.2</v>
      </c>
      <c r="F530" s="26">
        <v>0</v>
      </c>
      <c r="G530" s="26">
        <f>E530*AD530</f>
        <v>0</v>
      </c>
      <c r="H530" s="26">
        <f>I530-G530</f>
        <v>0</v>
      </c>
      <c r="I530" s="26">
        <f>E530*F530</f>
        <v>0</v>
      </c>
      <c r="J530" s="72">
        <v>0.014</v>
      </c>
      <c r="K530" s="72">
        <f>E530*J530</f>
        <v>0.2688</v>
      </c>
      <c r="L530" s="35" t="s">
        <v>1959</v>
      </c>
      <c r="M530" s="35" t="s">
        <v>122</v>
      </c>
      <c r="N530" s="26">
        <f>IF(M530="5",H530,0)</f>
        <v>0</v>
      </c>
      <c r="Y530" s="26">
        <f>IF(AC530=0,I530,0)</f>
        <v>0</v>
      </c>
      <c r="Z530" s="26">
        <f>IF(AC530=15,I530,0)</f>
        <v>0</v>
      </c>
      <c r="AA530" s="26">
        <f>IF(AC530=21,I530,0)</f>
        <v>0</v>
      </c>
      <c r="AC530" s="12">
        <v>21</v>
      </c>
      <c r="AD530" s="12">
        <f>F530*0</f>
        <v>0</v>
      </c>
      <c r="AE530" s="12">
        <f>F530*(1-0)</f>
        <v>0</v>
      </c>
      <c r="AL530" s="12">
        <f>E530*AD530</f>
        <v>0</v>
      </c>
      <c r="AM530" s="12">
        <f>E530*AE530</f>
        <v>0</v>
      </c>
      <c r="AN530" s="38" t="s">
        <v>2002</v>
      </c>
      <c r="AO530" s="38" t="s">
        <v>2030</v>
      </c>
      <c r="AP530" s="32" t="s">
        <v>2045</v>
      </c>
    </row>
    <row r="531" ht="12.75">
      <c r="C531" s="24" t="s">
        <v>1652</v>
      </c>
    </row>
    <row r="532" spans="1:42" ht="12.75">
      <c r="A532" s="50" t="s">
        <v>433</v>
      </c>
      <c r="B532" s="17" t="s">
        <v>974</v>
      </c>
      <c r="C532" s="17" t="s">
        <v>1653</v>
      </c>
      <c r="D532" s="17" t="s">
        <v>1941</v>
      </c>
      <c r="E532" s="26">
        <v>22.9</v>
      </c>
      <c r="F532" s="26">
        <v>0</v>
      </c>
      <c r="G532" s="26">
        <f>E532*AD532</f>
        <v>0</v>
      </c>
      <c r="H532" s="26">
        <f>I532-G532</f>
        <v>0</v>
      </c>
      <c r="I532" s="26">
        <f>E532*F532</f>
        <v>0</v>
      </c>
      <c r="J532" s="72">
        <v>1E-05</v>
      </c>
      <c r="K532" s="72">
        <f>E532*J532</f>
        <v>0.000229</v>
      </c>
      <c r="L532" s="35" t="s">
        <v>1961</v>
      </c>
      <c r="M532" s="35" t="s">
        <v>122</v>
      </c>
      <c r="N532" s="26">
        <f>IF(M532="5",H532,0)</f>
        <v>0</v>
      </c>
      <c r="Y532" s="26">
        <f>IF(AC532=0,I532,0)</f>
        <v>0</v>
      </c>
      <c r="Z532" s="26">
        <f>IF(AC532=15,I532,0)</f>
        <v>0</v>
      </c>
      <c r="AA532" s="26">
        <f>IF(AC532=21,I532,0)</f>
        <v>0</v>
      </c>
      <c r="AC532" s="12">
        <v>21</v>
      </c>
      <c r="AD532" s="12">
        <f>F532*0.0139</f>
        <v>0</v>
      </c>
      <c r="AE532" s="12">
        <f>F532*(1-0.0139)</f>
        <v>0</v>
      </c>
      <c r="AL532" s="12">
        <f>E532*AD532</f>
        <v>0</v>
      </c>
      <c r="AM532" s="12">
        <f>E532*AE532</f>
        <v>0</v>
      </c>
      <c r="AN532" s="38" t="s">
        <v>2002</v>
      </c>
      <c r="AO532" s="38" t="s">
        <v>2030</v>
      </c>
      <c r="AP532" s="32" t="s">
        <v>2002</v>
      </c>
    </row>
    <row r="533" ht="12.75">
      <c r="C533" s="24" t="s">
        <v>1654</v>
      </c>
    </row>
    <row r="534" spans="1:42" ht="12.75">
      <c r="A534" s="50" t="s">
        <v>434</v>
      </c>
      <c r="B534" s="17" t="s">
        <v>974</v>
      </c>
      <c r="C534" s="17" t="s">
        <v>1655</v>
      </c>
      <c r="D534" s="17" t="s">
        <v>1941</v>
      </c>
      <c r="E534" s="26">
        <v>17.3</v>
      </c>
      <c r="F534" s="26">
        <v>0</v>
      </c>
      <c r="G534" s="26">
        <f>E534*AD534</f>
        <v>0</v>
      </c>
      <c r="H534" s="26">
        <f>I534-G534</f>
        <v>0</v>
      </c>
      <c r="I534" s="26">
        <f>E534*F534</f>
        <v>0</v>
      </c>
      <c r="J534" s="72">
        <v>1E-05</v>
      </c>
      <c r="K534" s="72">
        <f>E534*J534</f>
        <v>0.00017300000000000003</v>
      </c>
      <c r="L534" s="35" t="s">
        <v>1961</v>
      </c>
      <c r="M534" s="35" t="s">
        <v>122</v>
      </c>
      <c r="N534" s="26">
        <f>IF(M534="5",H534,0)</f>
        <v>0</v>
      </c>
      <c r="Y534" s="26">
        <f>IF(AC534=0,I534,0)</f>
        <v>0</v>
      </c>
      <c r="Z534" s="26">
        <f>IF(AC534=15,I534,0)</f>
        <v>0</v>
      </c>
      <c r="AA534" s="26">
        <f>IF(AC534=21,I534,0)</f>
        <v>0</v>
      </c>
      <c r="AC534" s="12">
        <v>21</v>
      </c>
      <c r="AD534" s="12">
        <f>F534*0.0139</f>
        <v>0</v>
      </c>
      <c r="AE534" s="12">
        <f>F534*(1-0.0139)</f>
        <v>0</v>
      </c>
      <c r="AL534" s="12">
        <f>E534*AD534</f>
        <v>0</v>
      </c>
      <c r="AM534" s="12">
        <f>E534*AE534</f>
        <v>0</v>
      </c>
      <c r="AN534" s="38" t="s">
        <v>2002</v>
      </c>
      <c r="AO534" s="38" t="s">
        <v>2030</v>
      </c>
      <c r="AP534" s="32" t="s">
        <v>2043</v>
      </c>
    </row>
    <row r="535" ht="12.75">
      <c r="C535" s="24" t="s">
        <v>1656</v>
      </c>
    </row>
    <row r="536" spans="1:42" ht="12.75">
      <c r="A536" s="50" t="s">
        <v>435</v>
      </c>
      <c r="B536" s="17" t="s">
        <v>975</v>
      </c>
      <c r="C536" s="17" t="s">
        <v>1657</v>
      </c>
      <c r="D536" s="17" t="s">
        <v>1941</v>
      </c>
      <c r="E536" s="26">
        <v>102.8</v>
      </c>
      <c r="F536" s="26">
        <v>0</v>
      </c>
      <c r="G536" s="26">
        <f>E536*AD536</f>
        <v>0</v>
      </c>
      <c r="H536" s="26">
        <f>I536-G536</f>
        <v>0</v>
      </c>
      <c r="I536" s="26">
        <f>E536*F536</f>
        <v>0</v>
      </c>
      <c r="J536" s="72">
        <v>0</v>
      </c>
      <c r="K536" s="72">
        <f>E536*J536</f>
        <v>0</v>
      </c>
      <c r="L536" s="35" t="s">
        <v>1959</v>
      </c>
      <c r="M536" s="35" t="s">
        <v>122</v>
      </c>
      <c r="N536" s="26">
        <f>IF(M536="5",H536,0)</f>
        <v>0</v>
      </c>
      <c r="Y536" s="26">
        <f>IF(AC536=0,I536,0)</f>
        <v>0</v>
      </c>
      <c r="Z536" s="26">
        <f>IF(AC536=15,I536,0)</f>
        <v>0</v>
      </c>
      <c r="AA536" s="26">
        <f>IF(AC536=21,I536,0)</f>
        <v>0</v>
      </c>
      <c r="AC536" s="12">
        <v>21</v>
      </c>
      <c r="AD536" s="12">
        <f>F536*0</f>
        <v>0</v>
      </c>
      <c r="AE536" s="12">
        <f>F536*(1-0)</f>
        <v>0</v>
      </c>
      <c r="AL536" s="12">
        <f>E536*AD536</f>
        <v>0</v>
      </c>
      <c r="AM536" s="12">
        <f>E536*AE536</f>
        <v>0</v>
      </c>
      <c r="AN536" s="38" t="s">
        <v>2002</v>
      </c>
      <c r="AO536" s="38" t="s">
        <v>2030</v>
      </c>
      <c r="AP536" s="32" t="s">
        <v>2051</v>
      </c>
    </row>
    <row r="537" ht="12.75">
      <c r="C537" s="24" t="s">
        <v>1658</v>
      </c>
    </row>
    <row r="538" spans="1:42" ht="12.75">
      <c r="A538" s="50" t="s">
        <v>436</v>
      </c>
      <c r="B538" s="17" t="s">
        <v>976</v>
      </c>
      <c r="C538" s="17" t="s">
        <v>1659</v>
      </c>
      <c r="D538" s="17" t="s">
        <v>1941</v>
      </c>
      <c r="E538" s="26">
        <v>1104.95</v>
      </c>
      <c r="F538" s="26">
        <v>0</v>
      </c>
      <c r="G538" s="26">
        <f>E538*AD538</f>
        <v>0</v>
      </c>
      <c r="H538" s="26">
        <f>I538-G538</f>
        <v>0</v>
      </c>
      <c r="I538" s="26">
        <f>E538*F538</f>
        <v>0</v>
      </c>
      <c r="J538" s="72">
        <v>0.018</v>
      </c>
      <c r="K538" s="72">
        <f>E538*J538</f>
        <v>19.8891</v>
      </c>
      <c r="L538" s="35" t="s">
        <v>1959</v>
      </c>
      <c r="M538" s="35" t="s">
        <v>122</v>
      </c>
      <c r="N538" s="26">
        <f>IF(M538="5",H538,0)</f>
        <v>0</v>
      </c>
      <c r="Y538" s="26">
        <f>IF(AC538=0,I538,0)</f>
        <v>0</v>
      </c>
      <c r="Z538" s="26">
        <f>IF(AC538=15,I538,0)</f>
        <v>0</v>
      </c>
      <c r="AA538" s="26">
        <f>IF(AC538=21,I538,0)</f>
        <v>0</v>
      </c>
      <c r="AC538" s="12">
        <v>21</v>
      </c>
      <c r="AD538" s="12">
        <f>F538*0</f>
        <v>0</v>
      </c>
      <c r="AE538" s="12">
        <f>F538*(1-0)</f>
        <v>0</v>
      </c>
      <c r="AL538" s="12">
        <f>E538*AD538</f>
        <v>0</v>
      </c>
      <c r="AM538" s="12">
        <f>E538*AE538</f>
        <v>0</v>
      </c>
      <c r="AN538" s="38" t="s">
        <v>2002</v>
      </c>
      <c r="AO538" s="38" t="s">
        <v>2030</v>
      </c>
      <c r="AP538" s="32" t="s">
        <v>2045</v>
      </c>
    </row>
    <row r="539" spans="1:42" ht="12.75">
      <c r="A539" s="50" t="s">
        <v>437</v>
      </c>
      <c r="B539" s="17" t="s">
        <v>977</v>
      </c>
      <c r="C539" s="17" t="s">
        <v>1660</v>
      </c>
      <c r="D539" s="17" t="s">
        <v>1942</v>
      </c>
      <c r="E539" s="26">
        <v>26</v>
      </c>
      <c r="F539" s="26">
        <v>0</v>
      </c>
      <c r="G539" s="26">
        <f>E539*AD539</f>
        <v>0</v>
      </c>
      <c r="H539" s="26">
        <f>I539-G539</f>
        <v>0</v>
      </c>
      <c r="I539" s="26">
        <f>E539*F539</f>
        <v>0</v>
      </c>
      <c r="J539" s="72">
        <v>0.00544</v>
      </c>
      <c r="K539" s="72">
        <f>E539*J539</f>
        <v>0.14144</v>
      </c>
      <c r="L539" s="35" t="s">
        <v>1961</v>
      </c>
      <c r="M539" s="35" t="s">
        <v>122</v>
      </c>
      <c r="N539" s="26">
        <f>IF(M539="5",H539,0)</f>
        <v>0</v>
      </c>
      <c r="Y539" s="26">
        <f>IF(AC539=0,I539,0)</f>
        <v>0</v>
      </c>
      <c r="Z539" s="26">
        <f>IF(AC539=15,I539,0)</f>
        <v>0</v>
      </c>
      <c r="AA539" s="26">
        <f>IF(AC539=21,I539,0)</f>
        <v>0</v>
      </c>
      <c r="AC539" s="12">
        <v>21</v>
      </c>
      <c r="AD539" s="12">
        <f>F539*0.653133333333333</f>
        <v>0</v>
      </c>
      <c r="AE539" s="12">
        <f>F539*(1-0.653133333333333)</f>
        <v>0</v>
      </c>
      <c r="AL539" s="12">
        <f>E539*AD539</f>
        <v>0</v>
      </c>
      <c r="AM539" s="12">
        <f>E539*AE539</f>
        <v>0</v>
      </c>
      <c r="AN539" s="38" t="s">
        <v>2002</v>
      </c>
      <c r="AO539" s="38" t="s">
        <v>2030</v>
      </c>
      <c r="AP539" s="32" t="s">
        <v>2002</v>
      </c>
    </row>
    <row r="540" ht="12.75">
      <c r="C540" s="24" t="s">
        <v>1661</v>
      </c>
    </row>
    <row r="541" spans="1:42" ht="12.75">
      <c r="A541" s="50" t="s">
        <v>438</v>
      </c>
      <c r="B541" s="17" t="s">
        <v>978</v>
      </c>
      <c r="C541" s="17" t="s">
        <v>1662</v>
      </c>
      <c r="D541" s="17" t="s">
        <v>1942</v>
      </c>
      <c r="E541" s="26">
        <v>314.1</v>
      </c>
      <c r="F541" s="26">
        <v>0</v>
      </c>
      <c r="G541" s="26">
        <f>E541*AD541</f>
        <v>0</v>
      </c>
      <c r="H541" s="26">
        <f>I541-G541</f>
        <v>0</v>
      </c>
      <c r="I541" s="26">
        <f>E541*F541</f>
        <v>0</v>
      </c>
      <c r="J541" s="72">
        <v>0.00544</v>
      </c>
      <c r="K541" s="72">
        <f>E541*J541</f>
        <v>1.7087040000000002</v>
      </c>
      <c r="L541" s="35" t="s">
        <v>1959</v>
      </c>
      <c r="M541" s="35" t="s">
        <v>122</v>
      </c>
      <c r="N541" s="26">
        <f>IF(M541="5",H541,0)</f>
        <v>0</v>
      </c>
      <c r="Y541" s="26">
        <f>IF(AC541=0,I541,0)</f>
        <v>0</v>
      </c>
      <c r="Z541" s="26">
        <f>IF(AC541=15,I541,0)</f>
        <v>0</v>
      </c>
      <c r="AA541" s="26">
        <f>IF(AC541=21,I541,0)</f>
        <v>0</v>
      </c>
      <c r="AC541" s="12">
        <v>21</v>
      </c>
      <c r="AD541" s="12">
        <f>F541*0.527</f>
        <v>0</v>
      </c>
      <c r="AE541" s="12">
        <f>F541*(1-0.527)</f>
        <v>0</v>
      </c>
      <c r="AL541" s="12">
        <f>E541*AD541</f>
        <v>0</v>
      </c>
      <c r="AM541" s="12">
        <f>E541*AE541</f>
        <v>0</v>
      </c>
      <c r="AN541" s="38" t="s">
        <v>2002</v>
      </c>
      <c r="AO541" s="38" t="s">
        <v>2030</v>
      </c>
      <c r="AP541" s="32" t="s">
        <v>2051</v>
      </c>
    </row>
    <row r="542" ht="12.75">
      <c r="C542" s="24" t="s">
        <v>1663</v>
      </c>
    </row>
    <row r="543" spans="1:42" ht="12.75">
      <c r="A543" s="50" t="s">
        <v>439</v>
      </c>
      <c r="B543" s="17" t="s">
        <v>979</v>
      </c>
      <c r="C543" s="17" t="s">
        <v>1664</v>
      </c>
      <c r="D543" s="17" t="s">
        <v>1940</v>
      </c>
      <c r="E543" s="26">
        <v>8.11</v>
      </c>
      <c r="F543" s="26">
        <v>0</v>
      </c>
      <c r="G543" s="26">
        <f>E543*AD543</f>
        <v>0</v>
      </c>
      <c r="H543" s="26">
        <f>I543-G543</f>
        <v>0</v>
      </c>
      <c r="I543" s="26">
        <f>E543*F543</f>
        <v>0</v>
      </c>
      <c r="J543" s="72">
        <v>0.00295</v>
      </c>
      <c r="K543" s="72">
        <f>E543*J543</f>
        <v>0.023924499999999998</v>
      </c>
      <c r="L543" s="35" t="s">
        <v>1959</v>
      </c>
      <c r="M543" s="35" t="s">
        <v>122</v>
      </c>
      <c r="N543" s="26">
        <f>IF(M543="5",H543,0)</f>
        <v>0</v>
      </c>
      <c r="Y543" s="26">
        <f>IF(AC543=0,I543,0)</f>
        <v>0</v>
      </c>
      <c r="Z543" s="26">
        <f>IF(AC543=15,I543,0)</f>
        <v>0</v>
      </c>
      <c r="AA543" s="26">
        <f>IF(AC543=21,I543,0)</f>
        <v>0</v>
      </c>
      <c r="AC543" s="12">
        <v>21</v>
      </c>
      <c r="AD543" s="12">
        <f>F543*1</f>
        <v>0</v>
      </c>
      <c r="AE543" s="12">
        <f>F543*(1-1)</f>
        <v>0</v>
      </c>
      <c r="AL543" s="12">
        <f>E543*AD543</f>
        <v>0</v>
      </c>
      <c r="AM543" s="12">
        <f>E543*AE543</f>
        <v>0</v>
      </c>
      <c r="AN543" s="38" t="s">
        <v>2002</v>
      </c>
      <c r="AO543" s="38" t="s">
        <v>2030</v>
      </c>
      <c r="AP543" s="32" t="s">
        <v>2051</v>
      </c>
    </row>
    <row r="544" spans="1:42" ht="12.75">
      <c r="A544" s="50" t="s">
        <v>440</v>
      </c>
      <c r="B544" s="17" t="s">
        <v>980</v>
      </c>
      <c r="C544" s="17" t="s">
        <v>1665</v>
      </c>
      <c r="D544" s="17" t="s">
        <v>1941</v>
      </c>
      <c r="E544" s="26">
        <v>79.47</v>
      </c>
      <c r="F544" s="26">
        <v>0</v>
      </c>
      <c r="G544" s="26">
        <f>E544*AD544</f>
        <v>0</v>
      </c>
      <c r="H544" s="26">
        <f>I544-G544</f>
        <v>0</v>
      </c>
      <c r="I544" s="26">
        <f>E544*F544</f>
        <v>0</v>
      </c>
      <c r="J544" s="72">
        <v>0.014</v>
      </c>
      <c r="K544" s="72">
        <f>E544*J544</f>
        <v>1.11258</v>
      </c>
      <c r="L544" s="35" t="s">
        <v>1959</v>
      </c>
      <c r="M544" s="35" t="s">
        <v>122</v>
      </c>
      <c r="N544" s="26">
        <f>IF(M544="5",H544,0)</f>
        <v>0</v>
      </c>
      <c r="Y544" s="26">
        <f>IF(AC544=0,I544,0)</f>
        <v>0</v>
      </c>
      <c r="Z544" s="26">
        <f>IF(AC544=15,I544,0)</f>
        <v>0</v>
      </c>
      <c r="AA544" s="26">
        <f>IF(AC544=21,I544,0)</f>
        <v>0</v>
      </c>
      <c r="AC544" s="12">
        <v>21</v>
      </c>
      <c r="AD544" s="12">
        <f>F544*0</f>
        <v>0</v>
      </c>
      <c r="AE544" s="12">
        <f>F544*(1-0)</f>
        <v>0</v>
      </c>
      <c r="AL544" s="12">
        <f>E544*AD544</f>
        <v>0</v>
      </c>
      <c r="AM544" s="12">
        <f>E544*AE544</f>
        <v>0</v>
      </c>
      <c r="AN544" s="38" t="s">
        <v>2002</v>
      </c>
      <c r="AO544" s="38" t="s">
        <v>2030</v>
      </c>
      <c r="AP544" s="32" t="s">
        <v>2045</v>
      </c>
    </row>
    <row r="545" ht="12.75">
      <c r="C545" s="24" t="s">
        <v>1666</v>
      </c>
    </row>
    <row r="546" spans="1:42" ht="12.75">
      <c r="A546" s="50" t="s">
        <v>441</v>
      </c>
      <c r="B546" s="17" t="s">
        <v>980</v>
      </c>
      <c r="C546" s="17" t="s">
        <v>1667</v>
      </c>
      <c r="D546" s="17" t="s">
        <v>1941</v>
      </c>
      <c r="E546" s="26">
        <v>22.18</v>
      </c>
      <c r="F546" s="26">
        <v>0</v>
      </c>
      <c r="G546" s="26">
        <f>E546*AD546</f>
        <v>0</v>
      </c>
      <c r="H546" s="26">
        <f>I546-G546</f>
        <v>0</v>
      </c>
      <c r="I546" s="26">
        <f>E546*F546</f>
        <v>0</v>
      </c>
      <c r="J546" s="72">
        <v>0.014</v>
      </c>
      <c r="K546" s="72">
        <f>E546*J546</f>
        <v>0.31052</v>
      </c>
      <c r="L546" s="35" t="s">
        <v>1959</v>
      </c>
      <c r="M546" s="35" t="s">
        <v>122</v>
      </c>
      <c r="N546" s="26">
        <f>IF(M546="5",H546,0)</f>
        <v>0</v>
      </c>
      <c r="Y546" s="26">
        <f>IF(AC546=0,I546,0)</f>
        <v>0</v>
      </c>
      <c r="Z546" s="26">
        <f>IF(AC546=15,I546,0)</f>
        <v>0</v>
      </c>
      <c r="AA546" s="26">
        <f>IF(AC546=21,I546,0)</f>
        <v>0</v>
      </c>
      <c r="AC546" s="12">
        <v>21</v>
      </c>
      <c r="AD546" s="12">
        <f>F546*0</f>
        <v>0</v>
      </c>
      <c r="AE546" s="12">
        <f>F546*(1-0)</f>
        <v>0</v>
      </c>
      <c r="AL546" s="12">
        <f>E546*AD546</f>
        <v>0</v>
      </c>
      <c r="AM546" s="12">
        <f>E546*AE546</f>
        <v>0</v>
      </c>
      <c r="AN546" s="38" t="s">
        <v>2002</v>
      </c>
      <c r="AO546" s="38" t="s">
        <v>2030</v>
      </c>
      <c r="AP546" s="32" t="s">
        <v>2045</v>
      </c>
    </row>
    <row r="547" ht="12.75">
      <c r="C547" s="24" t="s">
        <v>1668</v>
      </c>
    </row>
    <row r="548" spans="1:42" ht="12.75">
      <c r="A548" s="50" t="s">
        <v>442</v>
      </c>
      <c r="B548" s="17" t="s">
        <v>981</v>
      </c>
      <c r="C548" s="17" t="s">
        <v>1669</v>
      </c>
      <c r="D548" s="17" t="s">
        <v>1941</v>
      </c>
      <c r="E548" s="26">
        <v>3.64</v>
      </c>
      <c r="F548" s="26">
        <v>0</v>
      </c>
      <c r="G548" s="26">
        <f>E548*AD548</f>
        <v>0</v>
      </c>
      <c r="H548" s="26">
        <f>I548-G548</f>
        <v>0</v>
      </c>
      <c r="I548" s="26">
        <f>E548*F548</f>
        <v>0</v>
      </c>
      <c r="J548" s="72">
        <v>0.01621</v>
      </c>
      <c r="K548" s="72">
        <f>E548*J548</f>
        <v>0.0590044</v>
      </c>
      <c r="L548" s="35" t="s">
        <v>1959</v>
      </c>
      <c r="M548" s="35" t="s">
        <v>122</v>
      </c>
      <c r="N548" s="26">
        <f>IF(M548="5",H548,0)</f>
        <v>0</v>
      </c>
      <c r="Y548" s="26">
        <f>IF(AC548=0,I548,0)</f>
        <v>0</v>
      </c>
      <c r="Z548" s="26">
        <f>IF(AC548=15,I548,0)</f>
        <v>0</v>
      </c>
      <c r="AA548" s="26">
        <f>IF(AC548=21,I548,0)</f>
        <v>0</v>
      </c>
      <c r="AC548" s="12">
        <v>21</v>
      </c>
      <c r="AD548" s="12">
        <f>F548*0.51806993006993</f>
        <v>0</v>
      </c>
      <c r="AE548" s="12">
        <f>F548*(1-0.51806993006993)</f>
        <v>0</v>
      </c>
      <c r="AL548" s="12">
        <f>E548*AD548</f>
        <v>0</v>
      </c>
      <c r="AM548" s="12">
        <f>E548*AE548</f>
        <v>0</v>
      </c>
      <c r="AN548" s="38" t="s">
        <v>2002</v>
      </c>
      <c r="AO548" s="38" t="s">
        <v>2030</v>
      </c>
      <c r="AP548" s="32" t="s">
        <v>2002</v>
      </c>
    </row>
    <row r="549" ht="12.75">
      <c r="C549" s="24" t="s">
        <v>1670</v>
      </c>
    </row>
    <row r="550" spans="1:42" ht="12.75">
      <c r="A550" s="50" t="s">
        <v>443</v>
      </c>
      <c r="B550" s="17" t="s">
        <v>982</v>
      </c>
      <c r="C550" s="17" t="s">
        <v>1671</v>
      </c>
      <c r="D550" s="17" t="s">
        <v>1942</v>
      </c>
      <c r="E550" s="26">
        <v>27</v>
      </c>
      <c r="F550" s="26">
        <v>0</v>
      </c>
      <c r="G550" s="26">
        <f>E550*AD550</f>
        <v>0</v>
      </c>
      <c r="H550" s="26">
        <f>I550-G550</f>
        <v>0</v>
      </c>
      <c r="I550" s="26">
        <f>E550*F550</f>
        <v>0</v>
      </c>
      <c r="J550" s="72">
        <v>0.00016</v>
      </c>
      <c r="K550" s="72">
        <f>E550*J550</f>
        <v>0.00432</v>
      </c>
      <c r="L550" s="35" t="s">
        <v>1959</v>
      </c>
      <c r="M550" s="35" t="s">
        <v>122</v>
      </c>
      <c r="N550" s="26">
        <f>IF(M550="5",H550,0)</f>
        <v>0</v>
      </c>
      <c r="Y550" s="26">
        <f>IF(AC550=0,I550,0)</f>
        <v>0</v>
      </c>
      <c r="Z550" s="26">
        <f>IF(AC550=15,I550,0)</f>
        <v>0</v>
      </c>
      <c r="AA550" s="26">
        <f>IF(AC550=21,I550,0)</f>
        <v>0</v>
      </c>
      <c r="AC550" s="12">
        <v>21</v>
      </c>
      <c r="AD550" s="12">
        <f>F550*0.0693840579710145</f>
        <v>0</v>
      </c>
      <c r="AE550" s="12">
        <f>F550*(1-0.0693840579710145)</f>
        <v>0</v>
      </c>
      <c r="AL550" s="12">
        <f>E550*AD550</f>
        <v>0</v>
      </c>
      <c r="AM550" s="12">
        <f>E550*AE550</f>
        <v>0</v>
      </c>
      <c r="AN550" s="38" t="s">
        <v>2002</v>
      </c>
      <c r="AO550" s="38" t="s">
        <v>2030</v>
      </c>
      <c r="AP550" s="32" t="s">
        <v>2043</v>
      </c>
    </row>
    <row r="551" ht="12.75">
      <c r="C551" s="24" t="s">
        <v>1672</v>
      </c>
    </row>
    <row r="552" spans="1:42" s="60" customFormat="1" ht="26.25">
      <c r="A552" s="56" t="s">
        <v>444</v>
      </c>
      <c r="B552" s="57" t="s">
        <v>983</v>
      </c>
      <c r="C552" s="57" t="s">
        <v>1673</v>
      </c>
      <c r="D552" s="57" t="s">
        <v>1942</v>
      </c>
      <c r="E552" s="58">
        <v>9</v>
      </c>
      <c r="F552" s="58">
        <v>0</v>
      </c>
      <c r="G552" s="58">
        <f>E552*AD552</f>
        <v>0</v>
      </c>
      <c r="H552" s="58">
        <f>I552-G552</f>
        <v>0</v>
      </c>
      <c r="I552" s="58">
        <f>E552*F552</f>
        <v>0</v>
      </c>
      <c r="J552" s="77">
        <v>0.01014</v>
      </c>
      <c r="K552" s="77">
        <f>E552*J552</f>
        <v>0.09126</v>
      </c>
      <c r="L552" s="59" t="s">
        <v>1959</v>
      </c>
      <c r="M552" s="59" t="s">
        <v>122</v>
      </c>
      <c r="N552" s="58">
        <f>IF(M552="5",H552,0)</f>
        <v>0</v>
      </c>
      <c r="Y552" s="58">
        <f>IF(AC552=0,I552,0)</f>
        <v>0</v>
      </c>
      <c r="Z552" s="58">
        <f>IF(AC552=15,I552,0)</f>
        <v>0</v>
      </c>
      <c r="AA552" s="58">
        <f>IF(AC552=21,I552,0)</f>
        <v>0</v>
      </c>
      <c r="AC552" s="61">
        <v>21</v>
      </c>
      <c r="AD552" s="61">
        <f>F552*0.709065155807365</f>
        <v>0</v>
      </c>
      <c r="AE552" s="61">
        <f>F552*(1-0.709065155807365)</f>
        <v>0</v>
      </c>
      <c r="AL552" s="61">
        <f>E552*AD552</f>
        <v>0</v>
      </c>
      <c r="AM552" s="61">
        <f>E552*AE552</f>
        <v>0</v>
      </c>
      <c r="AN552" s="62" t="s">
        <v>2002</v>
      </c>
      <c r="AO552" s="62" t="s">
        <v>2030</v>
      </c>
      <c r="AP552" s="63" t="s">
        <v>2002</v>
      </c>
    </row>
    <row r="553" ht="12.75">
      <c r="C553" s="24" t="s">
        <v>1674</v>
      </c>
    </row>
    <row r="554" spans="1:42" ht="12.75">
      <c r="A554" s="50" t="s">
        <v>445</v>
      </c>
      <c r="B554" s="17" t="s">
        <v>984</v>
      </c>
      <c r="C554" s="17" t="s">
        <v>1675</v>
      </c>
      <c r="D554" s="17" t="s">
        <v>1942</v>
      </c>
      <c r="E554" s="26">
        <v>2.6</v>
      </c>
      <c r="F554" s="26">
        <v>0</v>
      </c>
      <c r="G554" s="26">
        <f>E554*AD554</f>
        <v>0</v>
      </c>
      <c r="H554" s="26">
        <f>I554-G554</f>
        <v>0</v>
      </c>
      <c r="I554" s="26">
        <f>E554*F554</f>
        <v>0</v>
      </c>
      <c r="J554" s="72">
        <v>0.27</v>
      </c>
      <c r="K554" s="72">
        <f>E554*J554</f>
        <v>0.7020000000000001</v>
      </c>
      <c r="L554" s="35" t="s">
        <v>1959</v>
      </c>
      <c r="M554" s="35" t="s">
        <v>124</v>
      </c>
      <c r="N554" s="26">
        <f>IF(M554="5",H554,0)</f>
        <v>0</v>
      </c>
      <c r="Y554" s="26">
        <f>IF(AC554=0,I554,0)</f>
        <v>0</v>
      </c>
      <c r="Z554" s="26">
        <f>IF(AC554=15,I554,0)</f>
        <v>0</v>
      </c>
      <c r="AA554" s="26">
        <f>IF(AC554=21,I554,0)</f>
        <v>0</v>
      </c>
      <c r="AC554" s="12">
        <v>21</v>
      </c>
      <c r="AD554" s="12">
        <f>F554*0</f>
        <v>0</v>
      </c>
      <c r="AE554" s="12">
        <f>F554*(1-0)</f>
        <v>0</v>
      </c>
      <c r="AL554" s="12">
        <f>E554*AD554</f>
        <v>0</v>
      </c>
      <c r="AM554" s="12">
        <f>E554*AE554</f>
        <v>0</v>
      </c>
      <c r="AN554" s="38" t="s">
        <v>2002</v>
      </c>
      <c r="AO554" s="38" t="s">
        <v>2030</v>
      </c>
      <c r="AP554" s="32" t="s">
        <v>2045</v>
      </c>
    </row>
    <row r="555" spans="1:36" ht="12.75">
      <c r="A555" s="52"/>
      <c r="B555" s="23" t="s">
        <v>27</v>
      </c>
      <c r="C555" s="121" t="s">
        <v>74</v>
      </c>
      <c r="D555" s="122"/>
      <c r="E555" s="122"/>
      <c r="F555" s="122"/>
      <c r="G555" s="40">
        <f>SUM(G556:G583)</f>
        <v>0</v>
      </c>
      <c r="H555" s="40">
        <f>SUM(H556:H583)</f>
        <v>0</v>
      </c>
      <c r="I555" s="40">
        <f>G555+H555</f>
        <v>0</v>
      </c>
      <c r="J555" s="74"/>
      <c r="K555" s="74">
        <f>SUM(K556:K583)</f>
        <v>3.1143658</v>
      </c>
      <c r="L555" s="32"/>
      <c r="O555" s="40">
        <f>IF(P555="PR",I555,SUM(N556:N583))</f>
        <v>0</v>
      </c>
      <c r="P555" s="32" t="s">
        <v>1968</v>
      </c>
      <c r="Q555" s="40">
        <f>IF(P555="HS",G555,0)</f>
        <v>0</v>
      </c>
      <c r="R555" s="40">
        <f>IF(P555="HS",H555-O555,0)</f>
        <v>0</v>
      </c>
      <c r="S555" s="40">
        <f>IF(P555="PS",G555,0)</f>
        <v>0</v>
      </c>
      <c r="T555" s="40">
        <f>IF(P555="PS",H555-O555,0)</f>
        <v>0</v>
      </c>
      <c r="U555" s="40">
        <f>IF(P555="MP",G555,0)</f>
        <v>0</v>
      </c>
      <c r="V555" s="40">
        <f>IF(P555="MP",H555-O555,0)</f>
        <v>0</v>
      </c>
      <c r="W555" s="40">
        <f>IF(P555="OM",G555,0)</f>
        <v>0</v>
      </c>
      <c r="X555" s="32"/>
      <c r="AH555" s="40">
        <f>SUM(Y556:Y583)</f>
        <v>0</v>
      </c>
      <c r="AI555" s="40">
        <f>SUM(Z556:Z583)</f>
        <v>0</v>
      </c>
      <c r="AJ555" s="40">
        <f>SUM(AA556:AA583)</f>
        <v>0</v>
      </c>
    </row>
    <row r="556" spans="1:42" ht="12.75">
      <c r="A556" s="50" t="s">
        <v>446</v>
      </c>
      <c r="B556" s="17" t="s">
        <v>985</v>
      </c>
      <c r="C556" s="17" t="s">
        <v>1676</v>
      </c>
      <c r="D556" s="17" t="s">
        <v>1942</v>
      </c>
      <c r="E556" s="26">
        <v>197.89</v>
      </c>
      <c r="F556" s="26">
        <v>0</v>
      </c>
      <c r="G556" s="26">
        <f>E556*AD556</f>
        <v>0</v>
      </c>
      <c r="H556" s="26">
        <f>I556-G556</f>
        <v>0</v>
      </c>
      <c r="I556" s="26">
        <f>E556*F556</f>
        <v>0</v>
      </c>
      <c r="J556" s="72">
        <v>4E-05</v>
      </c>
      <c r="K556" s="72">
        <f>E556*J556</f>
        <v>0.0079156</v>
      </c>
      <c r="L556" s="35" t="s">
        <v>1961</v>
      </c>
      <c r="M556" s="35" t="s">
        <v>122</v>
      </c>
      <c r="N556" s="26">
        <f>IF(M556="5",H556,0)</f>
        <v>0</v>
      </c>
      <c r="Y556" s="26">
        <f>IF(AC556=0,I556,0)</f>
        <v>0</v>
      </c>
      <c r="Z556" s="26">
        <f>IF(AC556=15,I556,0)</f>
        <v>0</v>
      </c>
      <c r="AA556" s="26">
        <f>IF(AC556=21,I556,0)</f>
        <v>0</v>
      </c>
      <c r="AC556" s="12">
        <v>21</v>
      </c>
      <c r="AD556" s="12">
        <f>F556*0.0776363636363636</f>
        <v>0</v>
      </c>
      <c r="AE556" s="12">
        <f>F556*(1-0.0776363636363636)</f>
        <v>0</v>
      </c>
      <c r="AL556" s="12">
        <f>E556*AD556</f>
        <v>0</v>
      </c>
      <c r="AM556" s="12">
        <f>E556*AE556</f>
        <v>0</v>
      </c>
      <c r="AN556" s="38" t="s">
        <v>2003</v>
      </c>
      <c r="AO556" s="38" t="s">
        <v>2030</v>
      </c>
      <c r="AP556" s="32" t="s">
        <v>2003</v>
      </c>
    </row>
    <row r="557" spans="1:42" ht="12.75">
      <c r="A557" s="50" t="s">
        <v>447</v>
      </c>
      <c r="B557" s="17" t="s">
        <v>986</v>
      </c>
      <c r="C557" s="17" t="s">
        <v>1677</v>
      </c>
      <c r="D557" s="17" t="s">
        <v>1941</v>
      </c>
      <c r="E557" s="26">
        <v>2.5</v>
      </c>
      <c r="F557" s="26">
        <v>0</v>
      </c>
      <c r="G557" s="26">
        <f>E557*AD557</f>
        <v>0</v>
      </c>
      <c r="H557" s="26">
        <f>I557-G557</f>
        <v>0</v>
      </c>
      <c r="I557" s="26">
        <f>E557*F557</f>
        <v>0</v>
      </c>
      <c r="J557" s="72">
        <v>0.00443</v>
      </c>
      <c r="K557" s="72">
        <f>E557*J557</f>
        <v>0.011075</v>
      </c>
      <c r="L557" s="35" t="s">
        <v>1961</v>
      </c>
      <c r="M557" s="35" t="s">
        <v>122</v>
      </c>
      <c r="N557" s="26">
        <f>IF(M557="5",H557,0)</f>
        <v>0</v>
      </c>
      <c r="Y557" s="26">
        <f>IF(AC557=0,I557,0)</f>
        <v>0</v>
      </c>
      <c r="Z557" s="26">
        <f>IF(AC557=15,I557,0)</f>
        <v>0</v>
      </c>
      <c r="AA557" s="26">
        <f>IF(AC557=21,I557,0)</f>
        <v>0</v>
      </c>
      <c r="AC557" s="12">
        <v>21</v>
      </c>
      <c r="AD557" s="12">
        <f>F557*0.512293265948911</f>
        <v>0</v>
      </c>
      <c r="AE557" s="12">
        <f>F557*(1-0.512293265948911)</f>
        <v>0</v>
      </c>
      <c r="AL557" s="12">
        <f>E557*AD557</f>
        <v>0</v>
      </c>
      <c r="AM557" s="12">
        <f>E557*AE557</f>
        <v>0</v>
      </c>
      <c r="AN557" s="38" t="s">
        <v>2003</v>
      </c>
      <c r="AO557" s="38" t="s">
        <v>2030</v>
      </c>
      <c r="AP557" s="32" t="s">
        <v>2003</v>
      </c>
    </row>
    <row r="558" ht="24.75" customHeight="1">
      <c r="C558" s="24" t="s">
        <v>1678</v>
      </c>
    </row>
    <row r="559" spans="1:42" ht="12.75">
      <c r="A559" s="50" t="s">
        <v>448</v>
      </c>
      <c r="B559" s="17" t="s">
        <v>987</v>
      </c>
      <c r="C559" s="17" t="s">
        <v>1677</v>
      </c>
      <c r="D559" s="17" t="s">
        <v>1941</v>
      </c>
      <c r="E559" s="26">
        <v>3.9</v>
      </c>
      <c r="F559" s="26">
        <v>0</v>
      </c>
      <c r="G559" s="26">
        <f>E559*AD559</f>
        <v>0</v>
      </c>
      <c r="H559" s="26">
        <f>I559-G559</f>
        <v>0</v>
      </c>
      <c r="I559" s="26">
        <f>E559*F559</f>
        <v>0</v>
      </c>
      <c r="J559" s="72">
        <v>0.00443</v>
      </c>
      <c r="K559" s="72">
        <f>E559*J559</f>
        <v>0.017277</v>
      </c>
      <c r="L559" s="35" t="s">
        <v>1959</v>
      </c>
      <c r="M559" s="35" t="s">
        <v>122</v>
      </c>
      <c r="N559" s="26">
        <f>IF(M559="5",H559,0)</f>
        <v>0</v>
      </c>
      <c r="Y559" s="26">
        <f>IF(AC559=0,I559,0)</f>
        <v>0</v>
      </c>
      <c r="Z559" s="26">
        <f>IF(AC559=15,I559,0)</f>
        <v>0</v>
      </c>
      <c r="AA559" s="26">
        <f>IF(AC559=21,I559,0)</f>
        <v>0</v>
      </c>
      <c r="AC559" s="12">
        <v>21</v>
      </c>
      <c r="AD559" s="12">
        <f>F559*0.581992081740385</f>
        <v>0</v>
      </c>
      <c r="AE559" s="12">
        <f>F559*(1-0.581992081740385)</f>
        <v>0</v>
      </c>
      <c r="AL559" s="12">
        <f>E559*AD559</f>
        <v>0</v>
      </c>
      <c r="AM559" s="12">
        <f>E559*AE559</f>
        <v>0</v>
      </c>
      <c r="AN559" s="38" t="s">
        <v>2003</v>
      </c>
      <c r="AO559" s="38" t="s">
        <v>2030</v>
      </c>
      <c r="AP559" s="32" t="s">
        <v>2003</v>
      </c>
    </row>
    <row r="560" ht="12.75">
      <c r="C560" s="24" t="s">
        <v>1679</v>
      </c>
    </row>
    <row r="561" spans="1:42" ht="12.75">
      <c r="A561" s="50" t="s">
        <v>449</v>
      </c>
      <c r="B561" s="17" t="s">
        <v>988</v>
      </c>
      <c r="C561" s="17" t="s">
        <v>1680</v>
      </c>
      <c r="D561" s="17" t="s">
        <v>1942</v>
      </c>
      <c r="E561" s="26">
        <v>158.4</v>
      </c>
      <c r="F561" s="26">
        <v>0</v>
      </c>
      <c r="G561" s="26">
        <f>E561*AD561</f>
        <v>0</v>
      </c>
      <c r="H561" s="26">
        <f>I561-G561</f>
        <v>0</v>
      </c>
      <c r="I561" s="26">
        <f>E561*F561</f>
        <v>0</v>
      </c>
      <c r="J561" s="72">
        <v>0.00426</v>
      </c>
      <c r="K561" s="72">
        <f>E561*J561</f>
        <v>0.674784</v>
      </c>
      <c r="L561" s="35" t="s">
        <v>1959</v>
      </c>
      <c r="M561" s="35" t="s">
        <v>122</v>
      </c>
      <c r="N561" s="26">
        <f>IF(M561="5",H561,0)</f>
        <v>0</v>
      </c>
      <c r="Y561" s="26">
        <f>IF(AC561=0,I561,0)</f>
        <v>0</v>
      </c>
      <c r="Z561" s="26">
        <f>IF(AC561=15,I561,0)</f>
        <v>0</v>
      </c>
      <c r="AA561" s="26">
        <f>IF(AC561=21,I561,0)</f>
        <v>0</v>
      </c>
      <c r="AC561" s="12">
        <v>21</v>
      </c>
      <c r="AD561" s="12">
        <f>F561*0</f>
        <v>0</v>
      </c>
      <c r="AE561" s="12">
        <f>F561*(1-0)</f>
        <v>0</v>
      </c>
      <c r="AL561" s="12">
        <f>E561*AD561</f>
        <v>0</v>
      </c>
      <c r="AM561" s="12">
        <f>E561*AE561</f>
        <v>0</v>
      </c>
      <c r="AN561" s="38" t="s">
        <v>2003</v>
      </c>
      <c r="AO561" s="38" t="s">
        <v>2030</v>
      </c>
      <c r="AP561" s="32" t="s">
        <v>2045</v>
      </c>
    </row>
    <row r="562" spans="1:42" ht="12.75">
      <c r="A562" s="50" t="s">
        <v>450</v>
      </c>
      <c r="B562" s="17" t="s">
        <v>989</v>
      </c>
      <c r="C562" s="17" t="s">
        <v>1681</v>
      </c>
      <c r="D562" s="17" t="s">
        <v>1942</v>
      </c>
      <c r="E562" s="26">
        <v>9.5</v>
      </c>
      <c r="F562" s="26">
        <v>0</v>
      </c>
      <c r="G562" s="26">
        <f>E562*AD562</f>
        <v>0</v>
      </c>
      <c r="H562" s="26">
        <f>I562-G562</f>
        <v>0</v>
      </c>
      <c r="I562" s="26">
        <f>E562*F562</f>
        <v>0</v>
      </c>
      <c r="J562" s="72">
        <v>0.00583</v>
      </c>
      <c r="K562" s="72">
        <f>E562*J562</f>
        <v>0.055385000000000004</v>
      </c>
      <c r="L562" s="35" t="s">
        <v>1959</v>
      </c>
      <c r="M562" s="35" t="s">
        <v>122</v>
      </c>
      <c r="N562" s="26">
        <f>IF(M562="5",H562,0)</f>
        <v>0</v>
      </c>
      <c r="Y562" s="26">
        <f>IF(AC562=0,I562,0)</f>
        <v>0</v>
      </c>
      <c r="Z562" s="26">
        <f>IF(AC562=15,I562,0)</f>
        <v>0</v>
      </c>
      <c r="AA562" s="26">
        <f>IF(AC562=21,I562,0)</f>
        <v>0</v>
      </c>
      <c r="AC562" s="12">
        <v>21</v>
      </c>
      <c r="AD562" s="12">
        <f>F562*0</f>
        <v>0</v>
      </c>
      <c r="AE562" s="12">
        <f>F562*(1-0)</f>
        <v>0</v>
      </c>
      <c r="AL562" s="12">
        <f>E562*AD562</f>
        <v>0</v>
      </c>
      <c r="AM562" s="12">
        <f>E562*AE562</f>
        <v>0</v>
      </c>
      <c r="AN562" s="38" t="s">
        <v>2003</v>
      </c>
      <c r="AO562" s="38" t="s">
        <v>2030</v>
      </c>
      <c r="AP562" s="32" t="s">
        <v>2045</v>
      </c>
    </row>
    <row r="563" ht="12.75">
      <c r="C563" s="24" t="s">
        <v>1682</v>
      </c>
    </row>
    <row r="564" spans="1:42" s="60" customFormat="1" ht="26.25">
      <c r="A564" s="56" t="s">
        <v>451</v>
      </c>
      <c r="B564" s="57" t="s">
        <v>990</v>
      </c>
      <c r="C564" s="57" t="s">
        <v>1683</v>
      </c>
      <c r="D564" s="57" t="s">
        <v>1942</v>
      </c>
      <c r="E564" s="58">
        <v>9.3</v>
      </c>
      <c r="F564" s="58">
        <v>0</v>
      </c>
      <c r="G564" s="58">
        <f>E564*AD564</f>
        <v>0</v>
      </c>
      <c r="H564" s="58">
        <f>I564-G564</f>
        <v>0</v>
      </c>
      <c r="I564" s="58">
        <f>E564*F564</f>
        <v>0</v>
      </c>
      <c r="J564" s="77">
        <v>0.00285</v>
      </c>
      <c r="K564" s="77">
        <f>E564*J564</f>
        <v>0.026505000000000004</v>
      </c>
      <c r="L564" s="59" t="s">
        <v>1961</v>
      </c>
      <c r="M564" s="59" t="s">
        <v>122</v>
      </c>
      <c r="N564" s="58">
        <f>IF(M564="5",H564,0)</f>
        <v>0</v>
      </c>
      <c r="Y564" s="58">
        <f>IF(AC564=0,I564,0)</f>
        <v>0</v>
      </c>
      <c r="Z564" s="58">
        <f>IF(AC564=15,I564,0)</f>
        <v>0</v>
      </c>
      <c r="AA564" s="58">
        <f>IF(AC564=21,I564,0)</f>
        <v>0</v>
      </c>
      <c r="AC564" s="61">
        <v>21</v>
      </c>
      <c r="AD564" s="61">
        <f>F564*0.774107594064409</f>
        <v>0</v>
      </c>
      <c r="AE564" s="61">
        <f>F564*(1-0.774107594064409)</f>
        <v>0</v>
      </c>
      <c r="AL564" s="61">
        <f>E564*AD564</f>
        <v>0</v>
      </c>
      <c r="AM564" s="61">
        <f>E564*AE564</f>
        <v>0</v>
      </c>
      <c r="AN564" s="62" t="s">
        <v>2003</v>
      </c>
      <c r="AO564" s="62" t="s">
        <v>2030</v>
      </c>
      <c r="AP564" s="63" t="s">
        <v>2003</v>
      </c>
    </row>
    <row r="565" ht="12.75">
      <c r="C565" s="24" t="s">
        <v>1684</v>
      </c>
    </row>
    <row r="566" spans="1:42" ht="12.75">
      <c r="A566" s="50" t="s">
        <v>452</v>
      </c>
      <c r="B566" s="17" t="s">
        <v>991</v>
      </c>
      <c r="C566" s="17" t="s">
        <v>1685</v>
      </c>
      <c r="D566" s="17" t="s">
        <v>1941</v>
      </c>
      <c r="E566" s="26">
        <v>2.4</v>
      </c>
      <c r="F566" s="26">
        <v>0</v>
      </c>
      <c r="G566" s="26">
        <f>E566*AD566</f>
        <v>0</v>
      </c>
      <c r="H566" s="26">
        <f>I566-G566</f>
        <v>0</v>
      </c>
      <c r="I566" s="26">
        <f>E566*F566</f>
        <v>0</v>
      </c>
      <c r="J566" s="72">
        <v>0.00433</v>
      </c>
      <c r="K566" s="72">
        <f>E566*J566</f>
        <v>0.010391999999999998</v>
      </c>
      <c r="L566" s="35" t="s">
        <v>1959</v>
      </c>
      <c r="M566" s="35" t="s">
        <v>122</v>
      </c>
      <c r="N566" s="26">
        <f>IF(M566="5",H566,0)</f>
        <v>0</v>
      </c>
      <c r="Y566" s="26">
        <f>IF(AC566=0,I566,0)</f>
        <v>0</v>
      </c>
      <c r="Z566" s="26">
        <f>IF(AC566=15,I566,0)</f>
        <v>0</v>
      </c>
      <c r="AA566" s="26">
        <f>IF(AC566=21,I566,0)</f>
        <v>0</v>
      </c>
      <c r="AC566" s="12">
        <v>21</v>
      </c>
      <c r="AD566" s="12">
        <f>F566*0.313166351606805</f>
        <v>0</v>
      </c>
      <c r="AE566" s="12">
        <f>F566*(1-0.313166351606805)</f>
        <v>0</v>
      </c>
      <c r="AL566" s="12">
        <f>E566*AD566</f>
        <v>0</v>
      </c>
      <c r="AM566" s="12">
        <f>E566*AE566</f>
        <v>0</v>
      </c>
      <c r="AN566" s="38" t="s">
        <v>2003</v>
      </c>
      <c r="AO566" s="38" t="s">
        <v>2030</v>
      </c>
      <c r="AP566" s="32" t="s">
        <v>2003</v>
      </c>
    </row>
    <row r="567" ht="12.75">
      <c r="C567" s="24" t="s">
        <v>1320</v>
      </c>
    </row>
    <row r="568" spans="1:42" ht="12.75">
      <c r="A568" s="50" t="s">
        <v>453</v>
      </c>
      <c r="B568" s="17" t="s">
        <v>992</v>
      </c>
      <c r="C568" s="17" t="s">
        <v>1686</v>
      </c>
      <c r="D568" s="17" t="s">
        <v>1942</v>
      </c>
      <c r="E568" s="26">
        <v>113.8</v>
      </c>
      <c r="F568" s="26">
        <v>0</v>
      </c>
      <c r="G568" s="26">
        <f>E568*AD568</f>
        <v>0</v>
      </c>
      <c r="H568" s="26">
        <f>I568-G568</f>
        <v>0</v>
      </c>
      <c r="I568" s="26">
        <f>E568*F568</f>
        <v>0</v>
      </c>
      <c r="J568" s="72">
        <v>0.00278</v>
      </c>
      <c r="K568" s="72">
        <f>E568*J568</f>
        <v>0.316364</v>
      </c>
      <c r="L568" s="35" t="s">
        <v>1961</v>
      </c>
      <c r="M568" s="35" t="s">
        <v>122</v>
      </c>
      <c r="N568" s="26">
        <f>IF(M568="5",H568,0)</f>
        <v>0</v>
      </c>
      <c r="Y568" s="26">
        <f>IF(AC568=0,I568,0)</f>
        <v>0</v>
      </c>
      <c r="Z568" s="26">
        <f>IF(AC568=15,I568,0)</f>
        <v>0</v>
      </c>
      <c r="AA568" s="26">
        <f>IF(AC568=21,I568,0)</f>
        <v>0</v>
      </c>
      <c r="AC568" s="12">
        <v>21</v>
      </c>
      <c r="AD568" s="12">
        <f>F568*0.436637640659697</f>
        <v>0</v>
      </c>
      <c r="AE568" s="12">
        <f>F568*(1-0.436637640659697)</f>
        <v>0</v>
      </c>
      <c r="AL568" s="12">
        <f>E568*AD568</f>
        <v>0</v>
      </c>
      <c r="AM568" s="12">
        <f>E568*AE568</f>
        <v>0</v>
      </c>
      <c r="AN568" s="38" t="s">
        <v>2003</v>
      </c>
      <c r="AO568" s="38" t="s">
        <v>2030</v>
      </c>
      <c r="AP568" s="32" t="s">
        <v>2003</v>
      </c>
    </row>
    <row r="569" ht="24" customHeight="1">
      <c r="C569" s="24" t="s">
        <v>1687</v>
      </c>
    </row>
    <row r="570" spans="1:42" ht="12.75">
      <c r="A570" s="50" t="s">
        <v>454</v>
      </c>
      <c r="B570" s="17" t="s">
        <v>993</v>
      </c>
      <c r="C570" s="17" t="s">
        <v>1688</v>
      </c>
      <c r="D570" s="17" t="s">
        <v>1942</v>
      </c>
      <c r="E570" s="26">
        <v>44.6</v>
      </c>
      <c r="F570" s="26">
        <v>0</v>
      </c>
      <c r="G570" s="26">
        <f>E570*AD570</f>
        <v>0</v>
      </c>
      <c r="H570" s="26">
        <f>I570-G570</f>
        <v>0</v>
      </c>
      <c r="I570" s="26">
        <f>E570*F570</f>
        <v>0</v>
      </c>
      <c r="J570" s="72">
        <v>0.00429</v>
      </c>
      <c r="K570" s="72">
        <f>E570*J570</f>
        <v>0.19133400000000003</v>
      </c>
      <c r="L570" s="35" t="s">
        <v>1961</v>
      </c>
      <c r="M570" s="35" t="s">
        <v>122</v>
      </c>
      <c r="N570" s="26">
        <f>IF(M570="5",H570,0)</f>
        <v>0</v>
      </c>
      <c r="Y570" s="26">
        <f>IF(AC570=0,I570,0)</f>
        <v>0</v>
      </c>
      <c r="Z570" s="26">
        <f>IF(AC570=15,I570,0)</f>
        <v>0</v>
      </c>
      <c r="AA570" s="26">
        <f>IF(AC570=21,I570,0)</f>
        <v>0</v>
      </c>
      <c r="AC570" s="12">
        <v>21</v>
      </c>
      <c r="AD570" s="12">
        <f>F570*0.484330484330484</f>
        <v>0</v>
      </c>
      <c r="AE570" s="12">
        <f>F570*(1-0.484330484330484)</f>
        <v>0</v>
      </c>
      <c r="AL570" s="12">
        <f>E570*AD570</f>
        <v>0</v>
      </c>
      <c r="AM570" s="12">
        <f>E570*AE570</f>
        <v>0</v>
      </c>
      <c r="AN570" s="38" t="s">
        <v>2003</v>
      </c>
      <c r="AO570" s="38" t="s">
        <v>2030</v>
      </c>
      <c r="AP570" s="32" t="s">
        <v>2003</v>
      </c>
    </row>
    <row r="571" ht="22.5" customHeight="1">
      <c r="C571" s="24" t="s">
        <v>1687</v>
      </c>
    </row>
    <row r="572" spans="1:42" ht="12.75">
      <c r="A572" s="50" t="s">
        <v>455</v>
      </c>
      <c r="B572" s="17" t="s">
        <v>994</v>
      </c>
      <c r="C572" s="17" t="s">
        <v>1689</v>
      </c>
      <c r="D572" s="17" t="s">
        <v>1942</v>
      </c>
      <c r="E572" s="26">
        <v>9.5</v>
      </c>
      <c r="F572" s="26">
        <v>0</v>
      </c>
      <c r="G572" s="26">
        <f>E572*AD572</f>
        <v>0</v>
      </c>
      <c r="H572" s="26">
        <f>I572-G572</f>
        <v>0</v>
      </c>
      <c r="I572" s="26">
        <f>E572*F572</f>
        <v>0</v>
      </c>
      <c r="J572" s="72">
        <v>0.00609</v>
      </c>
      <c r="K572" s="72">
        <f>E572*J572</f>
        <v>0.057855</v>
      </c>
      <c r="L572" s="35" t="s">
        <v>1961</v>
      </c>
      <c r="M572" s="35" t="s">
        <v>122</v>
      </c>
      <c r="N572" s="26">
        <f>IF(M572="5",H572,0)</f>
        <v>0</v>
      </c>
      <c r="Y572" s="26">
        <f>IF(AC572=0,I572,0)</f>
        <v>0</v>
      </c>
      <c r="Z572" s="26">
        <f>IF(AC572=15,I572,0)</f>
        <v>0</v>
      </c>
      <c r="AA572" s="26">
        <f>IF(AC572=21,I572,0)</f>
        <v>0</v>
      </c>
      <c r="AC572" s="12">
        <v>21</v>
      </c>
      <c r="AD572" s="12">
        <f>F572*0.550611790878754</f>
        <v>0</v>
      </c>
      <c r="AE572" s="12">
        <f>F572*(1-0.550611790878754)</f>
        <v>0</v>
      </c>
      <c r="AL572" s="12">
        <f>E572*AD572</f>
        <v>0</v>
      </c>
      <c r="AM572" s="12">
        <f>E572*AE572</f>
        <v>0</v>
      </c>
      <c r="AN572" s="38" t="s">
        <v>2003</v>
      </c>
      <c r="AO572" s="38" t="s">
        <v>2030</v>
      </c>
      <c r="AP572" s="32" t="s">
        <v>2003</v>
      </c>
    </row>
    <row r="573" ht="27" customHeight="1">
      <c r="C573" s="24" t="s">
        <v>1687</v>
      </c>
    </row>
    <row r="574" spans="1:42" ht="12.75">
      <c r="A574" s="50" t="s">
        <v>456</v>
      </c>
      <c r="B574" s="17" t="s">
        <v>995</v>
      </c>
      <c r="C574" s="17" t="s">
        <v>1690</v>
      </c>
      <c r="D574" s="17" t="s">
        <v>1942</v>
      </c>
      <c r="E574" s="26">
        <v>125</v>
      </c>
      <c r="F574" s="26">
        <v>0</v>
      </c>
      <c r="G574" s="26">
        <f>E574*AD574</f>
        <v>0</v>
      </c>
      <c r="H574" s="26">
        <f>I574-G574</f>
        <v>0</v>
      </c>
      <c r="I574" s="26">
        <f>E574*F574</f>
        <v>0</v>
      </c>
      <c r="J574" s="72">
        <v>0.00356</v>
      </c>
      <c r="K574" s="72">
        <f>E574*J574</f>
        <v>0.44499999999999995</v>
      </c>
      <c r="L574" s="35" t="s">
        <v>1961</v>
      </c>
      <c r="M574" s="35" t="s">
        <v>122</v>
      </c>
      <c r="N574" s="26">
        <f>IF(M574="5",H574,0)</f>
        <v>0</v>
      </c>
      <c r="Y574" s="26">
        <f>IF(AC574=0,I574,0)</f>
        <v>0</v>
      </c>
      <c r="Z574" s="26">
        <f>IF(AC574=15,I574,0)</f>
        <v>0</v>
      </c>
      <c r="AA574" s="26">
        <f>IF(AC574=21,I574,0)</f>
        <v>0</v>
      </c>
      <c r="AC574" s="12">
        <v>21</v>
      </c>
      <c r="AD574" s="12">
        <f>F574*0</f>
        <v>0</v>
      </c>
      <c r="AE574" s="12">
        <f>F574*(1-0)</f>
        <v>0</v>
      </c>
      <c r="AL574" s="12">
        <f>E574*AD574</f>
        <v>0</v>
      </c>
      <c r="AM574" s="12">
        <f>E574*AE574</f>
        <v>0</v>
      </c>
      <c r="AN574" s="38" t="s">
        <v>2003</v>
      </c>
      <c r="AO574" s="38" t="s">
        <v>2030</v>
      </c>
      <c r="AP574" s="32" t="s">
        <v>2003</v>
      </c>
    </row>
    <row r="575" ht="12.75">
      <c r="C575" s="24" t="s">
        <v>1691</v>
      </c>
    </row>
    <row r="576" spans="1:42" ht="12.75">
      <c r="A576" s="50" t="s">
        <v>457</v>
      </c>
      <c r="B576" s="17" t="s">
        <v>996</v>
      </c>
      <c r="C576" s="17" t="s">
        <v>1692</v>
      </c>
      <c r="D576" s="17" t="s">
        <v>1942</v>
      </c>
      <c r="E576" s="26">
        <v>114.12</v>
      </c>
      <c r="F576" s="26">
        <v>0</v>
      </c>
      <c r="G576" s="26">
        <f>E576*AD576</f>
        <v>0</v>
      </c>
      <c r="H576" s="26">
        <f>I576-G576</f>
        <v>0</v>
      </c>
      <c r="I576" s="26">
        <f>E576*F576</f>
        <v>0</v>
      </c>
      <c r="J576" s="72">
        <v>0.00308</v>
      </c>
      <c r="K576" s="72">
        <f>E576*J576</f>
        <v>0.3514896</v>
      </c>
      <c r="L576" s="35" t="s">
        <v>1961</v>
      </c>
      <c r="M576" s="35" t="s">
        <v>122</v>
      </c>
      <c r="N576" s="26">
        <f>IF(M576="5",H576,0)</f>
        <v>0</v>
      </c>
      <c r="Y576" s="26">
        <f>IF(AC576=0,I576,0)</f>
        <v>0</v>
      </c>
      <c r="Z576" s="26">
        <f>IF(AC576=15,I576,0)</f>
        <v>0</v>
      </c>
      <c r="AA576" s="26">
        <f>IF(AC576=21,I576,0)</f>
        <v>0</v>
      </c>
      <c r="AC576" s="12">
        <v>21</v>
      </c>
      <c r="AD576" s="12">
        <f>F576*0</f>
        <v>0</v>
      </c>
      <c r="AE576" s="12">
        <f>F576*(1-0)</f>
        <v>0</v>
      </c>
      <c r="AL576" s="12">
        <f>E576*AD576</f>
        <v>0</v>
      </c>
      <c r="AM576" s="12">
        <f>E576*AE576</f>
        <v>0</v>
      </c>
      <c r="AN576" s="38" t="s">
        <v>2003</v>
      </c>
      <c r="AO576" s="38" t="s">
        <v>2030</v>
      </c>
      <c r="AP576" s="32" t="s">
        <v>2003</v>
      </c>
    </row>
    <row r="577" spans="1:42" ht="12.75">
      <c r="A577" s="50" t="s">
        <v>458</v>
      </c>
      <c r="B577" s="17" t="s">
        <v>997</v>
      </c>
      <c r="C577" s="17" t="s">
        <v>1693</v>
      </c>
      <c r="D577" s="17" t="s">
        <v>1944</v>
      </c>
      <c r="E577" s="26">
        <v>18</v>
      </c>
      <c r="F577" s="26">
        <v>0</v>
      </c>
      <c r="G577" s="26">
        <f>E577*AD577</f>
        <v>0</v>
      </c>
      <c r="H577" s="26">
        <f>I577-G577</f>
        <v>0</v>
      </c>
      <c r="I577" s="26">
        <f>E577*F577</f>
        <v>0</v>
      </c>
      <c r="J577" s="72">
        <v>0.0001</v>
      </c>
      <c r="K577" s="72">
        <f>E577*J577</f>
        <v>0.0018000000000000002</v>
      </c>
      <c r="L577" s="35" t="s">
        <v>1961</v>
      </c>
      <c r="M577" s="35" t="s">
        <v>122</v>
      </c>
      <c r="N577" s="26">
        <f>IF(M577="5",H577,0)</f>
        <v>0</v>
      </c>
      <c r="Y577" s="26">
        <f>IF(AC577=0,I577,0)</f>
        <v>0</v>
      </c>
      <c r="Z577" s="26">
        <f>IF(AC577=15,I577,0)</f>
        <v>0</v>
      </c>
      <c r="AA577" s="26">
        <f>IF(AC577=21,I577,0)</f>
        <v>0</v>
      </c>
      <c r="AC577" s="12">
        <v>21</v>
      </c>
      <c r="AD577" s="12">
        <f>F577*0.341020910209102</f>
        <v>0</v>
      </c>
      <c r="AE577" s="12">
        <f>F577*(1-0.341020910209102)</f>
        <v>0</v>
      </c>
      <c r="AL577" s="12">
        <f>E577*AD577</f>
        <v>0</v>
      </c>
      <c r="AM577" s="12">
        <f>E577*AE577</f>
        <v>0</v>
      </c>
      <c r="AN577" s="38" t="s">
        <v>2003</v>
      </c>
      <c r="AO577" s="38" t="s">
        <v>2030</v>
      </c>
      <c r="AP577" s="32" t="s">
        <v>2003</v>
      </c>
    </row>
    <row r="578" spans="1:42" ht="12.75">
      <c r="A578" s="50" t="s">
        <v>459</v>
      </c>
      <c r="B578" s="17" t="s">
        <v>998</v>
      </c>
      <c r="C578" s="17" t="s">
        <v>1694</v>
      </c>
      <c r="D578" s="17" t="s">
        <v>1944</v>
      </c>
      <c r="E578" s="26">
        <v>9</v>
      </c>
      <c r="F578" s="26">
        <v>0</v>
      </c>
      <c r="G578" s="26">
        <f>E578*AD578</f>
        <v>0</v>
      </c>
      <c r="H578" s="26">
        <f>I578-G578</f>
        <v>0</v>
      </c>
      <c r="I578" s="26">
        <f>E578*F578</f>
        <v>0</v>
      </c>
      <c r="J578" s="72">
        <v>0.00144</v>
      </c>
      <c r="K578" s="72">
        <f>E578*J578</f>
        <v>0.012960000000000001</v>
      </c>
      <c r="L578" s="35" t="s">
        <v>1961</v>
      </c>
      <c r="M578" s="35" t="s">
        <v>122</v>
      </c>
      <c r="N578" s="26">
        <f>IF(M578="5",H578,0)</f>
        <v>0</v>
      </c>
      <c r="Y578" s="26">
        <f>IF(AC578=0,I578,0)</f>
        <v>0</v>
      </c>
      <c r="Z578" s="26">
        <f>IF(AC578=15,I578,0)</f>
        <v>0</v>
      </c>
      <c r="AA578" s="26">
        <f>IF(AC578=21,I578,0)</f>
        <v>0</v>
      </c>
      <c r="AC578" s="12">
        <v>21</v>
      </c>
      <c r="AD578" s="12">
        <f>F578*0</f>
        <v>0</v>
      </c>
      <c r="AE578" s="12">
        <f>F578*(1-0)</f>
        <v>0</v>
      </c>
      <c r="AL578" s="12">
        <f>E578*AD578</f>
        <v>0</v>
      </c>
      <c r="AM578" s="12">
        <f>E578*AE578</f>
        <v>0</v>
      </c>
      <c r="AN578" s="38" t="s">
        <v>2003</v>
      </c>
      <c r="AO578" s="38" t="s">
        <v>2030</v>
      </c>
      <c r="AP578" s="32" t="s">
        <v>2003</v>
      </c>
    </row>
    <row r="579" spans="1:42" ht="12.75">
      <c r="A579" s="50" t="s">
        <v>460</v>
      </c>
      <c r="B579" s="17" t="s">
        <v>999</v>
      </c>
      <c r="C579" s="17" t="s">
        <v>1695</v>
      </c>
      <c r="D579" s="17" t="s">
        <v>1944</v>
      </c>
      <c r="E579" s="26">
        <v>2</v>
      </c>
      <c r="F579" s="26">
        <v>0</v>
      </c>
      <c r="G579" s="26">
        <f>E579*AD579</f>
        <v>0</v>
      </c>
      <c r="H579" s="26">
        <f>I579-G579</f>
        <v>0</v>
      </c>
      <c r="I579" s="26">
        <f>E579*F579</f>
        <v>0</v>
      </c>
      <c r="J579" s="72">
        <v>0.00655</v>
      </c>
      <c r="K579" s="72">
        <f>E579*J579</f>
        <v>0.0131</v>
      </c>
      <c r="L579" s="35" t="s">
        <v>1959</v>
      </c>
      <c r="M579" s="35" t="s">
        <v>122</v>
      </c>
      <c r="N579" s="26">
        <f>IF(M579="5",H579,0)</f>
        <v>0</v>
      </c>
      <c r="Y579" s="26">
        <f>IF(AC579=0,I579,0)</f>
        <v>0</v>
      </c>
      <c r="Z579" s="26">
        <f>IF(AC579=15,I579,0)</f>
        <v>0</v>
      </c>
      <c r="AA579" s="26">
        <f>IF(AC579=21,I579,0)</f>
        <v>0</v>
      </c>
      <c r="AC579" s="12">
        <v>21</v>
      </c>
      <c r="AD579" s="12">
        <f>F579*0.8925494915105</f>
        <v>0</v>
      </c>
      <c r="AE579" s="12">
        <f>F579*(1-0.8925494915105)</f>
        <v>0</v>
      </c>
      <c r="AL579" s="12">
        <f>E579*AD579</f>
        <v>0</v>
      </c>
      <c r="AM579" s="12">
        <f>E579*AE579</f>
        <v>0</v>
      </c>
      <c r="AN579" s="38" t="s">
        <v>2003</v>
      </c>
      <c r="AO579" s="38" t="s">
        <v>2030</v>
      </c>
      <c r="AP579" s="32" t="s">
        <v>2003</v>
      </c>
    </row>
    <row r="580" ht="12.75">
      <c r="C580" s="24" t="s">
        <v>1696</v>
      </c>
    </row>
    <row r="581" spans="1:42" s="60" customFormat="1" ht="26.25">
      <c r="A581" s="56" t="s">
        <v>461</v>
      </c>
      <c r="B581" s="57" t="s">
        <v>1000</v>
      </c>
      <c r="C581" s="57" t="s">
        <v>1697</v>
      </c>
      <c r="D581" s="57" t="s">
        <v>1944</v>
      </c>
      <c r="E581" s="58">
        <v>2</v>
      </c>
      <c r="F581" s="58">
        <v>0</v>
      </c>
      <c r="G581" s="58">
        <f>E581*AD581</f>
        <v>0</v>
      </c>
      <c r="H581" s="58">
        <f>I581-G581</f>
        <v>0</v>
      </c>
      <c r="I581" s="58">
        <f>E581*F581</f>
        <v>0</v>
      </c>
      <c r="J581" s="77">
        <v>0.00146</v>
      </c>
      <c r="K581" s="77">
        <f>E581*J581</f>
        <v>0.00292</v>
      </c>
      <c r="L581" s="59" t="s">
        <v>1961</v>
      </c>
      <c r="M581" s="59" t="s">
        <v>122</v>
      </c>
      <c r="N581" s="58">
        <f>IF(M581="5",H581,0)</f>
        <v>0</v>
      </c>
      <c r="Y581" s="58">
        <f>IF(AC581=0,I581,0)</f>
        <v>0</v>
      </c>
      <c r="Z581" s="58">
        <f>IF(AC581=15,I581,0)</f>
        <v>0</v>
      </c>
      <c r="AA581" s="58">
        <f>IF(AC581=21,I581,0)</f>
        <v>0</v>
      </c>
      <c r="AC581" s="61">
        <v>21</v>
      </c>
      <c r="AD581" s="61">
        <f>F581*0.940531034482759</f>
        <v>0</v>
      </c>
      <c r="AE581" s="61">
        <f>F581*(1-0.940531034482759)</f>
        <v>0</v>
      </c>
      <c r="AL581" s="61">
        <f>E581*AD581</f>
        <v>0</v>
      </c>
      <c r="AM581" s="61">
        <f>E581*AE581</f>
        <v>0</v>
      </c>
      <c r="AN581" s="62" t="s">
        <v>2003</v>
      </c>
      <c r="AO581" s="62" t="s">
        <v>2030</v>
      </c>
      <c r="AP581" s="63" t="s">
        <v>2042</v>
      </c>
    </row>
    <row r="582" ht="12.75">
      <c r="C582" s="24" t="s">
        <v>1698</v>
      </c>
    </row>
    <row r="583" spans="1:42" ht="12.75">
      <c r="A583" s="50" t="s">
        <v>462</v>
      </c>
      <c r="B583" s="17" t="s">
        <v>1001</v>
      </c>
      <c r="C583" s="17" t="s">
        <v>1699</v>
      </c>
      <c r="D583" s="17" t="s">
        <v>1942</v>
      </c>
      <c r="E583" s="26">
        <v>197.89</v>
      </c>
      <c r="F583" s="26">
        <v>0</v>
      </c>
      <c r="G583" s="26">
        <f>E583*AD583</f>
        <v>0</v>
      </c>
      <c r="H583" s="26">
        <f>I583-G583</f>
        <v>0</v>
      </c>
      <c r="I583" s="26">
        <f>E583*F583</f>
        <v>0</v>
      </c>
      <c r="J583" s="72">
        <v>0.00464</v>
      </c>
      <c r="K583" s="72">
        <f>E583*J583</f>
        <v>0.9182096</v>
      </c>
      <c r="L583" s="35" t="s">
        <v>1961</v>
      </c>
      <c r="M583" s="35" t="s">
        <v>124</v>
      </c>
      <c r="N583" s="26">
        <f>IF(M583="5",H583,0)</f>
        <v>0</v>
      </c>
      <c r="Y583" s="26">
        <f>IF(AC583=0,I583,0)</f>
        <v>0</v>
      </c>
      <c r="Z583" s="26">
        <f>IF(AC583=15,I583,0)</f>
        <v>0</v>
      </c>
      <c r="AA583" s="26">
        <f>IF(AC583=21,I583,0)</f>
        <v>0</v>
      </c>
      <c r="AC583" s="12">
        <v>21</v>
      </c>
      <c r="AD583" s="12">
        <f>F583*0</f>
        <v>0</v>
      </c>
      <c r="AE583" s="12">
        <f>F583*(1-0)</f>
        <v>0</v>
      </c>
      <c r="AL583" s="12">
        <f>E583*AD583</f>
        <v>0</v>
      </c>
      <c r="AM583" s="12">
        <f>E583*AE583</f>
        <v>0</v>
      </c>
      <c r="AN583" s="38" t="s">
        <v>2003</v>
      </c>
      <c r="AO583" s="38" t="s">
        <v>2030</v>
      </c>
      <c r="AP583" s="32" t="s">
        <v>2003</v>
      </c>
    </row>
    <row r="584" ht="12.75">
      <c r="C584" s="24" t="s">
        <v>1700</v>
      </c>
    </row>
    <row r="585" spans="1:36" ht="12.75">
      <c r="A585" s="52"/>
      <c r="B585" s="23" t="s">
        <v>28</v>
      </c>
      <c r="C585" s="121" t="s">
        <v>75</v>
      </c>
      <c r="D585" s="122"/>
      <c r="E585" s="122"/>
      <c r="F585" s="122"/>
      <c r="G585" s="40">
        <f>SUM(G586:G588)</f>
        <v>0</v>
      </c>
      <c r="H585" s="40">
        <f>SUM(H586:H588)</f>
        <v>0</v>
      </c>
      <c r="I585" s="40">
        <f>G585+H585</f>
        <v>0</v>
      </c>
      <c r="J585" s="74"/>
      <c r="K585" s="74">
        <f>SUM(K586:K588)</f>
        <v>0.0375</v>
      </c>
      <c r="L585" s="32"/>
      <c r="O585" s="40">
        <f>IF(P585="PR",I585,SUM(N586:N588))</f>
        <v>0</v>
      </c>
      <c r="P585" s="32" t="s">
        <v>1968</v>
      </c>
      <c r="Q585" s="40">
        <f>IF(P585="HS",G585,0)</f>
        <v>0</v>
      </c>
      <c r="R585" s="40">
        <f>IF(P585="HS",H585-O585,0)</f>
        <v>0</v>
      </c>
      <c r="S585" s="40">
        <f>IF(P585="PS",G585,0)</f>
        <v>0</v>
      </c>
      <c r="T585" s="40">
        <f>IF(P585="PS",H585-O585,0)</f>
        <v>0</v>
      </c>
      <c r="U585" s="40">
        <f>IF(P585="MP",G585,0)</f>
        <v>0</v>
      </c>
      <c r="V585" s="40">
        <f>IF(P585="MP",H585-O585,0)</f>
        <v>0</v>
      </c>
      <c r="W585" s="40">
        <f>IF(P585="OM",G585,0)</f>
        <v>0</v>
      </c>
      <c r="X585" s="32"/>
      <c r="AH585" s="40">
        <f>SUM(Y586:Y588)</f>
        <v>0</v>
      </c>
      <c r="AI585" s="40">
        <f>SUM(Z586:Z588)</f>
        <v>0</v>
      </c>
      <c r="AJ585" s="40">
        <f>SUM(AA586:AA588)</f>
        <v>0</v>
      </c>
    </row>
    <row r="586" spans="1:42" ht="12.75">
      <c r="A586" s="50" t="s">
        <v>463</v>
      </c>
      <c r="B586" s="17" t="s">
        <v>1002</v>
      </c>
      <c r="C586" s="17" t="s">
        <v>1701</v>
      </c>
      <c r="D586" s="17" t="s">
        <v>1941</v>
      </c>
      <c r="E586" s="26">
        <v>18.5</v>
      </c>
      <c r="F586" s="26">
        <v>0</v>
      </c>
      <c r="G586" s="26">
        <f>E586*AD586</f>
        <v>0</v>
      </c>
      <c r="H586" s="26">
        <f>I586-G586</f>
        <v>0</v>
      </c>
      <c r="I586" s="26">
        <f>E586*F586</f>
        <v>0</v>
      </c>
      <c r="J586" s="72">
        <v>0.00202</v>
      </c>
      <c r="K586" s="72">
        <f>E586*J586</f>
        <v>0.03737</v>
      </c>
      <c r="L586" s="35" t="s">
        <v>1959</v>
      </c>
      <c r="M586" s="35" t="s">
        <v>122</v>
      </c>
      <c r="N586" s="26">
        <f>IF(M586="5",H586,0)</f>
        <v>0</v>
      </c>
      <c r="Y586" s="26">
        <f>IF(AC586=0,I586,0)</f>
        <v>0</v>
      </c>
      <c r="Z586" s="26">
        <f>IF(AC586=15,I586,0)</f>
        <v>0</v>
      </c>
      <c r="AA586" s="26">
        <f>IF(AC586=21,I586,0)</f>
        <v>0</v>
      </c>
      <c r="AC586" s="12">
        <v>21</v>
      </c>
      <c r="AD586" s="12">
        <f>F586*0.862669039145907</f>
        <v>0</v>
      </c>
      <c r="AE586" s="12">
        <f>F586*(1-0.862669039145907)</f>
        <v>0</v>
      </c>
      <c r="AL586" s="12">
        <f>E586*AD586</f>
        <v>0</v>
      </c>
      <c r="AM586" s="12">
        <f>E586*AE586</f>
        <v>0</v>
      </c>
      <c r="AN586" s="38" t="s">
        <v>2004</v>
      </c>
      <c r="AO586" s="38" t="s">
        <v>2030</v>
      </c>
      <c r="AP586" s="32" t="s">
        <v>2003</v>
      </c>
    </row>
    <row r="587" ht="12.75">
      <c r="C587" s="24" t="s">
        <v>1702</v>
      </c>
    </row>
    <row r="588" spans="1:42" ht="12.75">
      <c r="A588" s="50" t="s">
        <v>464</v>
      </c>
      <c r="B588" s="17" t="s">
        <v>1003</v>
      </c>
      <c r="C588" s="17" t="s">
        <v>1703</v>
      </c>
      <c r="D588" s="17" t="s">
        <v>1942</v>
      </c>
      <c r="E588" s="26">
        <v>6.5</v>
      </c>
      <c r="F588" s="26">
        <v>0</v>
      </c>
      <c r="G588" s="26">
        <f>E588*AD588</f>
        <v>0</v>
      </c>
      <c r="H588" s="26">
        <f>I588-G588</f>
        <v>0</v>
      </c>
      <c r="I588" s="26">
        <f>E588*F588</f>
        <v>0</v>
      </c>
      <c r="J588" s="72">
        <v>2E-05</v>
      </c>
      <c r="K588" s="72">
        <f>E588*J588</f>
        <v>0.00013000000000000002</v>
      </c>
      <c r="L588" s="35" t="s">
        <v>1959</v>
      </c>
      <c r="M588" s="35" t="s">
        <v>122</v>
      </c>
      <c r="N588" s="26">
        <f>IF(M588="5",H588,0)</f>
        <v>0</v>
      </c>
      <c r="Y588" s="26">
        <f>IF(AC588=0,I588,0)</f>
        <v>0</v>
      </c>
      <c r="Z588" s="26">
        <f>IF(AC588=15,I588,0)</f>
        <v>0</v>
      </c>
      <c r="AA588" s="26">
        <f>IF(AC588=21,I588,0)</f>
        <v>0</v>
      </c>
      <c r="AC588" s="12">
        <v>21</v>
      </c>
      <c r="AD588" s="12">
        <f>F588*0.68125</f>
        <v>0</v>
      </c>
      <c r="AE588" s="12">
        <f>F588*(1-0.68125)</f>
        <v>0</v>
      </c>
      <c r="AL588" s="12">
        <f>E588*AD588</f>
        <v>0</v>
      </c>
      <c r="AM588" s="12">
        <f>E588*AE588</f>
        <v>0</v>
      </c>
      <c r="AN588" s="38" t="s">
        <v>2004</v>
      </c>
      <c r="AO588" s="38" t="s">
        <v>2030</v>
      </c>
      <c r="AP588" s="32" t="s">
        <v>2003</v>
      </c>
    </row>
    <row r="589" spans="1:36" ht="12.75">
      <c r="A589" s="52"/>
      <c r="B589" s="23" t="s">
        <v>29</v>
      </c>
      <c r="C589" s="121" t="s">
        <v>76</v>
      </c>
      <c r="D589" s="122"/>
      <c r="E589" s="122"/>
      <c r="F589" s="122"/>
      <c r="G589" s="40">
        <f>SUM(G590:G671)</f>
        <v>0</v>
      </c>
      <c r="H589" s="40">
        <f>SUM(H590:H671)</f>
        <v>0</v>
      </c>
      <c r="I589" s="40">
        <f>G589+H589</f>
        <v>0</v>
      </c>
      <c r="J589" s="74"/>
      <c r="K589" s="74">
        <f>SUM(K590:K671)</f>
        <v>0.5553236</v>
      </c>
      <c r="L589" s="32"/>
      <c r="O589" s="40">
        <f>IF(P589="PR",I589,SUM(N590:N671))</f>
        <v>0</v>
      </c>
      <c r="P589" s="32" t="s">
        <v>1968</v>
      </c>
      <c r="Q589" s="40">
        <f>IF(P589="HS",G589,0)</f>
        <v>0</v>
      </c>
      <c r="R589" s="40">
        <f>IF(P589="HS",H589-O589,0)</f>
        <v>0</v>
      </c>
      <c r="S589" s="40">
        <f>IF(P589="PS",G589,0)</f>
        <v>0</v>
      </c>
      <c r="T589" s="40">
        <f>IF(P589="PS",H589-O589,0)</f>
        <v>0</v>
      </c>
      <c r="U589" s="40">
        <f>IF(P589="MP",G589,0)</f>
        <v>0</v>
      </c>
      <c r="V589" s="40">
        <f>IF(P589="MP",H589-O589,0)</f>
        <v>0</v>
      </c>
      <c r="W589" s="40">
        <f>IF(P589="OM",G589,0)</f>
        <v>0</v>
      </c>
      <c r="X589" s="32"/>
      <c r="AH589" s="40">
        <f>SUM(Y590:Y671)</f>
        <v>0</v>
      </c>
      <c r="AI589" s="40">
        <f>SUM(Z590:Z671)</f>
        <v>0</v>
      </c>
      <c r="AJ589" s="40">
        <f>SUM(AA590:AA671)</f>
        <v>0</v>
      </c>
    </row>
    <row r="590" spans="1:42" s="60" customFormat="1" ht="26.25">
      <c r="A590" s="56" t="s">
        <v>465</v>
      </c>
      <c r="B590" s="57" t="s">
        <v>1004</v>
      </c>
      <c r="C590" s="57" t="s">
        <v>1704</v>
      </c>
      <c r="D590" s="57" t="s">
        <v>1944</v>
      </c>
      <c r="E590" s="58">
        <v>1</v>
      </c>
      <c r="F590" s="58">
        <v>0</v>
      </c>
      <c r="G590" s="58">
        <f>E590*AD590</f>
        <v>0</v>
      </c>
      <c r="H590" s="58">
        <f>I590-G590</f>
        <v>0</v>
      </c>
      <c r="I590" s="58">
        <f>E590*F590</f>
        <v>0</v>
      </c>
      <c r="J590" s="77">
        <v>0</v>
      </c>
      <c r="K590" s="77">
        <f>E590*J590</f>
        <v>0</v>
      </c>
      <c r="L590" s="59"/>
      <c r="M590" s="59" t="s">
        <v>122</v>
      </c>
      <c r="N590" s="58">
        <f>IF(M590="5",H590,0)</f>
        <v>0</v>
      </c>
      <c r="Y590" s="58">
        <f>IF(AC590=0,I590,0)</f>
        <v>0</v>
      </c>
      <c r="Z590" s="58">
        <f>IF(AC590=15,I590,0)</f>
        <v>0</v>
      </c>
      <c r="AA590" s="58">
        <f>IF(AC590=21,I590,0)</f>
        <v>0</v>
      </c>
      <c r="AC590" s="61">
        <v>21</v>
      </c>
      <c r="AD590" s="61">
        <f>F590*1</f>
        <v>0</v>
      </c>
      <c r="AE590" s="61">
        <f>F590*(1-1)</f>
        <v>0</v>
      </c>
      <c r="AL590" s="61">
        <f>E590*AD590</f>
        <v>0</v>
      </c>
      <c r="AM590" s="61">
        <f>E590*AE590</f>
        <v>0</v>
      </c>
      <c r="AN590" s="62" t="s">
        <v>2005</v>
      </c>
      <c r="AO590" s="62" t="s">
        <v>2030</v>
      </c>
      <c r="AP590" s="63" t="s">
        <v>2052</v>
      </c>
    </row>
    <row r="591" ht="12.75">
      <c r="C591" s="24" t="s">
        <v>1705</v>
      </c>
    </row>
    <row r="592" spans="1:42" ht="12.75">
      <c r="A592" s="50" t="s">
        <v>466</v>
      </c>
      <c r="B592" s="17" t="s">
        <v>1005</v>
      </c>
      <c r="C592" s="17" t="s">
        <v>1706</v>
      </c>
      <c r="D592" s="17" t="s">
        <v>1944</v>
      </c>
      <c r="E592" s="26">
        <v>1</v>
      </c>
      <c r="F592" s="26">
        <v>0</v>
      </c>
      <c r="G592" s="26">
        <f>E592*AD592</f>
        <v>0</v>
      </c>
      <c r="H592" s="26">
        <f>I592-G592</f>
        <v>0</v>
      </c>
      <c r="I592" s="26">
        <f>E592*F592</f>
        <v>0</v>
      </c>
      <c r="J592" s="72">
        <v>0</v>
      </c>
      <c r="K592" s="72">
        <f>E592*J592</f>
        <v>0</v>
      </c>
      <c r="L592" s="35" t="s">
        <v>1961</v>
      </c>
      <c r="M592" s="35" t="s">
        <v>122</v>
      </c>
      <c r="N592" s="26">
        <f>IF(M592="5",H592,0)</f>
        <v>0</v>
      </c>
      <c r="Y592" s="26">
        <f>IF(AC592=0,I592,0)</f>
        <v>0</v>
      </c>
      <c r="Z592" s="26">
        <f>IF(AC592=15,I592,0)</f>
        <v>0</v>
      </c>
      <c r="AA592" s="26">
        <f>IF(AC592=21,I592,0)</f>
        <v>0</v>
      </c>
      <c r="AC592" s="12">
        <v>21</v>
      </c>
      <c r="AD592" s="12">
        <f>F592*0.908835904628331</f>
        <v>0</v>
      </c>
      <c r="AE592" s="12">
        <f>F592*(1-0.908835904628331)</f>
        <v>0</v>
      </c>
      <c r="AL592" s="12">
        <f>E592*AD592</f>
        <v>0</v>
      </c>
      <c r="AM592" s="12">
        <f>E592*AE592</f>
        <v>0</v>
      </c>
      <c r="AN592" s="38" t="s">
        <v>2005</v>
      </c>
      <c r="AO592" s="38" t="s">
        <v>2030</v>
      </c>
      <c r="AP592" s="32" t="s">
        <v>2005</v>
      </c>
    </row>
    <row r="593" ht="101.25" customHeight="1">
      <c r="C593" s="24" t="s">
        <v>1707</v>
      </c>
    </row>
    <row r="594" spans="1:42" ht="12.75">
      <c r="A594" s="50" t="s">
        <v>467</v>
      </c>
      <c r="B594" s="17" t="s">
        <v>1006</v>
      </c>
      <c r="C594" s="17" t="s">
        <v>1708</v>
      </c>
      <c r="D594" s="17" t="s">
        <v>1944</v>
      </c>
      <c r="E594" s="26">
        <v>1</v>
      </c>
      <c r="F594" s="26">
        <v>0</v>
      </c>
      <c r="G594" s="26">
        <f>E594*AD594</f>
        <v>0</v>
      </c>
      <c r="H594" s="26">
        <f>I594-G594</f>
        <v>0</v>
      </c>
      <c r="I594" s="26">
        <f>E594*F594</f>
        <v>0</v>
      </c>
      <c r="J594" s="72">
        <v>0</v>
      </c>
      <c r="K594" s="72">
        <f>E594*J594</f>
        <v>0</v>
      </c>
      <c r="L594" s="35" t="s">
        <v>1961</v>
      </c>
      <c r="M594" s="35" t="s">
        <v>122</v>
      </c>
      <c r="N594" s="26">
        <f>IF(M594="5",H594,0)</f>
        <v>0</v>
      </c>
      <c r="Y594" s="26">
        <f>IF(AC594=0,I594,0)</f>
        <v>0</v>
      </c>
      <c r="Z594" s="26">
        <f>IF(AC594=15,I594,0)</f>
        <v>0</v>
      </c>
      <c r="AA594" s="26">
        <f>IF(AC594=21,I594,0)</f>
        <v>0</v>
      </c>
      <c r="AC594" s="12">
        <v>21</v>
      </c>
      <c r="AD594" s="12">
        <f>F594*0.888123924268503</f>
        <v>0</v>
      </c>
      <c r="AE594" s="12">
        <f>F594*(1-0.888123924268503)</f>
        <v>0</v>
      </c>
      <c r="AL594" s="12">
        <f>E594*AD594</f>
        <v>0</v>
      </c>
      <c r="AM594" s="12">
        <f>E594*AE594</f>
        <v>0</v>
      </c>
      <c r="AN594" s="38" t="s">
        <v>2005</v>
      </c>
      <c r="AO594" s="38" t="s">
        <v>2030</v>
      </c>
      <c r="AP594" s="32" t="s">
        <v>2005</v>
      </c>
    </row>
    <row r="595" ht="100.5" customHeight="1">
      <c r="C595" s="24" t="s">
        <v>1707</v>
      </c>
    </row>
    <row r="596" spans="1:42" ht="12.75">
      <c r="A596" s="50" t="s">
        <v>468</v>
      </c>
      <c r="B596" s="17" t="s">
        <v>1007</v>
      </c>
      <c r="C596" s="17" t="s">
        <v>2076</v>
      </c>
      <c r="D596" s="17" t="s">
        <v>1944</v>
      </c>
      <c r="E596" s="26">
        <v>2</v>
      </c>
      <c r="F596" s="26">
        <v>0</v>
      </c>
      <c r="G596" s="26">
        <f>E596*AD596</f>
        <v>0</v>
      </c>
      <c r="H596" s="26">
        <f>I596-G596</f>
        <v>0</v>
      </c>
      <c r="I596" s="26">
        <f>E596*F596</f>
        <v>0</v>
      </c>
      <c r="J596" s="72">
        <v>0</v>
      </c>
      <c r="K596" s="72">
        <f>E596*J596</f>
        <v>0</v>
      </c>
      <c r="L596" s="35" t="s">
        <v>1961</v>
      </c>
      <c r="M596" s="35" t="s">
        <v>122</v>
      </c>
      <c r="N596" s="26">
        <f>IF(M596="5",H596,0)</f>
        <v>0</v>
      </c>
      <c r="Y596" s="26">
        <f>IF(AC596=0,I596,0)</f>
        <v>0</v>
      </c>
      <c r="Z596" s="26">
        <f>IF(AC596=15,I596,0)</f>
        <v>0</v>
      </c>
      <c r="AA596" s="26">
        <f>IF(AC596=21,I596,0)</f>
        <v>0</v>
      </c>
      <c r="AC596" s="12">
        <v>21</v>
      </c>
      <c r="AD596" s="12">
        <f>F596*0.782608695652174</f>
        <v>0</v>
      </c>
      <c r="AE596" s="12">
        <f>F596*(1-0.782608695652174)</f>
        <v>0</v>
      </c>
      <c r="AL596" s="12">
        <f>E596*AD596</f>
        <v>0</v>
      </c>
      <c r="AM596" s="12">
        <f>E596*AE596</f>
        <v>0</v>
      </c>
      <c r="AN596" s="38" t="s">
        <v>2005</v>
      </c>
      <c r="AO596" s="38" t="s">
        <v>2030</v>
      </c>
      <c r="AP596" s="32" t="s">
        <v>2005</v>
      </c>
    </row>
    <row r="597" ht="52.5">
      <c r="C597" s="24" t="s">
        <v>1709</v>
      </c>
    </row>
    <row r="598" spans="1:12" ht="12.75">
      <c r="A598" s="51" t="s">
        <v>2075</v>
      </c>
      <c r="B598" t="s">
        <v>2073</v>
      </c>
      <c r="C598" s="24" t="s">
        <v>2077</v>
      </c>
      <c r="D598" t="s">
        <v>1944</v>
      </c>
      <c r="E598" s="26">
        <v>1</v>
      </c>
      <c r="F598" s="26">
        <v>0</v>
      </c>
      <c r="G598" s="26">
        <f>E598*AD598</f>
        <v>0</v>
      </c>
      <c r="H598" s="26">
        <f>I598-G598</f>
        <v>0</v>
      </c>
      <c r="I598" s="26">
        <f>E598*F598</f>
        <v>0</v>
      </c>
      <c r="J598" s="72">
        <v>0</v>
      </c>
      <c r="K598" s="72">
        <f>E598*J598</f>
        <v>0</v>
      </c>
      <c r="L598" s="35" t="s">
        <v>1961</v>
      </c>
    </row>
    <row r="599" ht="69" customHeight="1">
      <c r="C599" s="81" t="s">
        <v>2074</v>
      </c>
    </row>
    <row r="600" spans="1:42" ht="12.75">
      <c r="A600" s="50" t="s">
        <v>469</v>
      </c>
      <c r="B600" s="17" t="s">
        <v>1008</v>
      </c>
      <c r="C600" s="17" t="s">
        <v>1710</v>
      </c>
      <c r="D600" s="17" t="s">
        <v>1942</v>
      </c>
      <c r="E600" s="26">
        <v>11.4</v>
      </c>
      <c r="F600" s="26">
        <v>0</v>
      </c>
      <c r="G600" s="26">
        <f>E600*AD600</f>
        <v>0</v>
      </c>
      <c r="H600" s="26">
        <f>I600-G600</f>
        <v>0</v>
      </c>
      <c r="I600" s="26">
        <f>E600*F600</f>
        <v>0</v>
      </c>
      <c r="J600" s="72">
        <v>0</v>
      </c>
      <c r="K600" s="72">
        <f>E600*J600</f>
        <v>0</v>
      </c>
      <c r="L600" s="35" t="s">
        <v>1961</v>
      </c>
      <c r="M600" s="35" t="s">
        <v>122</v>
      </c>
      <c r="N600" s="26">
        <f>IF(M600="5",H600,0)</f>
        <v>0</v>
      </c>
      <c r="Y600" s="26">
        <f>IF(AC600=0,I600,0)</f>
        <v>0</v>
      </c>
      <c r="Z600" s="26">
        <f>IF(AC600=15,I600,0)</f>
        <v>0</v>
      </c>
      <c r="AA600" s="26">
        <f>IF(AC600=21,I600,0)</f>
        <v>0</v>
      </c>
      <c r="AC600" s="12">
        <v>21</v>
      </c>
      <c r="AD600" s="12">
        <f>F600*0.763157894736842</f>
        <v>0</v>
      </c>
      <c r="AE600" s="12">
        <f>F600*(1-0.763157894736842)</f>
        <v>0</v>
      </c>
      <c r="AL600" s="12">
        <f>E600*AD600</f>
        <v>0</v>
      </c>
      <c r="AM600" s="12">
        <f>E600*AE600</f>
        <v>0</v>
      </c>
      <c r="AN600" s="38" t="s">
        <v>2005</v>
      </c>
      <c r="AO600" s="38" t="s">
        <v>2030</v>
      </c>
      <c r="AP600" s="32" t="s">
        <v>2005</v>
      </c>
    </row>
    <row r="601" ht="12.75">
      <c r="C601" s="24" t="s">
        <v>1711</v>
      </c>
    </row>
    <row r="602" spans="1:42" ht="12.75">
      <c r="A602" s="50" t="s">
        <v>470</v>
      </c>
      <c r="B602" s="17" t="s">
        <v>1009</v>
      </c>
      <c r="C602" s="17" t="s">
        <v>1712</v>
      </c>
      <c r="D602" s="17" t="s">
        <v>1944</v>
      </c>
      <c r="E602" s="26">
        <v>1</v>
      </c>
      <c r="F602" s="26">
        <v>0</v>
      </c>
      <c r="G602" s="26">
        <f>E602*AD602</f>
        <v>0</v>
      </c>
      <c r="H602" s="26">
        <f>I602-G602</f>
        <v>0</v>
      </c>
      <c r="I602" s="26">
        <f>E602*F602</f>
        <v>0</v>
      </c>
      <c r="J602" s="72">
        <v>0</v>
      </c>
      <c r="K602" s="72">
        <f>E602*J602</f>
        <v>0</v>
      </c>
      <c r="L602" s="35" t="s">
        <v>1961</v>
      </c>
      <c r="M602" s="35" t="s">
        <v>122</v>
      </c>
      <c r="N602" s="26">
        <f>IF(M602="5",H602,0)</f>
        <v>0</v>
      </c>
      <c r="Y602" s="26">
        <f>IF(AC602=0,I602,0)</f>
        <v>0</v>
      </c>
      <c r="Z602" s="26">
        <f>IF(AC602=15,I602,0)</f>
        <v>0</v>
      </c>
      <c r="AA602" s="26">
        <f>IF(AC602=21,I602,0)</f>
        <v>0</v>
      </c>
      <c r="AC602" s="12">
        <v>21</v>
      </c>
      <c r="AD602" s="12">
        <f>F602*1</f>
        <v>0</v>
      </c>
      <c r="AE602" s="12">
        <f>F602*(1-1)</f>
        <v>0</v>
      </c>
      <c r="AL602" s="12">
        <f>E602*AD602</f>
        <v>0</v>
      </c>
      <c r="AM602" s="12">
        <f>E602*AE602</f>
        <v>0</v>
      </c>
      <c r="AN602" s="38" t="s">
        <v>2005</v>
      </c>
      <c r="AO602" s="38" t="s">
        <v>2030</v>
      </c>
      <c r="AP602" s="32" t="s">
        <v>2052</v>
      </c>
    </row>
    <row r="603" ht="12.75">
      <c r="C603" s="24" t="s">
        <v>1705</v>
      </c>
    </row>
    <row r="604" spans="1:42" ht="12.75">
      <c r="A604" s="50" t="s">
        <v>471</v>
      </c>
      <c r="B604" s="17" t="s">
        <v>1010</v>
      </c>
      <c r="C604" s="17" t="s">
        <v>1713</v>
      </c>
      <c r="D604" s="17" t="s">
        <v>1944</v>
      </c>
      <c r="E604" s="26">
        <v>1</v>
      </c>
      <c r="F604" s="26">
        <v>0</v>
      </c>
      <c r="G604" s="26">
        <f>E604*AD604</f>
        <v>0</v>
      </c>
      <c r="H604" s="26">
        <f>I604-G604</f>
        <v>0</v>
      </c>
      <c r="I604" s="26">
        <f>E604*F604</f>
        <v>0</v>
      </c>
      <c r="J604" s="72">
        <v>0</v>
      </c>
      <c r="K604" s="72">
        <f>E604*J604</f>
        <v>0</v>
      </c>
      <c r="L604" s="35" t="s">
        <v>1961</v>
      </c>
      <c r="M604" s="35" t="s">
        <v>122</v>
      </c>
      <c r="N604" s="26">
        <f>IF(M604="5",H604,0)</f>
        <v>0</v>
      </c>
      <c r="Y604" s="26">
        <f>IF(AC604=0,I604,0)</f>
        <v>0</v>
      </c>
      <c r="Z604" s="26">
        <f>IF(AC604=15,I604,0)</f>
        <v>0</v>
      </c>
      <c r="AA604" s="26">
        <f>IF(AC604=21,I604,0)</f>
        <v>0</v>
      </c>
      <c r="AC604" s="12">
        <v>21</v>
      </c>
      <c r="AD604" s="12">
        <f>F604*0.927884615384615</f>
        <v>0</v>
      </c>
      <c r="AE604" s="12">
        <f>F604*(1-0.927884615384615)</f>
        <v>0</v>
      </c>
      <c r="AL604" s="12">
        <f>E604*AD604</f>
        <v>0</v>
      </c>
      <c r="AM604" s="12">
        <f>E604*AE604</f>
        <v>0</v>
      </c>
      <c r="AN604" s="38" t="s">
        <v>2005</v>
      </c>
      <c r="AO604" s="38" t="s">
        <v>2030</v>
      </c>
      <c r="AP604" s="32" t="s">
        <v>2052</v>
      </c>
    </row>
    <row r="605" ht="12.75">
      <c r="C605" s="24" t="s">
        <v>1705</v>
      </c>
    </row>
    <row r="606" spans="1:42" ht="12.75">
      <c r="A606" s="50" t="s">
        <v>472</v>
      </c>
      <c r="B606" s="17" t="s">
        <v>1011</v>
      </c>
      <c r="C606" s="17" t="s">
        <v>1714</v>
      </c>
      <c r="D606" s="17" t="s">
        <v>1944</v>
      </c>
      <c r="E606" s="26">
        <v>1</v>
      </c>
      <c r="F606" s="26">
        <v>0</v>
      </c>
      <c r="G606" s="26">
        <f>E606*AD606</f>
        <v>0</v>
      </c>
      <c r="H606" s="26">
        <f>I606-G606</f>
        <v>0</v>
      </c>
      <c r="I606" s="26">
        <f>E606*F606</f>
        <v>0</v>
      </c>
      <c r="J606" s="72">
        <v>0</v>
      </c>
      <c r="K606" s="72">
        <f>E606*J606</f>
        <v>0</v>
      </c>
      <c r="L606" s="35" t="s">
        <v>1961</v>
      </c>
      <c r="M606" s="35" t="s">
        <v>122</v>
      </c>
      <c r="N606" s="26">
        <f>IF(M606="5",H606,0)</f>
        <v>0</v>
      </c>
      <c r="Y606" s="26">
        <f>IF(AC606=0,I606,0)</f>
        <v>0</v>
      </c>
      <c r="Z606" s="26">
        <f>IF(AC606=15,I606,0)</f>
        <v>0</v>
      </c>
      <c r="AA606" s="26">
        <f>IF(AC606=21,I606,0)</f>
        <v>0</v>
      </c>
      <c r="AC606" s="12">
        <v>21</v>
      </c>
      <c r="AD606" s="12">
        <f>F606*0.924496644295302</f>
        <v>0</v>
      </c>
      <c r="AE606" s="12">
        <f>F606*(1-0.924496644295302)</f>
        <v>0</v>
      </c>
      <c r="AL606" s="12">
        <f>E606*AD606</f>
        <v>0</v>
      </c>
      <c r="AM606" s="12">
        <f>E606*AE606</f>
        <v>0</v>
      </c>
      <c r="AN606" s="38" t="s">
        <v>2005</v>
      </c>
      <c r="AO606" s="38" t="s">
        <v>2030</v>
      </c>
      <c r="AP606" s="32" t="s">
        <v>2052</v>
      </c>
    </row>
    <row r="607" ht="12.75">
      <c r="C607" s="24" t="s">
        <v>1705</v>
      </c>
    </row>
    <row r="608" spans="1:42" ht="12.75">
      <c r="A608" s="50" t="s">
        <v>473</v>
      </c>
      <c r="B608" s="17" t="s">
        <v>1012</v>
      </c>
      <c r="C608" s="17" t="s">
        <v>1715</v>
      </c>
      <c r="D608" s="17" t="s">
        <v>1944</v>
      </c>
      <c r="E608" s="26">
        <v>1</v>
      </c>
      <c r="F608" s="26">
        <v>0</v>
      </c>
      <c r="G608" s="26">
        <f>E608*AD608</f>
        <v>0</v>
      </c>
      <c r="H608" s="26">
        <f>I608-G608</f>
        <v>0</v>
      </c>
      <c r="I608" s="26">
        <f>E608*F608</f>
        <v>0</v>
      </c>
      <c r="J608" s="72">
        <v>0</v>
      </c>
      <c r="K608" s="72">
        <f>E608*J608</f>
        <v>0</v>
      </c>
      <c r="L608" s="35" t="s">
        <v>1961</v>
      </c>
      <c r="M608" s="35" t="s">
        <v>122</v>
      </c>
      <c r="N608" s="26">
        <f>IF(M608="5",H608,0)</f>
        <v>0</v>
      </c>
      <c r="Y608" s="26">
        <f>IF(AC608=0,I608,0)</f>
        <v>0</v>
      </c>
      <c r="Z608" s="26">
        <f>IF(AC608=15,I608,0)</f>
        <v>0</v>
      </c>
      <c r="AA608" s="26">
        <f>IF(AC608=21,I608,0)</f>
        <v>0</v>
      </c>
      <c r="AC608" s="12">
        <v>21</v>
      </c>
      <c r="AD608" s="12">
        <f>F608*0.947577021453096</f>
        <v>0</v>
      </c>
      <c r="AE608" s="12">
        <f>F608*(1-0.947577021453096)</f>
        <v>0</v>
      </c>
      <c r="AL608" s="12">
        <f>E608*AD608</f>
        <v>0</v>
      </c>
      <c r="AM608" s="12">
        <f>E608*AE608</f>
        <v>0</v>
      </c>
      <c r="AN608" s="38" t="s">
        <v>2005</v>
      </c>
      <c r="AO608" s="38" t="s">
        <v>2030</v>
      </c>
      <c r="AP608" s="32" t="s">
        <v>2052</v>
      </c>
    </row>
    <row r="609" ht="12.75">
      <c r="C609" s="24" t="s">
        <v>1705</v>
      </c>
    </row>
    <row r="610" spans="1:42" ht="12.75">
      <c r="A610" s="50" t="s">
        <v>474</v>
      </c>
      <c r="B610" s="17" t="s">
        <v>1013</v>
      </c>
      <c r="C610" s="17" t="s">
        <v>1716</v>
      </c>
      <c r="D610" s="17" t="s">
        <v>1944</v>
      </c>
      <c r="E610" s="26">
        <v>1</v>
      </c>
      <c r="F610" s="26">
        <v>0</v>
      </c>
      <c r="G610" s="26">
        <f>E610*AD610</f>
        <v>0</v>
      </c>
      <c r="H610" s="26">
        <f>I610-G610</f>
        <v>0</v>
      </c>
      <c r="I610" s="26">
        <f>E610*F610</f>
        <v>0</v>
      </c>
      <c r="J610" s="72">
        <v>0</v>
      </c>
      <c r="K610" s="72">
        <f>E610*J610</f>
        <v>0</v>
      </c>
      <c r="L610" s="35" t="s">
        <v>1961</v>
      </c>
      <c r="M610" s="35" t="s">
        <v>122</v>
      </c>
      <c r="N610" s="26">
        <f>IF(M610="5",H610,0)</f>
        <v>0</v>
      </c>
      <c r="Y610" s="26">
        <f>IF(AC610=0,I610,0)</f>
        <v>0</v>
      </c>
      <c r="Z610" s="26">
        <f>IF(AC610=15,I610,0)</f>
        <v>0</v>
      </c>
      <c r="AA610" s="26">
        <f>IF(AC610=21,I610,0)</f>
        <v>0</v>
      </c>
      <c r="AC610" s="12">
        <v>21</v>
      </c>
      <c r="AD610" s="12">
        <f>F610*0.947577021453096</f>
        <v>0</v>
      </c>
      <c r="AE610" s="12">
        <f>F610*(1-0.947577021453096)</f>
        <v>0</v>
      </c>
      <c r="AL610" s="12">
        <f>E610*AD610</f>
        <v>0</v>
      </c>
      <c r="AM610" s="12">
        <f>E610*AE610</f>
        <v>0</v>
      </c>
      <c r="AN610" s="38" t="s">
        <v>2005</v>
      </c>
      <c r="AO610" s="38" t="s">
        <v>2030</v>
      </c>
      <c r="AP610" s="32" t="s">
        <v>2052</v>
      </c>
    </row>
    <row r="611" ht="12.75">
      <c r="C611" s="24" t="s">
        <v>1705</v>
      </c>
    </row>
    <row r="612" spans="1:42" ht="12.75">
      <c r="A612" s="50" t="s">
        <v>475</v>
      </c>
      <c r="B612" s="17" t="s">
        <v>1014</v>
      </c>
      <c r="C612" s="17" t="s">
        <v>1717</v>
      </c>
      <c r="D612" s="17" t="s">
        <v>1944</v>
      </c>
      <c r="E612" s="26">
        <v>1</v>
      </c>
      <c r="F612" s="26">
        <v>0</v>
      </c>
      <c r="G612" s="26">
        <f>E612*AD612</f>
        <v>0</v>
      </c>
      <c r="H612" s="26">
        <f>I612-G612</f>
        <v>0</v>
      </c>
      <c r="I612" s="26">
        <f>E612*F612</f>
        <v>0</v>
      </c>
      <c r="J612" s="72">
        <v>0</v>
      </c>
      <c r="K612" s="72">
        <f>E612*J612</f>
        <v>0</v>
      </c>
      <c r="L612" s="35" t="s">
        <v>1961</v>
      </c>
      <c r="M612" s="35" t="s">
        <v>122</v>
      </c>
      <c r="N612" s="26">
        <f>IF(M612="5",H612,0)</f>
        <v>0</v>
      </c>
      <c r="Y612" s="26">
        <f>IF(AC612=0,I612,0)</f>
        <v>0</v>
      </c>
      <c r="Z612" s="26">
        <f>IF(AC612=15,I612,0)</f>
        <v>0</v>
      </c>
      <c r="AA612" s="26">
        <f>IF(AC612=21,I612,0)</f>
        <v>0</v>
      </c>
      <c r="AC612" s="12">
        <v>21</v>
      </c>
      <c r="AD612" s="12">
        <f>F612*0.90014064697609</f>
        <v>0</v>
      </c>
      <c r="AE612" s="12">
        <f>F612*(1-0.90014064697609)</f>
        <v>0</v>
      </c>
      <c r="AL612" s="12">
        <f>E612*AD612</f>
        <v>0</v>
      </c>
      <c r="AM612" s="12">
        <f>E612*AE612</f>
        <v>0</v>
      </c>
      <c r="AN612" s="38" t="s">
        <v>2005</v>
      </c>
      <c r="AO612" s="38" t="s">
        <v>2030</v>
      </c>
      <c r="AP612" s="32" t="s">
        <v>2052</v>
      </c>
    </row>
    <row r="613" ht="12.75">
      <c r="C613" s="24" t="s">
        <v>1705</v>
      </c>
    </row>
    <row r="614" spans="1:42" ht="12.75">
      <c r="A614" s="50" t="s">
        <v>476</v>
      </c>
      <c r="B614" s="17" t="s">
        <v>1015</v>
      </c>
      <c r="C614" s="17" t="s">
        <v>1718</v>
      </c>
      <c r="D614" s="17" t="s">
        <v>1944</v>
      </c>
      <c r="E614" s="26">
        <v>1</v>
      </c>
      <c r="F614" s="26">
        <v>0</v>
      </c>
      <c r="G614" s="26">
        <f>E614*AD614</f>
        <v>0</v>
      </c>
      <c r="H614" s="26">
        <f>I614-G614</f>
        <v>0</v>
      </c>
      <c r="I614" s="26">
        <f>E614*F614</f>
        <v>0</v>
      </c>
      <c r="J614" s="72">
        <v>0</v>
      </c>
      <c r="K614" s="72">
        <f>E614*J614</f>
        <v>0</v>
      </c>
      <c r="L614" s="35" t="s">
        <v>1961</v>
      </c>
      <c r="M614" s="35" t="s">
        <v>122</v>
      </c>
      <c r="N614" s="26">
        <f>IF(M614="5",H614,0)</f>
        <v>0</v>
      </c>
      <c r="Y614" s="26">
        <f>IF(AC614=0,I614,0)</f>
        <v>0</v>
      </c>
      <c r="Z614" s="26">
        <f>IF(AC614=15,I614,0)</f>
        <v>0</v>
      </c>
      <c r="AA614" s="26">
        <f>IF(AC614=21,I614,0)</f>
        <v>0</v>
      </c>
      <c r="AC614" s="12">
        <v>21</v>
      </c>
      <c r="AD614" s="12">
        <f>F614*0.87991718426501</f>
        <v>0</v>
      </c>
      <c r="AE614" s="12">
        <f>F614*(1-0.87991718426501)</f>
        <v>0</v>
      </c>
      <c r="AL614" s="12">
        <f>E614*AD614</f>
        <v>0</v>
      </c>
      <c r="AM614" s="12">
        <f>E614*AE614</f>
        <v>0</v>
      </c>
      <c r="AN614" s="38" t="s">
        <v>2005</v>
      </c>
      <c r="AO614" s="38" t="s">
        <v>2030</v>
      </c>
      <c r="AP614" s="32" t="s">
        <v>2052</v>
      </c>
    </row>
    <row r="615" ht="12.75">
      <c r="C615" s="24" t="s">
        <v>1705</v>
      </c>
    </row>
    <row r="616" spans="1:42" ht="12.75">
      <c r="A616" s="50" t="s">
        <v>477</v>
      </c>
      <c r="B616" s="17" t="s">
        <v>1016</v>
      </c>
      <c r="C616" s="17" t="s">
        <v>1719</v>
      </c>
      <c r="D616" s="17" t="s">
        <v>1944</v>
      </c>
      <c r="E616" s="26">
        <v>1</v>
      </c>
      <c r="F616" s="26">
        <v>0</v>
      </c>
      <c r="G616" s="26">
        <f>E616*AD616</f>
        <v>0</v>
      </c>
      <c r="H616" s="26">
        <f>I616-G616</f>
        <v>0</v>
      </c>
      <c r="I616" s="26">
        <f>E616*F616</f>
        <v>0</v>
      </c>
      <c r="J616" s="72">
        <v>0</v>
      </c>
      <c r="K616" s="72">
        <f>E616*J616</f>
        <v>0</v>
      </c>
      <c r="L616" s="35" t="s">
        <v>1961</v>
      </c>
      <c r="M616" s="35" t="s">
        <v>122</v>
      </c>
      <c r="N616" s="26">
        <f>IF(M616="5",H616,0)</f>
        <v>0</v>
      </c>
      <c r="Y616" s="26">
        <f>IF(AC616=0,I616,0)</f>
        <v>0</v>
      </c>
      <c r="Z616" s="26">
        <f>IF(AC616=15,I616,0)</f>
        <v>0</v>
      </c>
      <c r="AA616" s="26">
        <f>IF(AC616=21,I616,0)</f>
        <v>0</v>
      </c>
      <c r="AC616" s="12">
        <v>21</v>
      </c>
      <c r="AD616" s="12">
        <f>F616*0.929245283018868</f>
        <v>0</v>
      </c>
      <c r="AE616" s="12">
        <f>F616*(1-0.929245283018868)</f>
        <v>0</v>
      </c>
      <c r="AL616" s="12">
        <f>E616*AD616</f>
        <v>0</v>
      </c>
      <c r="AM616" s="12">
        <f>E616*AE616</f>
        <v>0</v>
      </c>
      <c r="AN616" s="38" t="s">
        <v>2005</v>
      </c>
      <c r="AO616" s="38" t="s">
        <v>2030</v>
      </c>
      <c r="AP616" s="32" t="s">
        <v>2052</v>
      </c>
    </row>
    <row r="617" ht="12.75">
      <c r="C617" s="24" t="s">
        <v>1705</v>
      </c>
    </row>
    <row r="618" spans="1:42" ht="12.75">
      <c r="A618" s="50" t="s">
        <v>478</v>
      </c>
      <c r="B618" s="17" t="s">
        <v>1017</v>
      </c>
      <c r="C618" s="17" t="s">
        <v>1720</v>
      </c>
      <c r="D618" s="17" t="s">
        <v>1944</v>
      </c>
      <c r="E618" s="26">
        <v>1</v>
      </c>
      <c r="F618" s="26">
        <v>0</v>
      </c>
      <c r="G618" s="26">
        <f>E618*AD618</f>
        <v>0</v>
      </c>
      <c r="H618" s="26">
        <f>I618-G618</f>
        <v>0</v>
      </c>
      <c r="I618" s="26">
        <f>E618*F618</f>
        <v>0</v>
      </c>
      <c r="J618" s="72">
        <v>0</v>
      </c>
      <c r="K618" s="72">
        <f>E618*J618</f>
        <v>0</v>
      </c>
      <c r="L618" s="35" t="s">
        <v>1961</v>
      </c>
      <c r="M618" s="35" t="s">
        <v>122</v>
      </c>
      <c r="N618" s="26">
        <f>IF(M618="5",H618,0)</f>
        <v>0</v>
      </c>
      <c r="Y618" s="26">
        <f>IF(AC618=0,I618,0)</f>
        <v>0</v>
      </c>
      <c r="Z618" s="26">
        <f>IF(AC618=15,I618,0)</f>
        <v>0</v>
      </c>
      <c r="AA618" s="26">
        <f>IF(AC618=21,I618,0)</f>
        <v>0</v>
      </c>
      <c r="AC618" s="12">
        <v>21</v>
      </c>
      <c r="AD618" s="12">
        <f>F618*0.87991718426501</f>
        <v>0</v>
      </c>
      <c r="AE618" s="12">
        <f>F618*(1-0.87991718426501)</f>
        <v>0</v>
      </c>
      <c r="AL618" s="12">
        <f>E618*AD618</f>
        <v>0</v>
      </c>
      <c r="AM618" s="12">
        <f>E618*AE618</f>
        <v>0</v>
      </c>
      <c r="AN618" s="38" t="s">
        <v>2005</v>
      </c>
      <c r="AO618" s="38" t="s">
        <v>2030</v>
      </c>
      <c r="AP618" s="32" t="s">
        <v>2052</v>
      </c>
    </row>
    <row r="619" ht="12.75">
      <c r="C619" s="24" t="s">
        <v>1705</v>
      </c>
    </row>
    <row r="620" spans="1:42" ht="12.75">
      <c r="A620" s="50" t="s">
        <v>479</v>
      </c>
      <c r="B620" s="17" t="s">
        <v>1018</v>
      </c>
      <c r="C620" s="17" t="s">
        <v>1721</v>
      </c>
      <c r="D620" s="17" t="s">
        <v>1944</v>
      </c>
      <c r="E620" s="26">
        <v>1</v>
      </c>
      <c r="F620" s="26">
        <v>0</v>
      </c>
      <c r="G620" s="26">
        <f>E620*AD620</f>
        <v>0</v>
      </c>
      <c r="H620" s="26">
        <f>I620-G620</f>
        <v>0</v>
      </c>
      <c r="I620" s="26">
        <f>E620*F620</f>
        <v>0</v>
      </c>
      <c r="J620" s="72">
        <v>0</v>
      </c>
      <c r="K620" s="72">
        <f>E620*J620</f>
        <v>0</v>
      </c>
      <c r="L620" s="35" t="s">
        <v>1961</v>
      </c>
      <c r="M620" s="35" t="s">
        <v>122</v>
      </c>
      <c r="N620" s="26">
        <f>IF(M620="5",H620,0)</f>
        <v>0</v>
      </c>
      <c r="Y620" s="26">
        <f>IF(AC620=0,I620,0)</f>
        <v>0</v>
      </c>
      <c r="Z620" s="26">
        <f>IF(AC620=15,I620,0)</f>
        <v>0</v>
      </c>
      <c r="AA620" s="26">
        <f>IF(AC620=21,I620,0)</f>
        <v>0</v>
      </c>
      <c r="AC620" s="12">
        <v>21</v>
      </c>
      <c r="AD620" s="12">
        <f>F620*1</f>
        <v>0</v>
      </c>
      <c r="AE620" s="12">
        <f>F620*(1-1)</f>
        <v>0</v>
      </c>
      <c r="AL620" s="12">
        <f>E620*AD620</f>
        <v>0</v>
      </c>
      <c r="AM620" s="12">
        <f>E620*AE620</f>
        <v>0</v>
      </c>
      <c r="AN620" s="38" t="s">
        <v>2005</v>
      </c>
      <c r="AO620" s="38" t="s">
        <v>2030</v>
      </c>
      <c r="AP620" s="32" t="s">
        <v>2052</v>
      </c>
    </row>
    <row r="621" ht="12.75">
      <c r="C621" s="24" t="s">
        <v>1705</v>
      </c>
    </row>
    <row r="622" spans="1:42" ht="12.75">
      <c r="A622" s="50" t="s">
        <v>480</v>
      </c>
      <c r="B622" s="17" t="s">
        <v>1019</v>
      </c>
      <c r="C622" s="17" t="s">
        <v>1722</v>
      </c>
      <c r="D622" s="17" t="s">
        <v>1944</v>
      </c>
      <c r="E622" s="26">
        <v>2</v>
      </c>
      <c r="F622" s="26">
        <v>0</v>
      </c>
      <c r="G622" s="26">
        <f>E622*AD622</f>
        <v>0</v>
      </c>
      <c r="H622" s="26">
        <f>I622-G622</f>
        <v>0</v>
      </c>
      <c r="I622" s="26">
        <f>E622*F622</f>
        <v>0</v>
      </c>
      <c r="J622" s="72">
        <v>0</v>
      </c>
      <c r="K622" s="72">
        <f>E622*J622</f>
        <v>0</v>
      </c>
      <c r="L622" s="35" t="s">
        <v>1961</v>
      </c>
      <c r="M622" s="35" t="s">
        <v>122</v>
      </c>
      <c r="N622" s="26">
        <f>IF(M622="5",H622,0)</f>
        <v>0</v>
      </c>
      <c r="Y622" s="26">
        <f>IF(AC622=0,I622,0)</f>
        <v>0</v>
      </c>
      <c r="Z622" s="26">
        <f>IF(AC622=15,I622,0)</f>
        <v>0</v>
      </c>
      <c r="AA622" s="26">
        <f>IF(AC622=21,I622,0)</f>
        <v>0</v>
      </c>
      <c r="AC622" s="12">
        <v>21</v>
      </c>
      <c r="AD622" s="12">
        <f>F622*1</f>
        <v>0</v>
      </c>
      <c r="AE622" s="12">
        <f>F622*(1-1)</f>
        <v>0</v>
      </c>
      <c r="AL622" s="12">
        <f>E622*AD622</f>
        <v>0</v>
      </c>
      <c r="AM622" s="12">
        <f>E622*AE622</f>
        <v>0</v>
      </c>
      <c r="AN622" s="38" t="s">
        <v>2005</v>
      </c>
      <c r="AO622" s="38" t="s">
        <v>2030</v>
      </c>
      <c r="AP622" s="32" t="s">
        <v>2052</v>
      </c>
    </row>
    <row r="623" ht="12.75">
      <c r="C623" s="24" t="s">
        <v>1705</v>
      </c>
    </row>
    <row r="624" spans="1:42" ht="12.75">
      <c r="A624" s="50" t="s">
        <v>481</v>
      </c>
      <c r="B624" s="17" t="s">
        <v>1020</v>
      </c>
      <c r="C624" s="17" t="s">
        <v>1723</v>
      </c>
      <c r="D624" s="17" t="s">
        <v>1944</v>
      </c>
      <c r="E624" s="26">
        <v>2</v>
      </c>
      <c r="F624" s="26">
        <v>0</v>
      </c>
      <c r="G624" s="26">
        <f>E624*AD624</f>
        <v>0</v>
      </c>
      <c r="H624" s="26">
        <f>I624-G624</f>
        <v>0</v>
      </c>
      <c r="I624" s="26">
        <f>E624*F624</f>
        <v>0</v>
      </c>
      <c r="J624" s="72">
        <v>0</v>
      </c>
      <c r="K624" s="72">
        <f>E624*J624</f>
        <v>0</v>
      </c>
      <c r="L624" s="35" t="s">
        <v>1961</v>
      </c>
      <c r="M624" s="35" t="s">
        <v>122</v>
      </c>
      <c r="N624" s="26">
        <f>IF(M624="5",H624,0)</f>
        <v>0</v>
      </c>
      <c r="Y624" s="26">
        <f>IF(AC624=0,I624,0)</f>
        <v>0</v>
      </c>
      <c r="Z624" s="26">
        <f>IF(AC624=15,I624,0)</f>
        <v>0</v>
      </c>
      <c r="AA624" s="26">
        <f>IF(AC624=21,I624,0)</f>
        <v>0</v>
      </c>
      <c r="AC624" s="12">
        <v>21</v>
      </c>
      <c r="AD624" s="12">
        <f>F624*1</f>
        <v>0</v>
      </c>
      <c r="AE624" s="12">
        <f>F624*(1-1)</f>
        <v>0</v>
      </c>
      <c r="AL624" s="12">
        <f>E624*AD624</f>
        <v>0</v>
      </c>
      <c r="AM624" s="12">
        <f>E624*AE624</f>
        <v>0</v>
      </c>
      <c r="AN624" s="38" t="s">
        <v>2005</v>
      </c>
      <c r="AO624" s="38" t="s">
        <v>2030</v>
      </c>
      <c r="AP624" s="32" t="s">
        <v>2052</v>
      </c>
    </row>
    <row r="625" ht="12.75">
      <c r="C625" s="24" t="s">
        <v>1705</v>
      </c>
    </row>
    <row r="626" spans="1:42" ht="12.75">
      <c r="A626" s="50" t="s">
        <v>482</v>
      </c>
      <c r="B626" s="17" t="s">
        <v>1021</v>
      </c>
      <c r="C626" s="17" t="s">
        <v>1724</v>
      </c>
      <c r="D626" s="17" t="s">
        <v>1944</v>
      </c>
      <c r="E626" s="26">
        <v>5</v>
      </c>
      <c r="F626" s="26">
        <v>0</v>
      </c>
      <c r="G626" s="26">
        <f>E626*AD626</f>
        <v>0</v>
      </c>
      <c r="H626" s="26">
        <f>I626-G626</f>
        <v>0</v>
      </c>
      <c r="I626" s="26">
        <f>E626*F626</f>
        <v>0</v>
      </c>
      <c r="J626" s="72">
        <v>0</v>
      </c>
      <c r="K626" s="72">
        <f>E626*J626</f>
        <v>0</v>
      </c>
      <c r="L626" s="35" t="s">
        <v>1961</v>
      </c>
      <c r="M626" s="35" t="s">
        <v>122</v>
      </c>
      <c r="N626" s="26">
        <f>IF(M626="5",H626,0)</f>
        <v>0</v>
      </c>
      <c r="Y626" s="26">
        <f>IF(AC626=0,I626,0)</f>
        <v>0</v>
      </c>
      <c r="Z626" s="26">
        <f>IF(AC626=15,I626,0)</f>
        <v>0</v>
      </c>
      <c r="AA626" s="26">
        <f>IF(AC626=21,I626,0)</f>
        <v>0</v>
      </c>
      <c r="AC626" s="12">
        <v>21</v>
      </c>
      <c r="AD626" s="12">
        <f>F626*1</f>
        <v>0</v>
      </c>
      <c r="AE626" s="12">
        <f>F626*(1-1)</f>
        <v>0</v>
      </c>
      <c r="AL626" s="12">
        <f>E626*AD626</f>
        <v>0</v>
      </c>
      <c r="AM626" s="12">
        <f>E626*AE626</f>
        <v>0</v>
      </c>
      <c r="AN626" s="38" t="s">
        <v>2005</v>
      </c>
      <c r="AO626" s="38" t="s">
        <v>2030</v>
      </c>
      <c r="AP626" s="32" t="s">
        <v>2052</v>
      </c>
    </row>
    <row r="627" ht="12.75">
      <c r="C627" s="24" t="s">
        <v>1705</v>
      </c>
    </row>
    <row r="628" spans="1:42" ht="12.75">
      <c r="A628" s="50" t="s">
        <v>483</v>
      </c>
      <c r="B628" s="17" t="s">
        <v>1022</v>
      </c>
      <c r="C628" s="17" t="s">
        <v>1725</v>
      </c>
      <c r="D628" s="17" t="s">
        <v>1944</v>
      </c>
      <c r="E628" s="26">
        <v>1</v>
      </c>
      <c r="F628" s="26">
        <v>0</v>
      </c>
      <c r="G628" s="26">
        <f>E628*AD628</f>
        <v>0</v>
      </c>
      <c r="H628" s="26">
        <f>I628-G628</f>
        <v>0</v>
      </c>
      <c r="I628" s="26">
        <f>E628*F628</f>
        <v>0</v>
      </c>
      <c r="J628" s="72">
        <v>0</v>
      </c>
      <c r="K628" s="72">
        <f>E628*J628</f>
        <v>0</v>
      </c>
      <c r="L628" s="35" t="s">
        <v>1961</v>
      </c>
      <c r="M628" s="35" t="s">
        <v>122</v>
      </c>
      <c r="N628" s="26">
        <f>IF(M628="5",H628,0)</f>
        <v>0</v>
      </c>
      <c r="Y628" s="26">
        <f>IF(AC628=0,I628,0)</f>
        <v>0</v>
      </c>
      <c r="Z628" s="26">
        <f>IF(AC628=15,I628,0)</f>
        <v>0</v>
      </c>
      <c r="AA628" s="26">
        <f>IF(AC628=21,I628,0)</f>
        <v>0</v>
      </c>
      <c r="AC628" s="12">
        <v>21</v>
      </c>
      <c r="AD628" s="12">
        <f>F628*1</f>
        <v>0</v>
      </c>
      <c r="AE628" s="12">
        <f>F628*(1-1)</f>
        <v>0</v>
      </c>
      <c r="AL628" s="12">
        <f>E628*AD628</f>
        <v>0</v>
      </c>
      <c r="AM628" s="12">
        <f>E628*AE628</f>
        <v>0</v>
      </c>
      <c r="AN628" s="38" t="s">
        <v>2005</v>
      </c>
      <c r="AO628" s="38" t="s">
        <v>2030</v>
      </c>
      <c r="AP628" s="32" t="s">
        <v>2052</v>
      </c>
    </row>
    <row r="629" ht="12.75">
      <c r="C629" s="24" t="s">
        <v>1705</v>
      </c>
    </row>
    <row r="630" spans="1:42" s="60" customFormat="1" ht="26.25">
      <c r="A630" s="56" t="s">
        <v>484</v>
      </c>
      <c r="B630" s="57" t="s">
        <v>1023</v>
      </c>
      <c r="C630" s="57" t="s">
        <v>1726</v>
      </c>
      <c r="D630" s="57" t="s">
        <v>1944</v>
      </c>
      <c r="E630" s="58">
        <v>16</v>
      </c>
      <c r="F630" s="58">
        <v>0</v>
      </c>
      <c r="G630" s="58">
        <f>E630*AD630</f>
        <v>0</v>
      </c>
      <c r="H630" s="58">
        <f>I630-G630</f>
        <v>0</v>
      </c>
      <c r="I630" s="58">
        <f>E630*F630</f>
        <v>0</v>
      </c>
      <c r="J630" s="77">
        <v>0</v>
      </c>
      <c r="K630" s="77">
        <f>E630*J630</f>
        <v>0</v>
      </c>
      <c r="L630" s="80" t="s">
        <v>1961</v>
      </c>
      <c r="M630" s="59" t="s">
        <v>122</v>
      </c>
      <c r="N630" s="58">
        <f>IF(M630="5",H630,0)</f>
        <v>0</v>
      </c>
      <c r="Y630" s="58">
        <f>IF(AC630=0,I630,0)</f>
        <v>0</v>
      </c>
      <c r="Z630" s="58">
        <f>IF(AC630=15,I630,0)</f>
        <v>0</v>
      </c>
      <c r="AA630" s="58">
        <f>IF(AC630=21,I630,0)</f>
        <v>0</v>
      </c>
      <c r="AC630" s="61">
        <v>21</v>
      </c>
      <c r="AD630" s="61">
        <f>F630*1</f>
        <v>0</v>
      </c>
      <c r="AE630" s="61">
        <f>F630*(1-1)</f>
        <v>0</v>
      </c>
      <c r="AL630" s="61">
        <f>E630*AD630</f>
        <v>0</v>
      </c>
      <c r="AM630" s="61">
        <f>E630*AE630</f>
        <v>0</v>
      </c>
      <c r="AN630" s="62" t="s">
        <v>2005</v>
      </c>
      <c r="AO630" s="62" t="s">
        <v>2030</v>
      </c>
      <c r="AP630" s="63" t="s">
        <v>2052</v>
      </c>
    </row>
    <row r="631" ht="12.75">
      <c r="C631" s="24" t="s">
        <v>1705</v>
      </c>
    </row>
    <row r="632" spans="1:42" ht="12.75">
      <c r="A632" s="50" t="s">
        <v>485</v>
      </c>
      <c r="B632" s="17" t="s">
        <v>1024</v>
      </c>
      <c r="C632" s="17" t="s">
        <v>1727</v>
      </c>
      <c r="D632" s="17" t="s">
        <v>1944</v>
      </c>
      <c r="E632" s="26">
        <v>1</v>
      </c>
      <c r="F632" s="26">
        <v>0</v>
      </c>
      <c r="G632" s="26">
        <f>E632*AD632</f>
        <v>0</v>
      </c>
      <c r="H632" s="26">
        <f>I632-G632</f>
        <v>0</v>
      </c>
      <c r="I632" s="26">
        <f>E632*F632</f>
        <v>0</v>
      </c>
      <c r="J632" s="72">
        <v>0</v>
      </c>
      <c r="K632" s="72">
        <f>E632*J632</f>
        <v>0</v>
      </c>
      <c r="L632" s="80" t="s">
        <v>1961</v>
      </c>
      <c r="M632" s="35" t="s">
        <v>122</v>
      </c>
      <c r="N632" s="26">
        <f>IF(M632="5",H632,0)</f>
        <v>0</v>
      </c>
      <c r="Y632" s="26">
        <f>IF(AC632=0,I632,0)</f>
        <v>0</v>
      </c>
      <c r="Z632" s="26">
        <f>IF(AC632=15,I632,0)</f>
        <v>0</v>
      </c>
      <c r="AA632" s="26">
        <f>IF(AC632=21,I632,0)</f>
        <v>0</v>
      </c>
      <c r="AC632" s="12">
        <v>21</v>
      </c>
      <c r="AD632" s="12">
        <f>F632*1</f>
        <v>0</v>
      </c>
      <c r="AE632" s="12">
        <f>F632*(1-1)</f>
        <v>0</v>
      </c>
      <c r="AL632" s="12">
        <f>E632*AD632</f>
        <v>0</v>
      </c>
      <c r="AM632" s="12">
        <f>E632*AE632</f>
        <v>0</v>
      </c>
      <c r="AN632" s="38" t="s">
        <v>2005</v>
      </c>
      <c r="AO632" s="38" t="s">
        <v>2030</v>
      </c>
      <c r="AP632" s="32" t="s">
        <v>2052</v>
      </c>
    </row>
    <row r="633" ht="12.75">
      <c r="C633" s="24" t="s">
        <v>1705</v>
      </c>
    </row>
    <row r="634" spans="1:42" ht="12.75">
      <c r="A634" s="50" t="s">
        <v>486</v>
      </c>
      <c r="B634" s="17" t="s">
        <v>1025</v>
      </c>
      <c r="C634" s="17" t="s">
        <v>1728</v>
      </c>
      <c r="D634" s="17" t="s">
        <v>1944</v>
      </c>
      <c r="E634" s="26">
        <v>1</v>
      </c>
      <c r="F634" s="26">
        <v>0</v>
      </c>
      <c r="G634" s="26">
        <f>E634*AD634</f>
        <v>0</v>
      </c>
      <c r="H634" s="26">
        <f>I634-G634</f>
        <v>0</v>
      </c>
      <c r="I634" s="26">
        <f>E634*F634</f>
        <v>0</v>
      </c>
      <c r="J634" s="72">
        <v>0</v>
      </c>
      <c r="K634" s="72">
        <f>E634*J634</f>
        <v>0</v>
      </c>
      <c r="L634" s="80" t="s">
        <v>1961</v>
      </c>
      <c r="M634" s="35" t="s">
        <v>122</v>
      </c>
      <c r="N634" s="26">
        <f>IF(M634="5",H634,0)</f>
        <v>0</v>
      </c>
      <c r="Y634" s="26">
        <f>IF(AC634=0,I634,0)</f>
        <v>0</v>
      </c>
      <c r="Z634" s="26">
        <f>IF(AC634=15,I634,0)</f>
        <v>0</v>
      </c>
      <c r="AA634" s="26">
        <f>IF(AC634=21,I634,0)</f>
        <v>0</v>
      </c>
      <c r="AC634" s="12">
        <v>21</v>
      </c>
      <c r="AD634" s="12">
        <f>F634*1</f>
        <v>0</v>
      </c>
      <c r="AE634" s="12">
        <f>F634*(1-1)</f>
        <v>0</v>
      </c>
      <c r="AL634" s="12">
        <f>E634*AD634</f>
        <v>0</v>
      </c>
      <c r="AM634" s="12">
        <f>E634*AE634</f>
        <v>0</v>
      </c>
      <c r="AN634" s="38" t="s">
        <v>2005</v>
      </c>
      <c r="AO634" s="38" t="s">
        <v>2030</v>
      </c>
      <c r="AP634" s="32" t="s">
        <v>2052</v>
      </c>
    </row>
    <row r="635" ht="12.75">
      <c r="C635" s="24" t="s">
        <v>1705</v>
      </c>
    </row>
    <row r="636" spans="1:42" s="60" customFormat="1" ht="26.25">
      <c r="A636" s="56" t="s">
        <v>487</v>
      </c>
      <c r="B636" s="57" t="s">
        <v>1026</v>
      </c>
      <c r="C636" s="57" t="s">
        <v>1729</v>
      </c>
      <c r="D636" s="57" t="s">
        <v>1944</v>
      </c>
      <c r="E636" s="58">
        <v>19</v>
      </c>
      <c r="F636" s="58">
        <v>0</v>
      </c>
      <c r="G636" s="58">
        <f>E636*AD636</f>
        <v>0</v>
      </c>
      <c r="H636" s="58">
        <f>I636-G636</f>
        <v>0</v>
      </c>
      <c r="I636" s="58">
        <f>E636*F636</f>
        <v>0</v>
      </c>
      <c r="J636" s="77">
        <v>0</v>
      </c>
      <c r="K636" s="77">
        <f>E636*J636</f>
        <v>0</v>
      </c>
      <c r="L636" s="80" t="s">
        <v>1961</v>
      </c>
      <c r="M636" s="59" t="s">
        <v>122</v>
      </c>
      <c r="N636" s="58">
        <f>IF(M636="5",H636,0)</f>
        <v>0</v>
      </c>
      <c r="Y636" s="58">
        <f>IF(AC636=0,I636,0)</f>
        <v>0</v>
      </c>
      <c r="Z636" s="58">
        <f>IF(AC636=15,I636,0)</f>
        <v>0</v>
      </c>
      <c r="AA636" s="58">
        <f>IF(AC636=21,I636,0)</f>
        <v>0</v>
      </c>
      <c r="AC636" s="61">
        <v>21</v>
      </c>
      <c r="AD636" s="61">
        <f>F636*1</f>
        <v>0</v>
      </c>
      <c r="AE636" s="61">
        <f>F636*(1-1)</f>
        <v>0</v>
      </c>
      <c r="AL636" s="61">
        <f>E636*AD636</f>
        <v>0</v>
      </c>
      <c r="AM636" s="61">
        <f>E636*AE636</f>
        <v>0</v>
      </c>
      <c r="AN636" s="62" t="s">
        <v>2005</v>
      </c>
      <c r="AO636" s="62" t="s">
        <v>2030</v>
      </c>
      <c r="AP636" s="63" t="s">
        <v>2052</v>
      </c>
    </row>
    <row r="637" ht="12.75">
      <c r="C637" s="24" t="s">
        <v>1705</v>
      </c>
    </row>
    <row r="638" spans="1:42" ht="12.75">
      <c r="A638" s="50" t="s">
        <v>488</v>
      </c>
      <c r="B638" s="17" t="s">
        <v>1026</v>
      </c>
      <c r="C638" s="17" t="s">
        <v>1730</v>
      </c>
      <c r="D638" s="17" t="s">
        <v>1944</v>
      </c>
      <c r="E638" s="26">
        <v>3</v>
      </c>
      <c r="F638" s="26">
        <v>0</v>
      </c>
      <c r="G638" s="26">
        <f>E638*AD638</f>
        <v>0</v>
      </c>
      <c r="H638" s="26">
        <f>I638-G638</f>
        <v>0</v>
      </c>
      <c r="I638" s="26">
        <f>E638*F638</f>
        <v>0</v>
      </c>
      <c r="J638" s="72">
        <v>0</v>
      </c>
      <c r="K638" s="72">
        <f>E638*J638</f>
        <v>0</v>
      </c>
      <c r="L638" s="80" t="s">
        <v>1961</v>
      </c>
      <c r="M638" s="35" t="s">
        <v>122</v>
      </c>
      <c r="N638" s="26">
        <f>IF(M638="5",H638,0)</f>
        <v>0</v>
      </c>
      <c r="Y638" s="26">
        <f>IF(AC638=0,I638,0)</f>
        <v>0</v>
      </c>
      <c r="Z638" s="26">
        <f>IF(AC638=15,I638,0)</f>
        <v>0</v>
      </c>
      <c r="AA638" s="26">
        <f>IF(AC638=21,I638,0)</f>
        <v>0</v>
      </c>
      <c r="AC638" s="12">
        <v>21</v>
      </c>
      <c r="AD638" s="12">
        <f>F638*1</f>
        <v>0</v>
      </c>
      <c r="AE638" s="12">
        <f>F638*(1-1)</f>
        <v>0</v>
      </c>
      <c r="AL638" s="12">
        <f>E638*AD638</f>
        <v>0</v>
      </c>
      <c r="AM638" s="12">
        <f>E638*AE638</f>
        <v>0</v>
      </c>
      <c r="AN638" s="38" t="s">
        <v>2005</v>
      </c>
      <c r="AO638" s="38" t="s">
        <v>2030</v>
      </c>
      <c r="AP638" s="32" t="s">
        <v>2052</v>
      </c>
    </row>
    <row r="639" ht="12.75">
      <c r="C639" s="24" t="s">
        <v>1705</v>
      </c>
    </row>
    <row r="640" spans="1:42" ht="12.75">
      <c r="A640" s="50" t="s">
        <v>489</v>
      </c>
      <c r="B640" s="17" t="s">
        <v>1027</v>
      </c>
      <c r="C640" s="17" t="s">
        <v>1731</v>
      </c>
      <c r="D640" s="17" t="s">
        <v>1944</v>
      </c>
      <c r="E640" s="26">
        <v>2</v>
      </c>
      <c r="F640" s="26">
        <v>0</v>
      </c>
      <c r="G640" s="26">
        <f>E640*AD640</f>
        <v>0</v>
      </c>
      <c r="H640" s="26">
        <f>I640-G640</f>
        <v>0</v>
      </c>
      <c r="I640" s="26">
        <f>E640*F640</f>
        <v>0</v>
      </c>
      <c r="J640" s="72">
        <v>0</v>
      </c>
      <c r="K640" s="72">
        <f>E640*J640</f>
        <v>0</v>
      </c>
      <c r="L640" s="80" t="s">
        <v>1961</v>
      </c>
      <c r="M640" s="35" t="s">
        <v>122</v>
      </c>
      <c r="N640" s="26">
        <f>IF(M640="5",H640,0)</f>
        <v>0</v>
      </c>
      <c r="Y640" s="26">
        <f>IF(AC640=0,I640,0)</f>
        <v>0</v>
      </c>
      <c r="Z640" s="26">
        <f>IF(AC640=15,I640,0)</f>
        <v>0</v>
      </c>
      <c r="AA640" s="26">
        <f>IF(AC640=21,I640,0)</f>
        <v>0</v>
      </c>
      <c r="AC640" s="12">
        <v>21</v>
      </c>
      <c r="AD640" s="12">
        <f>F640*1</f>
        <v>0</v>
      </c>
      <c r="AE640" s="12">
        <f>F640*(1-1)</f>
        <v>0</v>
      </c>
      <c r="AL640" s="12">
        <f>E640*AD640</f>
        <v>0</v>
      </c>
      <c r="AM640" s="12">
        <f>E640*AE640</f>
        <v>0</v>
      </c>
      <c r="AN640" s="38" t="s">
        <v>2005</v>
      </c>
      <c r="AO640" s="38" t="s">
        <v>2030</v>
      </c>
      <c r="AP640" s="32" t="s">
        <v>2052</v>
      </c>
    </row>
    <row r="641" ht="12.75">
      <c r="C641" s="24" t="s">
        <v>1705</v>
      </c>
    </row>
    <row r="642" spans="1:42" s="60" customFormat="1" ht="26.25">
      <c r="A642" s="56" t="s">
        <v>490</v>
      </c>
      <c r="B642" s="57" t="s">
        <v>1028</v>
      </c>
      <c r="C642" s="57" t="s">
        <v>2078</v>
      </c>
      <c r="D642" s="57" t="s">
        <v>1944</v>
      </c>
      <c r="E642" s="58">
        <v>19</v>
      </c>
      <c r="F642" s="58">
        <v>0</v>
      </c>
      <c r="G642" s="58">
        <f>E642*AD642</f>
        <v>0</v>
      </c>
      <c r="H642" s="58">
        <f>I642-G642</f>
        <v>0</v>
      </c>
      <c r="I642" s="58">
        <f>E642*F642</f>
        <v>0</v>
      </c>
      <c r="J642" s="77">
        <v>0</v>
      </c>
      <c r="K642" s="77">
        <f>E642*J642</f>
        <v>0</v>
      </c>
      <c r="L642" s="80" t="s">
        <v>1961</v>
      </c>
      <c r="M642" s="59" t="s">
        <v>122</v>
      </c>
      <c r="N642" s="58">
        <f>IF(M642="5",H642,0)</f>
        <v>0</v>
      </c>
      <c r="Y642" s="58">
        <f>IF(AC642=0,I642,0)</f>
        <v>0</v>
      </c>
      <c r="Z642" s="58">
        <f>IF(AC642=15,I642,0)</f>
        <v>0</v>
      </c>
      <c r="AA642" s="58">
        <f>IF(AC642=21,I642,0)</f>
        <v>0</v>
      </c>
      <c r="AC642" s="61">
        <v>21</v>
      </c>
      <c r="AD642" s="61">
        <f>F642*1</f>
        <v>0</v>
      </c>
      <c r="AE642" s="61">
        <f>F642*(1-1)</f>
        <v>0</v>
      </c>
      <c r="AL642" s="61">
        <f>E642*AD642</f>
        <v>0</v>
      </c>
      <c r="AM642" s="61">
        <f>E642*AE642</f>
        <v>0</v>
      </c>
      <c r="AN642" s="62" t="s">
        <v>2005</v>
      </c>
      <c r="AO642" s="62" t="s">
        <v>2030</v>
      </c>
      <c r="AP642" s="63" t="s">
        <v>2052</v>
      </c>
    </row>
    <row r="643" ht="12.75">
      <c r="C643" s="24" t="s">
        <v>1705</v>
      </c>
    </row>
    <row r="644" spans="1:42" ht="12.75">
      <c r="A644" s="50" t="s">
        <v>491</v>
      </c>
      <c r="B644" s="17" t="s">
        <v>1029</v>
      </c>
      <c r="C644" s="17" t="s">
        <v>1732</v>
      </c>
      <c r="D644" s="17" t="s">
        <v>1944</v>
      </c>
      <c r="E644" s="26">
        <v>1</v>
      </c>
      <c r="F644" s="26">
        <v>0</v>
      </c>
      <c r="G644" s="26">
        <f>E644*AD644</f>
        <v>0</v>
      </c>
      <c r="H644" s="26">
        <f>I644-G644</f>
        <v>0</v>
      </c>
      <c r="I644" s="26">
        <f>E644*F644</f>
        <v>0</v>
      </c>
      <c r="J644" s="72">
        <v>0</v>
      </c>
      <c r="K644" s="72">
        <f>E644*J644</f>
        <v>0</v>
      </c>
      <c r="L644" s="80" t="s">
        <v>1961</v>
      </c>
      <c r="M644" s="35" t="s">
        <v>122</v>
      </c>
      <c r="N644" s="26">
        <f>IF(M644="5",H644,0)</f>
        <v>0</v>
      </c>
      <c r="Y644" s="26">
        <f>IF(AC644=0,I644,0)</f>
        <v>0</v>
      </c>
      <c r="Z644" s="26">
        <f>IF(AC644=15,I644,0)</f>
        <v>0</v>
      </c>
      <c r="AA644" s="26">
        <f>IF(AC644=21,I644,0)</f>
        <v>0</v>
      </c>
      <c r="AC644" s="12">
        <v>21</v>
      </c>
      <c r="AD644" s="12">
        <f>F644*1</f>
        <v>0</v>
      </c>
      <c r="AE644" s="12">
        <f>F644*(1-1)</f>
        <v>0</v>
      </c>
      <c r="AL644" s="12">
        <f>E644*AD644</f>
        <v>0</v>
      </c>
      <c r="AM644" s="12">
        <f>E644*AE644</f>
        <v>0</v>
      </c>
      <c r="AN644" s="38" t="s">
        <v>2005</v>
      </c>
      <c r="AO644" s="38" t="s">
        <v>2030</v>
      </c>
      <c r="AP644" s="32" t="s">
        <v>2052</v>
      </c>
    </row>
    <row r="645" ht="12.75">
      <c r="C645" s="24" t="s">
        <v>1705</v>
      </c>
    </row>
    <row r="646" spans="1:42" ht="12.75">
      <c r="A646" s="50" t="s">
        <v>492</v>
      </c>
      <c r="B646" s="17" t="s">
        <v>1030</v>
      </c>
      <c r="C646" s="17" t="s">
        <v>1733</v>
      </c>
      <c r="D646" s="17" t="s">
        <v>1944</v>
      </c>
      <c r="E646" s="26">
        <v>1</v>
      </c>
      <c r="F646" s="26">
        <v>0</v>
      </c>
      <c r="G646" s="26">
        <f>E646*AD646</f>
        <v>0</v>
      </c>
      <c r="H646" s="26">
        <f>I646-G646</f>
        <v>0</v>
      </c>
      <c r="I646" s="26">
        <f>E646*F646</f>
        <v>0</v>
      </c>
      <c r="J646" s="72">
        <v>0</v>
      </c>
      <c r="K646" s="72">
        <f>E646*J646</f>
        <v>0</v>
      </c>
      <c r="L646" s="80" t="s">
        <v>1961</v>
      </c>
      <c r="M646" s="35" t="s">
        <v>122</v>
      </c>
      <c r="N646" s="26">
        <f>IF(M646="5",H646,0)</f>
        <v>0</v>
      </c>
      <c r="Y646" s="26">
        <f>IF(AC646=0,I646,0)</f>
        <v>0</v>
      </c>
      <c r="Z646" s="26">
        <f>IF(AC646=15,I646,0)</f>
        <v>0</v>
      </c>
      <c r="AA646" s="26">
        <f>IF(AC646=21,I646,0)</f>
        <v>0</v>
      </c>
      <c r="AC646" s="12">
        <v>21</v>
      </c>
      <c r="AD646" s="12">
        <f>F646*1</f>
        <v>0</v>
      </c>
      <c r="AE646" s="12">
        <f>F646*(1-1)</f>
        <v>0</v>
      </c>
      <c r="AL646" s="12">
        <f>E646*AD646</f>
        <v>0</v>
      </c>
      <c r="AM646" s="12">
        <f>E646*AE646</f>
        <v>0</v>
      </c>
      <c r="AN646" s="38" t="s">
        <v>2005</v>
      </c>
      <c r="AO646" s="38" t="s">
        <v>2030</v>
      </c>
      <c r="AP646" s="32" t="s">
        <v>2052</v>
      </c>
    </row>
    <row r="647" ht="12.75">
      <c r="C647" s="24" t="s">
        <v>1705</v>
      </c>
    </row>
    <row r="648" spans="1:42" ht="12.75">
      <c r="A648" s="50" t="s">
        <v>493</v>
      </c>
      <c r="B648" s="17" t="s">
        <v>1031</v>
      </c>
      <c r="C648" s="17" t="s">
        <v>1734</v>
      </c>
      <c r="D648" s="17" t="s">
        <v>1944</v>
      </c>
      <c r="E648" s="26">
        <v>1</v>
      </c>
      <c r="F648" s="26">
        <v>0</v>
      </c>
      <c r="G648" s="26">
        <f>E648*AD648</f>
        <v>0</v>
      </c>
      <c r="H648" s="26">
        <f>I648-G648</f>
        <v>0</v>
      </c>
      <c r="I648" s="26">
        <f>E648*F648</f>
        <v>0</v>
      </c>
      <c r="J648" s="72">
        <v>0</v>
      </c>
      <c r="K648" s="72">
        <f>E648*J648</f>
        <v>0</v>
      </c>
      <c r="L648" s="80" t="s">
        <v>1961</v>
      </c>
      <c r="M648" s="35" t="s">
        <v>122</v>
      </c>
      <c r="N648" s="26">
        <f>IF(M648="5",H648,0)</f>
        <v>0</v>
      </c>
      <c r="Y648" s="26">
        <f>IF(AC648=0,I648,0)</f>
        <v>0</v>
      </c>
      <c r="Z648" s="26">
        <f>IF(AC648=15,I648,0)</f>
        <v>0</v>
      </c>
      <c r="AA648" s="26">
        <f>IF(AC648=21,I648,0)</f>
        <v>0</v>
      </c>
      <c r="AC648" s="12">
        <v>21</v>
      </c>
      <c r="AD648" s="12">
        <f>F648*1</f>
        <v>0</v>
      </c>
      <c r="AE648" s="12">
        <f>F648*(1-1)</f>
        <v>0</v>
      </c>
      <c r="AL648" s="12">
        <f>E648*AD648</f>
        <v>0</v>
      </c>
      <c r="AM648" s="12">
        <f>E648*AE648</f>
        <v>0</v>
      </c>
      <c r="AN648" s="38" t="s">
        <v>2005</v>
      </c>
      <c r="AO648" s="38" t="s">
        <v>2030</v>
      </c>
      <c r="AP648" s="32" t="s">
        <v>2052</v>
      </c>
    </row>
    <row r="649" ht="12.75">
      <c r="C649" s="24" t="s">
        <v>1735</v>
      </c>
    </row>
    <row r="650" spans="1:42" ht="12.75">
      <c r="A650" s="50" t="s">
        <v>494</v>
      </c>
      <c r="B650" s="17" t="s">
        <v>1032</v>
      </c>
      <c r="C650" s="17" t="s">
        <v>1736</v>
      </c>
      <c r="D650" s="17" t="s">
        <v>1944</v>
      </c>
      <c r="E650" s="26">
        <v>1</v>
      </c>
      <c r="F650" s="26">
        <v>0</v>
      </c>
      <c r="G650" s="26">
        <f>E650*AD650</f>
        <v>0</v>
      </c>
      <c r="H650" s="26">
        <f>I650-G650</f>
        <v>0</v>
      </c>
      <c r="I650" s="26">
        <f>E650*F650</f>
        <v>0</v>
      </c>
      <c r="J650" s="72">
        <v>0</v>
      </c>
      <c r="K650" s="72">
        <f>E650*J650</f>
        <v>0</v>
      </c>
      <c r="L650" s="80" t="s">
        <v>1961</v>
      </c>
      <c r="M650" s="35" t="s">
        <v>122</v>
      </c>
      <c r="N650" s="26">
        <f>IF(M650="5",H650,0)</f>
        <v>0</v>
      </c>
      <c r="Y650" s="26">
        <f>IF(AC650=0,I650,0)</f>
        <v>0</v>
      </c>
      <c r="Z650" s="26">
        <f>IF(AC650=15,I650,0)</f>
        <v>0</v>
      </c>
      <c r="AA650" s="26">
        <f>IF(AC650=21,I650,0)</f>
        <v>0</v>
      </c>
      <c r="AC650" s="12">
        <v>21</v>
      </c>
      <c r="AD650" s="12">
        <f>F650*1</f>
        <v>0</v>
      </c>
      <c r="AE650" s="12">
        <f>F650*(1-1)</f>
        <v>0</v>
      </c>
      <c r="AL650" s="12">
        <f>E650*AD650</f>
        <v>0</v>
      </c>
      <c r="AM650" s="12">
        <f>E650*AE650</f>
        <v>0</v>
      </c>
      <c r="AN650" s="38" t="s">
        <v>2005</v>
      </c>
      <c r="AO650" s="38" t="s">
        <v>2030</v>
      </c>
      <c r="AP650" s="32" t="s">
        <v>2052</v>
      </c>
    </row>
    <row r="651" ht="12.75">
      <c r="C651" s="24" t="s">
        <v>1735</v>
      </c>
    </row>
    <row r="652" spans="1:42" s="60" customFormat="1" ht="26.25">
      <c r="A652" s="56" t="s">
        <v>495</v>
      </c>
      <c r="B652" s="57" t="s">
        <v>1033</v>
      </c>
      <c r="C652" s="57" t="s">
        <v>1737</v>
      </c>
      <c r="D652" s="57" t="s">
        <v>1944</v>
      </c>
      <c r="E652" s="58">
        <v>4</v>
      </c>
      <c r="F652" s="58">
        <v>0</v>
      </c>
      <c r="G652" s="58">
        <f>E652*AD652</f>
        <v>0</v>
      </c>
      <c r="H652" s="58">
        <f>I652-G652</f>
        <v>0</v>
      </c>
      <c r="I652" s="58">
        <f>E652*F652</f>
        <v>0</v>
      </c>
      <c r="J652" s="77">
        <v>0</v>
      </c>
      <c r="K652" s="77">
        <f>E652*J652</f>
        <v>0</v>
      </c>
      <c r="L652" s="80" t="s">
        <v>1961</v>
      </c>
      <c r="M652" s="59" t="s">
        <v>122</v>
      </c>
      <c r="N652" s="58">
        <f>IF(M652="5",H652,0)</f>
        <v>0</v>
      </c>
      <c r="Y652" s="58">
        <f>IF(AC652=0,I652,0)</f>
        <v>0</v>
      </c>
      <c r="Z652" s="58">
        <f>IF(AC652=15,I652,0)</f>
        <v>0</v>
      </c>
      <c r="AA652" s="58">
        <f>IF(AC652=21,I652,0)</f>
        <v>0</v>
      </c>
      <c r="AC652" s="61">
        <v>21</v>
      </c>
      <c r="AD652" s="61">
        <f>F652*1</f>
        <v>0</v>
      </c>
      <c r="AE652" s="61">
        <f>F652*(1-1)</f>
        <v>0</v>
      </c>
      <c r="AL652" s="61">
        <f>E652*AD652</f>
        <v>0</v>
      </c>
      <c r="AM652" s="61">
        <f>E652*AE652</f>
        <v>0</v>
      </c>
      <c r="AN652" s="62" t="s">
        <v>2005</v>
      </c>
      <c r="AO652" s="62" t="s">
        <v>2030</v>
      </c>
      <c r="AP652" s="63" t="s">
        <v>2052</v>
      </c>
    </row>
    <row r="653" ht="12.75">
      <c r="C653" s="24" t="s">
        <v>1738</v>
      </c>
    </row>
    <row r="654" spans="1:42" ht="12.75">
      <c r="A654" s="50" t="s">
        <v>496</v>
      </c>
      <c r="B654" s="17" t="s">
        <v>1034</v>
      </c>
      <c r="C654" s="17" t="s">
        <v>1739</v>
      </c>
      <c r="D654" s="17" t="s">
        <v>1944</v>
      </c>
      <c r="E654" s="26">
        <v>1</v>
      </c>
      <c r="F654" s="26">
        <v>0</v>
      </c>
      <c r="G654" s="26">
        <f>E654*AD654</f>
        <v>0</v>
      </c>
      <c r="H654" s="26">
        <f>I654-G654</f>
        <v>0</v>
      </c>
      <c r="I654" s="26">
        <f>E654*F654</f>
        <v>0</v>
      </c>
      <c r="J654" s="72">
        <v>0</v>
      </c>
      <c r="K654" s="72">
        <f>E654*J654</f>
        <v>0</v>
      </c>
      <c r="L654" s="80" t="s">
        <v>1961</v>
      </c>
      <c r="M654" s="35" t="s">
        <v>122</v>
      </c>
      <c r="N654" s="26">
        <f>IF(M654="5",H654,0)</f>
        <v>0</v>
      </c>
      <c r="Y654" s="26">
        <f>IF(AC654=0,I654,0)</f>
        <v>0</v>
      </c>
      <c r="Z654" s="26">
        <f>IF(AC654=15,I654,0)</f>
        <v>0</v>
      </c>
      <c r="AA654" s="26">
        <f>IF(AC654=21,I654,0)</f>
        <v>0</v>
      </c>
      <c r="AC654" s="12">
        <v>21</v>
      </c>
      <c r="AD654" s="12">
        <f>F654*1</f>
        <v>0</v>
      </c>
      <c r="AE654" s="12">
        <f>F654*(1-1)</f>
        <v>0</v>
      </c>
      <c r="AL654" s="12">
        <f>E654*AD654</f>
        <v>0</v>
      </c>
      <c r="AM654" s="12">
        <f>E654*AE654</f>
        <v>0</v>
      </c>
      <c r="AN654" s="38" t="s">
        <v>2005</v>
      </c>
      <c r="AO654" s="38" t="s">
        <v>2030</v>
      </c>
      <c r="AP654" s="32" t="s">
        <v>2052</v>
      </c>
    </row>
    <row r="655" ht="12.75">
      <c r="C655" s="24" t="s">
        <v>1735</v>
      </c>
    </row>
    <row r="656" spans="1:42" s="60" customFormat="1" ht="26.25">
      <c r="A656" s="56" t="s">
        <v>497</v>
      </c>
      <c r="B656" s="57" t="s">
        <v>1035</v>
      </c>
      <c r="C656" s="57" t="s">
        <v>1740</v>
      </c>
      <c r="D656" s="57" t="s">
        <v>1944</v>
      </c>
      <c r="E656" s="58">
        <v>1</v>
      </c>
      <c r="F656" s="58">
        <v>0</v>
      </c>
      <c r="G656" s="58">
        <f>E656*AD656</f>
        <v>0</v>
      </c>
      <c r="H656" s="58">
        <f>I656-G656</f>
        <v>0</v>
      </c>
      <c r="I656" s="58">
        <f>E656*F656</f>
        <v>0</v>
      </c>
      <c r="J656" s="77">
        <v>0</v>
      </c>
      <c r="K656" s="77">
        <f>E656*J656</f>
        <v>0</v>
      </c>
      <c r="L656" s="80" t="s">
        <v>1961</v>
      </c>
      <c r="M656" s="59" t="s">
        <v>122</v>
      </c>
      <c r="N656" s="58">
        <f>IF(M656="5",H656,0)</f>
        <v>0</v>
      </c>
      <c r="Y656" s="58">
        <f>IF(AC656=0,I656,0)</f>
        <v>0</v>
      </c>
      <c r="Z656" s="58">
        <f>IF(AC656=15,I656,0)</f>
        <v>0</v>
      </c>
      <c r="AA656" s="58">
        <f>IF(AC656=21,I656,0)</f>
        <v>0</v>
      </c>
      <c r="AC656" s="61">
        <v>21</v>
      </c>
      <c r="AD656" s="61">
        <f>F656*1</f>
        <v>0</v>
      </c>
      <c r="AE656" s="61">
        <f>F656*(1-1)</f>
        <v>0</v>
      </c>
      <c r="AL656" s="61">
        <f>E656*AD656</f>
        <v>0</v>
      </c>
      <c r="AM656" s="61">
        <f>E656*AE656</f>
        <v>0</v>
      </c>
      <c r="AN656" s="62" t="s">
        <v>2005</v>
      </c>
      <c r="AO656" s="62" t="s">
        <v>2030</v>
      </c>
      <c r="AP656" s="63" t="s">
        <v>2052</v>
      </c>
    </row>
    <row r="657" ht="12.75">
      <c r="C657" s="24" t="s">
        <v>1738</v>
      </c>
    </row>
    <row r="658" spans="1:42" ht="12.75">
      <c r="A658" s="50" t="s">
        <v>498</v>
      </c>
      <c r="B658" s="17" t="s">
        <v>1036</v>
      </c>
      <c r="C658" s="17" t="s">
        <v>1741</v>
      </c>
      <c r="D658" s="17" t="s">
        <v>1941</v>
      </c>
      <c r="E658" s="26">
        <v>12.14</v>
      </c>
      <c r="F658" s="26">
        <v>0</v>
      </c>
      <c r="G658" s="26">
        <f>E658*AD658</f>
        <v>0</v>
      </c>
      <c r="H658" s="26">
        <f>I658-G658</f>
        <v>0</v>
      </c>
      <c r="I658" s="26">
        <f>E658*F658</f>
        <v>0</v>
      </c>
      <c r="J658" s="72">
        <v>0.01695</v>
      </c>
      <c r="K658" s="72">
        <f>E658*J658</f>
        <v>0.205773</v>
      </c>
      <c r="L658" s="35" t="s">
        <v>1959</v>
      </c>
      <c r="M658" s="35" t="s">
        <v>122</v>
      </c>
      <c r="N658" s="26">
        <f>IF(M658="5",H658,0)</f>
        <v>0</v>
      </c>
      <c r="Y658" s="26">
        <f>IF(AC658=0,I658,0)</f>
        <v>0</v>
      </c>
      <c r="Z658" s="26">
        <f>IF(AC658=15,I658,0)</f>
        <v>0</v>
      </c>
      <c r="AA658" s="26">
        <f>IF(AC658=21,I658,0)</f>
        <v>0</v>
      </c>
      <c r="AC658" s="12">
        <v>21</v>
      </c>
      <c r="AD658" s="12">
        <f>F658*0</f>
        <v>0</v>
      </c>
      <c r="AE658" s="12">
        <f>F658*(1-0)</f>
        <v>0</v>
      </c>
      <c r="AL658" s="12">
        <f>E658*AD658</f>
        <v>0</v>
      </c>
      <c r="AM658" s="12">
        <f>E658*AE658</f>
        <v>0</v>
      </c>
      <c r="AN658" s="38" t="s">
        <v>2005</v>
      </c>
      <c r="AO658" s="38" t="s">
        <v>2030</v>
      </c>
      <c r="AP658" s="32" t="s">
        <v>2045</v>
      </c>
    </row>
    <row r="659" spans="1:42" ht="12.75">
      <c r="A659" s="50" t="s">
        <v>499</v>
      </c>
      <c r="B659" s="17" t="s">
        <v>1037</v>
      </c>
      <c r="C659" s="17" t="s">
        <v>1742</v>
      </c>
      <c r="D659" s="17" t="s">
        <v>1953</v>
      </c>
      <c r="E659" s="26">
        <v>3</v>
      </c>
      <c r="F659" s="26">
        <v>0</v>
      </c>
      <c r="G659" s="26">
        <f>E659*AD659</f>
        <v>0</v>
      </c>
      <c r="H659" s="26">
        <f>I659-G659</f>
        <v>0</v>
      </c>
      <c r="I659" s="26">
        <f>E659*F659</f>
        <v>0</v>
      </c>
      <c r="J659" s="72">
        <v>0.00028</v>
      </c>
      <c r="K659" s="72">
        <f>E659*J659</f>
        <v>0.0008399999999999999</v>
      </c>
      <c r="L659" s="35" t="s">
        <v>1961</v>
      </c>
      <c r="M659" s="35" t="s">
        <v>122</v>
      </c>
      <c r="N659" s="26">
        <f>IF(M659="5",H659,0)</f>
        <v>0</v>
      </c>
      <c r="Y659" s="26">
        <f>IF(AC659=0,I659,0)</f>
        <v>0</v>
      </c>
      <c r="Z659" s="26">
        <f>IF(AC659=15,I659,0)</f>
        <v>0</v>
      </c>
      <c r="AA659" s="26">
        <f>IF(AC659=21,I659,0)</f>
        <v>0</v>
      </c>
      <c r="AC659" s="12">
        <v>21</v>
      </c>
      <c r="AD659" s="12">
        <f>F659*0.76158940397351</f>
        <v>0</v>
      </c>
      <c r="AE659" s="12">
        <f>F659*(1-0.76158940397351)</f>
        <v>0</v>
      </c>
      <c r="AL659" s="12">
        <f>E659*AD659</f>
        <v>0</v>
      </c>
      <c r="AM659" s="12">
        <f>E659*AE659</f>
        <v>0</v>
      </c>
      <c r="AN659" s="38" t="s">
        <v>2005</v>
      </c>
      <c r="AO659" s="38" t="s">
        <v>2030</v>
      </c>
      <c r="AP659" s="32" t="s">
        <v>2042</v>
      </c>
    </row>
    <row r="660" ht="12.75">
      <c r="C660" s="24" t="s">
        <v>1743</v>
      </c>
    </row>
    <row r="661" spans="1:42" ht="12.75">
      <c r="A661" s="50" t="s">
        <v>500</v>
      </c>
      <c r="B661" s="17" t="s">
        <v>1038</v>
      </c>
      <c r="C661" s="17" t="s">
        <v>1744</v>
      </c>
      <c r="D661" s="17" t="s">
        <v>1944</v>
      </c>
      <c r="E661" s="26">
        <v>49</v>
      </c>
      <c r="F661" s="26">
        <v>0</v>
      </c>
      <c r="G661" s="26">
        <f aca="true" t="shared" si="122" ref="G661:G667">E661*AD661</f>
        <v>0</v>
      </c>
      <c r="H661" s="26">
        <f aca="true" t="shared" si="123" ref="H661:H667">I661-G661</f>
        <v>0</v>
      </c>
      <c r="I661" s="26">
        <f aca="true" t="shared" si="124" ref="I661:I667">E661*F661</f>
        <v>0</v>
      </c>
      <c r="J661" s="72">
        <v>0</v>
      </c>
      <c r="K661" s="72">
        <f aca="true" t="shared" si="125" ref="K661:K667">E661*J661</f>
        <v>0</v>
      </c>
      <c r="L661" s="35" t="s">
        <v>1964</v>
      </c>
      <c r="M661" s="35" t="s">
        <v>122</v>
      </c>
      <c r="N661" s="26">
        <f aca="true" t="shared" si="126" ref="N661:N667">IF(M661="5",H661,0)</f>
        <v>0</v>
      </c>
      <c r="Y661" s="26">
        <f aca="true" t="shared" si="127" ref="Y661:Y667">IF(AC661=0,I661,0)</f>
        <v>0</v>
      </c>
      <c r="Z661" s="26">
        <f aca="true" t="shared" si="128" ref="Z661:Z667">IF(AC661=15,I661,0)</f>
        <v>0</v>
      </c>
      <c r="AA661" s="26">
        <f aca="true" t="shared" si="129" ref="AA661:AA667">IF(AC661=21,I661,0)</f>
        <v>0</v>
      </c>
      <c r="AC661" s="12">
        <v>21</v>
      </c>
      <c r="AD661" s="12">
        <f aca="true" t="shared" si="130" ref="AD661:AD667">F661*0</f>
        <v>0</v>
      </c>
      <c r="AE661" s="12">
        <f aca="true" t="shared" si="131" ref="AE661:AE667">F661*(1-0)</f>
        <v>0</v>
      </c>
      <c r="AL661" s="12">
        <f aca="true" t="shared" si="132" ref="AL661:AL667">E661*AD661</f>
        <v>0</v>
      </c>
      <c r="AM661" s="12">
        <f aca="true" t="shared" si="133" ref="AM661:AM667">E661*AE661</f>
        <v>0</v>
      </c>
      <c r="AN661" s="38" t="s">
        <v>2005</v>
      </c>
      <c r="AO661" s="38" t="s">
        <v>2030</v>
      </c>
      <c r="AP661" s="32" t="s">
        <v>2052</v>
      </c>
    </row>
    <row r="662" spans="1:42" ht="12.75">
      <c r="A662" s="50" t="s">
        <v>501</v>
      </c>
      <c r="B662" s="17" t="s">
        <v>1039</v>
      </c>
      <c r="C662" s="17" t="s">
        <v>1745</v>
      </c>
      <c r="D662" s="17" t="s">
        <v>1944</v>
      </c>
      <c r="E662" s="26">
        <v>29</v>
      </c>
      <c r="F662" s="26">
        <v>0</v>
      </c>
      <c r="G662" s="26">
        <f t="shared" si="122"/>
        <v>0</v>
      </c>
      <c r="H662" s="26">
        <f t="shared" si="123"/>
        <v>0</v>
      </c>
      <c r="I662" s="26">
        <f t="shared" si="124"/>
        <v>0</v>
      </c>
      <c r="J662" s="72">
        <v>0</v>
      </c>
      <c r="K662" s="72">
        <f t="shared" si="125"/>
        <v>0</v>
      </c>
      <c r="L662" s="35" t="s">
        <v>1964</v>
      </c>
      <c r="M662" s="35" t="s">
        <v>122</v>
      </c>
      <c r="N662" s="26">
        <f t="shared" si="126"/>
        <v>0</v>
      </c>
      <c r="Y662" s="26">
        <f t="shared" si="127"/>
        <v>0</v>
      </c>
      <c r="Z662" s="26">
        <f t="shared" si="128"/>
        <v>0</v>
      </c>
      <c r="AA662" s="26">
        <f t="shared" si="129"/>
        <v>0</v>
      </c>
      <c r="AC662" s="12">
        <v>21</v>
      </c>
      <c r="AD662" s="12">
        <f t="shared" si="130"/>
        <v>0</v>
      </c>
      <c r="AE662" s="12">
        <f t="shared" si="131"/>
        <v>0</v>
      </c>
      <c r="AL662" s="12">
        <f t="shared" si="132"/>
        <v>0</v>
      </c>
      <c r="AM662" s="12">
        <f t="shared" si="133"/>
        <v>0</v>
      </c>
      <c r="AN662" s="38" t="s">
        <v>2005</v>
      </c>
      <c r="AO662" s="38" t="s">
        <v>2030</v>
      </c>
      <c r="AP662" s="32" t="s">
        <v>2052</v>
      </c>
    </row>
    <row r="663" spans="1:42" ht="12.75">
      <c r="A663" s="50" t="s">
        <v>502</v>
      </c>
      <c r="B663" s="17" t="s">
        <v>1040</v>
      </c>
      <c r="C663" s="17" t="s">
        <v>1746</v>
      </c>
      <c r="D663" s="17" t="s">
        <v>1944</v>
      </c>
      <c r="E663" s="26">
        <v>2</v>
      </c>
      <c r="F663" s="26">
        <v>0</v>
      </c>
      <c r="G663" s="26">
        <f t="shared" si="122"/>
        <v>0</v>
      </c>
      <c r="H663" s="26">
        <f t="shared" si="123"/>
        <v>0</v>
      </c>
      <c r="I663" s="26">
        <f t="shared" si="124"/>
        <v>0</v>
      </c>
      <c r="J663" s="72">
        <v>0</v>
      </c>
      <c r="K663" s="72">
        <f t="shared" si="125"/>
        <v>0</v>
      </c>
      <c r="L663" s="35" t="s">
        <v>1959</v>
      </c>
      <c r="M663" s="35" t="s">
        <v>122</v>
      </c>
      <c r="N663" s="26">
        <f t="shared" si="126"/>
        <v>0</v>
      </c>
      <c r="Y663" s="26">
        <f t="shared" si="127"/>
        <v>0</v>
      </c>
      <c r="Z663" s="26">
        <f t="shared" si="128"/>
        <v>0</v>
      </c>
      <c r="AA663" s="26">
        <f t="shared" si="129"/>
        <v>0</v>
      </c>
      <c r="AC663" s="12">
        <v>21</v>
      </c>
      <c r="AD663" s="12">
        <f t="shared" si="130"/>
        <v>0</v>
      </c>
      <c r="AE663" s="12">
        <f t="shared" si="131"/>
        <v>0</v>
      </c>
      <c r="AL663" s="12">
        <f t="shared" si="132"/>
        <v>0</v>
      </c>
      <c r="AM663" s="12">
        <f t="shared" si="133"/>
        <v>0</v>
      </c>
      <c r="AN663" s="38" t="s">
        <v>2005</v>
      </c>
      <c r="AO663" s="38" t="s">
        <v>2030</v>
      </c>
      <c r="AP663" s="32" t="s">
        <v>2052</v>
      </c>
    </row>
    <row r="664" spans="1:42" ht="12.75">
      <c r="A664" s="50" t="s">
        <v>503</v>
      </c>
      <c r="B664" s="17" t="s">
        <v>1041</v>
      </c>
      <c r="C664" s="17" t="s">
        <v>1747</v>
      </c>
      <c r="D664" s="17" t="s">
        <v>1944</v>
      </c>
      <c r="E664" s="26">
        <v>10</v>
      </c>
      <c r="F664" s="26">
        <v>0</v>
      </c>
      <c r="G664" s="26">
        <f t="shared" si="122"/>
        <v>0</v>
      </c>
      <c r="H664" s="26">
        <f t="shared" si="123"/>
        <v>0</v>
      </c>
      <c r="I664" s="26">
        <f t="shared" si="124"/>
        <v>0</v>
      </c>
      <c r="J664" s="72">
        <v>0.004</v>
      </c>
      <c r="K664" s="72">
        <f t="shared" si="125"/>
        <v>0.04</v>
      </c>
      <c r="L664" s="35" t="s">
        <v>1959</v>
      </c>
      <c r="M664" s="35" t="s">
        <v>122</v>
      </c>
      <c r="N664" s="26">
        <f t="shared" si="126"/>
        <v>0</v>
      </c>
      <c r="Y664" s="26">
        <f t="shared" si="127"/>
        <v>0</v>
      </c>
      <c r="Z664" s="26">
        <f t="shared" si="128"/>
        <v>0</v>
      </c>
      <c r="AA664" s="26">
        <f t="shared" si="129"/>
        <v>0</v>
      </c>
      <c r="AC664" s="12">
        <v>21</v>
      </c>
      <c r="AD664" s="12">
        <f t="shared" si="130"/>
        <v>0</v>
      </c>
      <c r="AE664" s="12">
        <f t="shared" si="131"/>
        <v>0</v>
      </c>
      <c r="AL664" s="12">
        <f t="shared" si="132"/>
        <v>0</v>
      </c>
      <c r="AM664" s="12">
        <f t="shared" si="133"/>
        <v>0</v>
      </c>
      <c r="AN664" s="38" t="s">
        <v>2005</v>
      </c>
      <c r="AO664" s="38" t="s">
        <v>2030</v>
      </c>
      <c r="AP664" s="32" t="s">
        <v>2045</v>
      </c>
    </row>
    <row r="665" spans="1:42" ht="12.75">
      <c r="A665" s="50" t="s">
        <v>504</v>
      </c>
      <c r="B665" s="17" t="s">
        <v>1042</v>
      </c>
      <c r="C665" s="17" t="s">
        <v>1748</v>
      </c>
      <c r="D665" s="17" t="s">
        <v>1944</v>
      </c>
      <c r="E665" s="26">
        <v>2</v>
      </c>
      <c r="F665" s="26">
        <v>0</v>
      </c>
      <c r="G665" s="26">
        <f t="shared" si="122"/>
        <v>0</v>
      </c>
      <c r="H665" s="26">
        <f t="shared" si="123"/>
        <v>0</v>
      </c>
      <c r="I665" s="26">
        <f t="shared" si="124"/>
        <v>0</v>
      </c>
      <c r="J665" s="72">
        <v>0</v>
      </c>
      <c r="K665" s="72">
        <f t="shared" si="125"/>
        <v>0</v>
      </c>
      <c r="L665" s="35" t="s">
        <v>1964</v>
      </c>
      <c r="M665" s="35" t="s">
        <v>122</v>
      </c>
      <c r="N665" s="26">
        <f t="shared" si="126"/>
        <v>0</v>
      </c>
      <c r="Y665" s="26">
        <f t="shared" si="127"/>
        <v>0</v>
      </c>
      <c r="Z665" s="26">
        <f t="shared" si="128"/>
        <v>0</v>
      </c>
      <c r="AA665" s="26">
        <f t="shared" si="129"/>
        <v>0</v>
      </c>
      <c r="AC665" s="12">
        <v>21</v>
      </c>
      <c r="AD665" s="12">
        <f t="shared" si="130"/>
        <v>0</v>
      </c>
      <c r="AE665" s="12">
        <f t="shared" si="131"/>
        <v>0</v>
      </c>
      <c r="AL665" s="12">
        <f t="shared" si="132"/>
        <v>0</v>
      </c>
      <c r="AM665" s="12">
        <f t="shared" si="133"/>
        <v>0</v>
      </c>
      <c r="AN665" s="38" t="s">
        <v>2005</v>
      </c>
      <c r="AO665" s="38" t="s">
        <v>2030</v>
      </c>
      <c r="AP665" s="32" t="s">
        <v>2052</v>
      </c>
    </row>
    <row r="666" spans="1:42" ht="12.75">
      <c r="A666" s="50" t="s">
        <v>505</v>
      </c>
      <c r="B666" s="17" t="s">
        <v>1043</v>
      </c>
      <c r="C666" s="17" t="s">
        <v>1749</v>
      </c>
      <c r="D666" s="17" t="s">
        <v>1944</v>
      </c>
      <c r="E666" s="26">
        <v>1</v>
      </c>
      <c r="F666" s="26">
        <v>0</v>
      </c>
      <c r="G666" s="26">
        <f t="shared" si="122"/>
        <v>0</v>
      </c>
      <c r="H666" s="26">
        <f t="shared" si="123"/>
        <v>0</v>
      </c>
      <c r="I666" s="26">
        <f t="shared" si="124"/>
        <v>0</v>
      </c>
      <c r="J666" s="72">
        <v>0</v>
      </c>
      <c r="K666" s="72">
        <f t="shared" si="125"/>
        <v>0</v>
      </c>
      <c r="L666" s="35" t="s">
        <v>1959</v>
      </c>
      <c r="M666" s="35" t="s">
        <v>122</v>
      </c>
      <c r="N666" s="26">
        <f t="shared" si="126"/>
        <v>0</v>
      </c>
      <c r="Y666" s="26">
        <f t="shared" si="127"/>
        <v>0</v>
      </c>
      <c r="Z666" s="26">
        <f t="shared" si="128"/>
        <v>0</v>
      </c>
      <c r="AA666" s="26">
        <f t="shared" si="129"/>
        <v>0</v>
      </c>
      <c r="AC666" s="12">
        <v>21</v>
      </c>
      <c r="AD666" s="12">
        <f t="shared" si="130"/>
        <v>0</v>
      </c>
      <c r="AE666" s="12">
        <f t="shared" si="131"/>
        <v>0</v>
      </c>
      <c r="AL666" s="12">
        <f t="shared" si="132"/>
        <v>0</v>
      </c>
      <c r="AM666" s="12">
        <f t="shared" si="133"/>
        <v>0</v>
      </c>
      <c r="AN666" s="38" t="s">
        <v>2005</v>
      </c>
      <c r="AO666" s="38" t="s">
        <v>2030</v>
      </c>
      <c r="AP666" s="32" t="s">
        <v>2052</v>
      </c>
    </row>
    <row r="667" spans="1:42" ht="12.75">
      <c r="A667" s="50" t="s">
        <v>506</v>
      </c>
      <c r="B667" s="17" t="s">
        <v>1044</v>
      </c>
      <c r="C667" s="17" t="s">
        <v>1750</v>
      </c>
      <c r="D667" s="17" t="s">
        <v>1941</v>
      </c>
      <c r="E667" s="26">
        <v>11.28</v>
      </c>
      <c r="F667" s="26">
        <v>0</v>
      </c>
      <c r="G667" s="26">
        <f t="shared" si="122"/>
        <v>0</v>
      </c>
      <c r="H667" s="26">
        <f t="shared" si="123"/>
        <v>0</v>
      </c>
      <c r="I667" s="26">
        <f t="shared" si="124"/>
        <v>0</v>
      </c>
      <c r="J667" s="72">
        <v>0.019</v>
      </c>
      <c r="K667" s="72">
        <f t="shared" si="125"/>
        <v>0.21431999999999998</v>
      </c>
      <c r="L667" s="35" t="s">
        <v>1959</v>
      </c>
      <c r="M667" s="35" t="s">
        <v>124</v>
      </c>
      <c r="N667" s="26">
        <f t="shared" si="126"/>
        <v>0</v>
      </c>
      <c r="Y667" s="26">
        <f t="shared" si="127"/>
        <v>0</v>
      </c>
      <c r="Z667" s="26">
        <f t="shared" si="128"/>
        <v>0</v>
      </c>
      <c r="AA667" s="26">
        <f t="shared" si="129"/>
        <v>0</v>
      </c>
      <c r="AC667" s="12">
        <v>21</v>
      </c>
      <c r="AD667" s="12">
        <f t="shared" si="130"/>
        <v>0</v>
      </c>
      <c r="AE667" s="12">
        <f t="shared" si="131"/>
        <v>0</v>
      </c>
      <c r="AL667" s="12">
        <f t="shared" si="132"/>
        <v>0</v>
      </c>
      <c r="AM667" s="12">
        <f t="shared" si="133"/>
        <v>0</v>
      </c>
      <c r="AN667" s="38" t="s">
        <v>2005</v>
      </c>
      <c r="AO667" s="38" t="s">
        <v>2030</v>
      </c>
      <c r="AP667" s="32" t="s">
        <v>2045</v>
      </c>
    </row>
    <row r="668" ht="12.75">
      <c r="C668" s="24" t="s">
        <v>1751</v>
      </c>
    </row>
    <row r="669" spans="1:42" ht="12.75">
      <c r="A669" s="50" t="s">
        <v>507</v>
      </c>
      <c r="B669" s="17" t="s">
        <v>1045</v>
      </c>
      <c r="C669" s="17" t="s">
        <v>1752</v>
      </c>
      <c r="D669" s="17" t="s">
        <v>1941</v>
      </c>
      <c r="E669" s="26">
        <v>4.97</v>
      </c>
      <c r="F669" s="26">
        <v>0</v>
      </c>
      <c r="G669" s="26">
        <f>E669*AD669</f>
        <v>0</v>
      </c>
      <c r="H669" s="26">
        <f>I669-G669</f>
        <v>0</v>
      </c>
      <c r="I669" s="26">
        <f>E669*F669</f>
        <v>0</v>
      </c>
      <c r="J669" s="72">
        <v>0.01898</v>
      </c>
      <c r="K669" s="72">
        <f>E669*J669</f>
        <v>0.0943306</v>
      </c>
      <c r="L669" s="35" t="s">
        <v>1959</v>
      </c>
      <c r="M669" s="35" t="s">
        <v>124</v>
      </c>
      <c r="N669" s="26">
        <f>IF(M669="5",H669,0)</f>
        <v>0</v>
      </c>
      <c r="Y669" s="26">
        <f>IF(AC669=0,I669,0)</f>
        <v>0</v>
      </c>
      <c r="Z669" s="26">
        <f>IF(AC669=15,I669,0)</f>
        <v>0</v>
      </c>
      <c r="AA669" s="26">
        <f>IF(AC669=21,I669,0)</f>
        <v>0</v>
      </c>
      <c r="AC669" s="12">
        <v>21</v>
      </c>
      <c r="AD669" s="12">
        <f>F669*0</f>
        <v>0</v>
      </c>
      <c r="AE669" s="12">
        <f>F669*(1-0)</f>
        <v>0</v>
      </c>
      <c r="AL669" s="12">
        <f>E669*AD669</f>
        <v>0</v>
      </c>
      <c r="AM669" s="12">
        <f>E669*AE669</f>
        <v>0</v>
      </c>
      <c r="AN669" s="38" t="s">
        <v>2005</v>
      </c>
      <c r="AO669" s="38" t="s">
        <v>2030</v>
      </c>
      <c r="AP669" s="32" t="s">
        <v>2045</v>
      </c>
    </row>
    <row r="670" ht="12.75">
      <c r="C670" s="24" t="s">
        <v>1753</v>
      </c>
    </row>
    <row r="671" spans="1:42" ht="12.75">
      <c r="A671" s="50" t="s">
        <v>508</v>
      </c>
      <c r="B671" s="17" t="s">
        <v>1046</v>
      </c>
      <c r="C671" s="17" t="s">
        <v>1754</v>
      </c>
      <c r="D671" s="17" t="s">
        <v>1953</v>
      </c>
      <c r="E671" s="26">
        <v>3</v>
      </c>
      <c r="F671" s="26">
        <v>0</v>
      </c>
      <c r="G671" s="26">
        <f>E671*AD671</f>
        <v>0</v>
      </c>
      <c r="H671" s="26">
        <f>I671-G671</f>
        <v>0</v>
      </c>
      <c r="I671" s="26">
        <f>E671*F671</f>
        <v>0</v>
      </c>
      <c r="J671" s="72">
        <v>2E-05</v>
      </c>
      <c r="K671" s="72">
        <f>E671*J671</f>
        <v>6.000000000000001E-05</v>
      </c>
      <c r="L671" s="35" t="s">
        <v>1961</v>
      </c>
      <c r="M671" s="35" t="s">
        <v>122</v>
      </c>
      <c r="N671" s="26">
        <f>IF(M671="5",H671,0)</f>
        <v>0</v>
      </c>
      <c r="Y671" s="26">
        <f>IF(AC671=0,I671,0)</f>
        <v>0</v>
      </c>
      <c r="Z671" s="26">
        <f>IF(AC671=15,I671,0)</f>
        <v>0</v>
      </c>
      <c r="AA671" s="26">
        <f>IF(AC671=21,I671,0)</f>
        <v>0</v>
      </c>
      <c r="AC671" s="12">
        <v>21</v>
      </c>
      <c r="AD671" s="12">
        <f>F671*0.897129186602871</f>
        <v>0</v>
      </c>
      <c r="AE671" s="12">
        <f>F671*(1-0.897129186602871)</f>
        <v>0</v>
      </c>
      <c r="AL671" s="12">
        <f>E671*AD671</f>
        <v>0</v>
      </c>
      <c r="AM671" s="12">
        <f>E671*AE671</f>
        <v>0</v>
      </c>
      <c r="AN671" s="38" t="s">
        <v>2005</v>
      </c>
      <c r="AO671" s="38" t="s">
        <v>2030</v>
      </c>
      <c r="AP671" s="32" t="s">
        <v>2052</v>
      </c>
    </row>
    <row r="672" spans="1:42" ht="12.75">
      <c r="A672" s="50"/>
      <c r="B672" s="17"/>
      <c r="C672" s="24" t="s">
        <v>2094</v>
      </c>
      <c r="D672" s="17"/>
      <c r="E672" s="26"/>
      <c r="F672" s="26"/>
      <c r="G672" s="26"/>
      <c r="H672" s="26"/>
      <c r="I672" s="26"/>
      <c r="J672" s="72"/>
      <c r="K672" s="72"/>
      <c r="L672" s="35"/>
      <c r="M672" s="35"/>
      <c r="N672" s="26"/>
      <c r="Y672" s="26"/>
      <c r="Z672" s="26"/>
      <c r="AA672" s="26"/>
      <c r="AC672" s="12"/>
      <c r="AD672" s="12"/>
      <c r="AE672" s="12"/>
      <c r="AL672" s="12"/>
      <c r="AM672" s="12"/>
      <c r="AN672" s="38"/>
      <c r="AO672" s="38"/>
      <c r="AP672" s="32"/>
    </row>
    <row r="673" spans="1:42" ht="14.25">
      <c r="A673" s="50"/>
      <c r="B673" s="17"/>
      <c r="C673" s="83" t="s">
        <v>2095</v>
      </c>
      <c r="D673" s="17"/>
      <c r="E673" s="26"/>
      <c r="F673" s="26"/>
      <c r="G673" s="26"/>
      <c r="H673" s="26"/>
      <c r="I673" s="26"/>
      <c r="J673" s="72"/>
      <c r="K673" s="72"/>
      <c r="L673" s="35"/>
      <c r="M673" s="35"/>
      <c r="N673" s="26"/>
      <c r="Y673" s="26"/>
      <c r="Z673" s="26"/>
      <c r="AA673" s="26"/>
      <c r="AC673" s="12"/>
      <c r="AD673" s="12"/>
      <c r="AE673" s="12"/>
      <c r="AL673" s="12"/>
      <c r="AM673" s="12"/>
      <c r="AN673" s="38"/>
      <c r="AO673" s="38"/>
      <c r="AP673" s="32"/>
    </row>
    <row r="674" spans="1:42" ht="28.5">
      <c r="A674" s="50"/>
      <c r="B674" s="17"/>
      <c r="C674" s="90" t="s">
        <v>2096</v>
      </c>
      <c r="D674" s="17"/>
      <c r="E674" s="26"/>
      <c r="F674" s="26"/>
      <c r="G674" s="26"/>
      <c r="H674" s="26"/>
      <c r="I674" s="26"/>
      <c r="J674" s="72"/>
      <c r="K674" s="72"/>
      <c r="L674" s="35"/>
      <c r="M674" s="35"/>
      <c r="N674" s="26"/>
      <c r="Y674" s="26"/>
      <c r="Z674" s="26"/>
      <c r="AA674" s="26"/>
      <c r="AC674" s="12"/>
      <c r="AD674" s="12"/>
      <c r="AE674" s="12"/>
      <c r="AL674" s="12"/>
      <c r="AM674" s="12"/>
      <c r="AN674" s="38"/>
      <c r="AO674" s="38"/>
      <c r="AP674" s="32"/>
    </row>
    <row r="675" ht="14.25">
      <c r="C675" s="83" t="s">
        <v>2097</v>
      </c>
    </row>
    <row r="676" spans="1:36" ht="12.75">
      <c r="A676" s="52"/>
      <c r="B676" s="23" t="s">
        <v>30</v>
      </c>
      <c r="C676" s="121" t="s">
        <v>76</v>
      </c>
      <c r="D676" s="122"/>
      <c r="E676" s="122"/>
      <c r="F676" s="122"/>
      <c r="G676" s="40">
        <f>SUM(G677:G771)</f>
        <v>0</v>
      </c>
      <c r="H676" s="40">
        <f>SUM(H677:H771)</f>
        <v>0</v>
      </c>
      <c r="I676" s="40">
        <f>G676+H676</f>
        <v>0</v>
      </c>
      <c r="J676" s="74"/>
      <c r="K676" s="74">
        <f>SUM(K677:K771)</f>
        <v>0</v>
      </c>
      <c r="L676" s="32"/>
      <c r="O676" s="40">
        <f>IF(P676="PR",I676,SUM(N677:N771))</f>
        <v>0</v>
      </c>
      <c r="P676" s="32" t="s">
        <v>1968</v>
      </c>
      <c r="Q676" s="40">
        <f>IF(P676="HS",G676,0)</f>
        <v>0</v>
      </c>
      <c r="R676" s="40">
        <f>IF(P676="HS",H676-O676,0)</f>
        <v>0</v>
      </c>
      <c r="S676" s="40">
        <f>IF(P676="PS",G676,0)</f>
        <v>0</v>
      </c>
      <c r="T676" s="40">
        <f>IF(P676="PS",H676-O676,0)</f>
        <v>0</v>
      </c>
      <c r="U676" s="40">
        <f>IF(P676="MP",G676,0)</f>
        <v>0</v>
      </c>
      <c r="V676" s="40">
        <f>IF(P676="MP",H676-O676,0)</f>
        <v>0</v>
      </c>
      <c r="W676" s="40">
        <f>IF(P676="OM",G676,0)</f>
        <v>0</v>
      </c>
      <c r="X676" s="32"/>
      <c r="AH676" s="40">
        <f>SUM(Y677:Y771)</f>
        <v>0</v>
      </c>
      <c r="AI676" s="40">
        <f>SUM(Z677:Z771)</f>
        <v>0</v>
      </c>
      <c r="AJ676" s="40">
        <f>SUM(AA677:AA771)</f>
        <v>0</v>
      </c>
    </row>
    <row r="677" spans="1:42" ht="12.75">
      <c r="A677" s="50" t="s">
        <v>509</v>
      </c>
      <c r="B677" s="17" t="s">
        <v>1047</v>
      </c>
      <c r="C677" s="17" t="s">
        <v>1755</v>
      </c>
      <c r="D677" s="17" t="s">
        <v>1951</v>
      </c>
      <c r="E677" s="26">
        <v>17</v>
      </c>
      <c r="F677" s="26">
        <v>0</v>
      </c>
      <c r="G677" s="26">
        <f>E677*AD677</f>
        <v>0</v>
      </c>
      <c r="H677" s="26">
        <f>I677-G677</f>
        <v>0</v>
      </c>
      <c r="I677" s="26">
        <f>E677*F677</f>
        <v>0</v>
      </c>
      <c r="J677" s="72">
        <v>0</v>
      </c>
      <c r="K677" s="72">
        <f>E677*J677</f>
        <v>0</v>
      </c>
      <c r="L677" s="35" t="s">
        <v>1961</v>
      </c>
      <c r="M677" s="35" t="s">
        <v>122</v>
      </c>
      <c r="N677" s="26">
        <f>IF(M677="5",H677,0)</f>
        <v>0</v>
      </c>
      <c r="Y677" s="26">
        <f>IF(AC677=0,I677,0)</f>
        <v>0</v>
      </c>
      <c r="Z677" s="26">
        <f>IF(AC677=15,I677,0)</f>
        <v>0</v>
      </c>
      <c r="AA677" s="26">
        <f>IF(AC677=21,I677,0)</f>
        <v>0</v>
      </c>
      <c r="AC677" s="12">
        <v>21</v>
      </c>
      <c r="AD677" s="12">
        <f>F677*0.925373134328358</f>
        <v>0</v>
      </c>
      <c r="AE677" s="12">
        <f>F677*(1-0.925373134328358)</f>
        <v>0</v>
      </c>
      <c r="AL677" s="12">
        <f>E677*AD677</f>
        <v>0</v>
      </c>
      <c r="AM677" s="12">
        <f>E677*AE677</f>
        <v>0</v>
      </c>
      <c r="AN677" s="38" t="s">
        <v>2006</v>
      </c>
      <c r="AO677" s="38" t="s">
        <v>2030</v>
      </c>
      <c r="AP677" s="32" t="s">
        <v>2053</v>
      </c>
    </row>
    <row r="678" ht="12.75">
      <c r="C678" s="24" t="s">
        <v>1705</v>
      </c>
    </row>
    <row r="679" spans="1:42" ht="12.75">
      <c r="A679" s="50" t="s">
        <v>510</v>
      </c>
      <c r="B679" s="17" t="s">
        <v>1048</v>
      </c>
      <c r="C679" s="17" t="s">
        <v>1756</v>
      </c>
      <c r="D679" s="17" t="s">
        <v>1951</v>
      </c>
      <c r="E679" s="26">
        <v>1</v>
      </c>
      <c r="F679" s="26">
        <v>0</v>
      </c>
      <c r="G679" s="26">
        <f>E679*AD679</f>
        <v>0</v>
      </c>
      <c r="H679" s="26">
        <f>I679-G679</f>
        <v>0</v>
      </c>
      <c r="I679" s="26">
        <f>E679*F679</f>
        <v>0</v>
      </c>
      <c r="J679" s="72">
        <v>0</v>
      </c>
      <c r="K679" s="72">
        <f>E679*J679</f>
        <v>0</v>
      </c>
      <c r="L679" s="35" t="s">
        <v>1961</v>
      </c>
      <c r="M679" s="35" t="s">
        <v>122</v>
      </c>
      <c r="N679" s="26">
        <f>IF(M679="5",H679,0)</f>
        <v>0</v>
      </c>
      <c r="Y679" s="26">
        <f>IF(AC679=0,I679,0)</f>
        <v>0</v>
      </c>
      <c r="Z679" s="26">
        <f>IF(AC679=15,I679,0)</f>
        <v>0</v>
      </c>
      <c r="AA679" s="26">
        <f>IF(AC679=21,I679,0)</f>
        <v>0</v>
      </c>
      <c r="AC679" s="12">
        <v>21</v>
      </c>
      <c r="AD679" s="12">
        <f>F679*0.893970893970894</f>
        <v>0</v>
      </c>
      <c r="AE679" s="12">
        <f>F679*(1-0.893970893970894)</f>
        <v>0</v>
      </c>
      <c r="AL679" s="12">
        <f>E679*AD679</f>
        <v>0</v>
      </c>
      <c r="AM679" s="12">
        <f>E679*AE679</f>
        <v>0</v>
      </c>
      <c r="AN679" s="38" t="s">
        <v>2006</v>
      </c>
      <c r="AO679" s="38" t="s">
        <v>2030</v>
      </c>
      <c r="AP679" s="32" t="s">
        <v>2053</v>
      </c>
    </row>
    <row r="680" ht="12.75">
      <c r="C680" s="24" t="s">
        <v>1705</v>
      </c>
    </row>
    <row r="681" spans="1:42" ht="12.75">
      <c r="A681" s="50" t="s">
        <v>511</v>
      </c>
      <c r="B681" s="17" t="s">
        <v>1049</v>
      </c>
      <c r="C681" s="17" t="s">
        <v>1757</v>
      </c>
      <c r="D681" s="17" t="s">
        <v>1951</v>
      </c>
      <c r="E681" s="26">
        <v>1</v>
      </c>
      <c r="F681" s="26">
        <v>0</v>
      </c>
      <c r="G681" s="26">
        <f>E681*AD681</f>
        <v>0</v>
      </c>
      <c r="H681" s="26">
        <f>I681-G681</f>
        <v>0</v>
      </c>
      <c r="I681" s="26">
        <f>E681*F681</f>
        <v>0</v>
      </c>
      <c r="J681" s="72">
        <v>0</v>
      </c>
      <c r="K681" s="72">
        <f>E681*J681</f>
        <v>0</v>
      </c>
      <c r="L681" s="35" t="s">
        <v>1961</v>
      </c>
      <c r="M681" s="35" t="s">
        <v>122</v>
      </c>
      <c r="N681" s="26">
        <f>IF(M681="5",H681,0)</f>
        <v>0</v>
      </c>
      <c r="Y681" s="26">
        <f>IF(AC681=0,I681,0)</f>
        <v>0</v>
      </c>
      <c r="Z681" s="26">
        <f>IF(AC681=15,I681,0)</f>
        <v>0</v>
      </c>
      <c r="AA681" s="26">
        <f>IF(AC681=21,I681,0)</f>
        <v>0</v>
      </c>
      <c r="AC681" s="12">
        <v>21</v>
      </c>
      <c r="AD681" s="12">
        <f>F681*0.91866028708134</f>
        <v>0</v>
      </c>
      <c r="AE681" s="12">
        <f>F681*(1-0.91866028708134)</f>
        <v>0</v>
      </c>
      <c r="AL681" s="12">
        <f>E681*AD681</f>
        <v>0</v>
      </c>
      <c r="AM681" s="12">
        <f>E681*AE681</f>
        <v>0</v>
      </c>
      <c r="AN681" s="38" t="s">
        <v>2006</v>
      </c>
      <c r="AO681" s="38" t="s">
        <v>2030</v>
      </c>
      <c r="AP681" s="32" t="s">
        <v>2053</v>
      </c>
    </row>
    <row r="682" ht="12.75">
      <c r="C682" s="24" t="s">
        <v>1705</v>
      </c>
    </row>
    <row r="683" spans="1:42" ht="12.75">
      <c r="A683" s="50" t="s">
        <v>512</v>
      </c>
      <c r="B683" s="17" t="s">
        <v>1050</v>
      </c>
      <c r="C683" s="17" t="s">
        <v>1758</v>
      </c>
      <c r="D683" s="17" t="s">
        <v>1951</v>
      </c>
      <c r="E683" s="26">
        <v>1</v>
      </c>
      <c r="F683" s="26">
        <v>0</v>
      </c>
      <c r="G683" s="26">
        <f>E683*AD683</f>
        <v>0</v>
      </c>
      <c r="H683" s="26">
        <f>I683-G683</f>
        <v>0</v>
      </c>
      <c r="I683" s="26">
        <f>E683*F683</f>
        <v>0</v>
      </c>
      <c r="J683" s="72">
        <v>0</v>
      </c>
      <c r="K683" s="72">
        <f>E683*J683</f>
        <v>0</v>
      </c>
      <c r="L683" s="35" t="s">
        <v>1961</v>
      </c>
      <c r="M683" s="35" t="s">
        <v>122</v>
      </c>
      <c r="N683" s="26">
        <f>IF(M683="5",H683,0)</f>
        <v>0</v>
      </c>
      <c r="Y683" s="26">
        <f>IF(AC683=0,I683,0)</f>
        <v>0</v>
      </c>
      <c r="Z683" s="26">
        <f>IF(AC683=15,I683,0)</f>
        <v>0</v>
      </c>
      <c r="AA683" s="26">
        <f>IF(AC683=21,I683,0)</f>
        <v>0</v>
      </c>
      <c r="AC683" s="12">
        <v>21</v>
      </c>
      <c r="AD683" s="12">
        <f>F683*0.939903846153846</f>
        <v>0</v>
      </c>
      <c r="AE683" s="12">
        <f>F683*(1-0.939903846153846)</f>
        <v>0</v>
      </c>
      <c r="AL683" s="12">
        <f>E683*AD683</f>
        <v>0</v>
      </c>
      <c r="AM683" s="12">
        <f>E683*AE683</f>
        <v>0</v>
      </c>
      <c r="AN683" s="38" t="s">
        <v>2006</v>
      </c>
      <c r="AO683" s="38" t="s">
        <v>2030</v>
      </c>
      <c r="AP683" s="32" t="s">
        <v>2053</v>
      </c>
    </row>
    <row r="684" ht="12.75">
      <c r="C684" s="24" t="s">
        <v>1705</v>
      </c>
    </row>
    <row r="685" spans="1:42" ht="12.75">
      <c r="A685" s="50" t="s">
        <v>513</v>
      </c>
      <c r="B685" s="17" t="s">
        <v>1051</v>
      </c>
      <c r="C685" s="17" t="s">
        <v>1759</v>
      </c>
      <c r="D685" s="17" t="s">
        <v>1951</v>
      </c>
      <c r="E685" s="26">
        <v>3</v>
      </c>
      <c r="F685" s="26">
        <v>0</v>
      </c>
      <c r="G685" s="26">
        <f>E685*AD685</f>
        <v>0</v>
      </c>
      <c r="H685" s="26">
        <f>I685-G685</f>
        <v>0</v>
      </c>
      <c r="I685" s="26">
        <f>E685*F685</f>
        <v>0</v>
      </c>
      <c r="J685" s="72">
        <v>0</v>
      </c>
      <c r="K685" s="72">
        <f>E685*J685</f>
        <v>0</v>
      </c>
      <c r="L685" s="35" t="s">
        <v>1961</v>
      </c>
      <c r="M685" s="35" t="s">
        <v>122</v>
      </c>
      <c r="N685" s="26">
        <f>IF(M685="5",H685,0)</f>
        <v>0</v>
      </c>
      <c r="Y685" s="26">
        <f>IF(AC685=0,I685,0)</f>
        <v>0</v>
      </c>
      <c r="Z685" s="26">
        <f>IF(AC685=15,I685,0)</f>
        <v>0</v>
      </c>
      <c r="AA685" s="26">
        <f>IF(AC685=21,I685,0)</f>
        <v>0</v>
      </c>
      <c r="AC685" s="12">
        <v>21</v>
      </c>
      <c r="AD685" s="12">
        <f>F685*0.945652173913043</f>
        <v>0</v>
      </c>
      <c r="AE685" s="12">
        <f>F685*(1-0.945652173913043)</f>
        <v>0</v>
      </c>
      <c r="AL685" s="12">
        <f>E685*AD685</f>
        <v>0</v>
      </c>
      <c r="AM685" s="12">
        <f>E685*AE685</f>
        <v>0</v>
      </c>
      <c r="AN685" s="38" t="s">
        <v>2006</v>
      </c>
      <c r="AO685" s="38" t="s">
        <v>2030</v>
      </c>
      <c r="AP685" s="32" t="s">
        <v>2053</v>
      </c>
    </row>
    <row r="686" ht="12.75">
      <c r="C686" s="24" t="s">
        <v>1705</v>
      </c>
    </row>
    <row r="687" spans="1:42" ht="12.75">
      <c r="A687" s="50" t="s">
        <v>514</v>
      </c>
      <c r="B687" s="17" t="s">
        <v>1052</v>
      </c>
      <c r="C687" s="17" t="s">
        <v>1760</v>
      </c>
      <c r="D687" s="17" t="s">
        <v>1951</v>
      </c>
      <c r="E687" s="26">
        <v>1</v>
      </c>
      <c r="F687" s="26">
        <v>0</v>
      </c>
      <c r="G687" s="26">
        <f>E687*AD687</f>
        <v>0</v>
      </c>
      <c r="H687" s="26">
        <f>I687-G687</f>
        <v>0</v>
      </c>
      <c r="I687" s="26">
        <f>E687*F687</f>
        <v>0</v>
      </c>
      <c r="J687" s="72">
        <v>0</v>
      </c>
      <c r="K687" s="72">
        <f>E687*J687</f>
        <v>0</v>
      </c>
      <c r="L687" s="35" t="s">
        <v>1961</v>
      </c>
      <c r="M687" s="35" t="s">
        <v>122</v>
      </c>
      <c r="N687" s="26">
        <f>IF(M687="5",H687,0)</f>
        <v>0</v>
      </c>
      <c r="Y687" s="26">
        <f>IF(AC687=0,I687,0)</f>
        <v>0</v>
      </c>
      <c r="Z687" s="26">
        <f>IF(AC687=15,I687,0)</f>
        <v>0</v>
      </c>
      <c r="AA687" s="26">
        <f>IF(AC687=21,I687,0)</f>
        <v>0</v>
      </c>
      <c r="AC687" s="12">
        <v>21</v>
      </c>
      <c r="AD687" s="12">
        <f>F687*0.914046121593291</f>
        <v>0</v>
      </c>
      <c r="AE687" s="12">
        <f>F687*(1-0.914046121593291)</f>
        <v>0</v>
      </c>
      <c r="AL687" s="12">
        <f>E687*AD687</f>
        <v>0</v>
      </c>
      <c r="AM687" s="12">
        <f>E687*AE687</f>
        <v>0</v>
      </c>
      <c r="AN687" s="38" t="s">
        <v>2006</v>
      </c>
      <c r="AO687" s="38" t="s">
        <v>2030</v>
      </c>
      <c r="AP687" s="32" t="s">
        <v>2053</v>
      </c>
    </row>
    <row r="688" ht="12.75">
      <c r="C688" s="24" t="s">
        <v>1705</v>
      </c>
    </row>
    <row r="689" spans="1:42" ht="12.75">
      <c r="A689" s="50" t="s">
        <v>515</v>
      </c>
      <c r="B689" s="17" t="s">
        <v>1053</v>
      </c>
      <c r="C689" s="17" t="s">
        <v>1761</v>
      </c>
      <c r="D689" s="17" t="s">
        <v>1951</v>
      </c>
      <c r="E689" s="26">
        <v>1</v>
      </c>
      <c r="F689" s="26">
        <v>0</v>
      </c>
      <c r="G689" s="26">
        <f>E689*AD689</f>
        <v>0</v>
      </c>
      <c r="H689" s="26">
        <f>I689-G689</f>
        <v>0</v>
      </c>
      <c r="I689" s="26">
        <f>E689*F689</f>
        <v>0</v>
      </c>
      <c r="J689" s="72">
        <v>0</v>
      </c>
      <c r="K689" s="72">
        <f>E689*J689</f>
        <v>0</v>
      </c>
      <c r="L689" s="35" t="s">
        <v>1961</v>
      </c>
      <c r="M689" s="35" t="s">
        <v>122</v>
      </c>
      <c r="N689" s="26">
        <f>IF(M689="5",H689,0)</f>
        <v>0</v>
      </c>
      <c r="Y689" s="26">
        <f>IF(AC689=0,I689,0)</f>
        <v>0</v>
      </c>
      <c r="Z689" s="26">
        <f>IF(AC689=15,I689,0)</f>
        <v>0</v>
      </c>
      <c r="AA689" s="26">
        <f>IF(AC689=21,I689,0)</f>
        <v>0</v>
      </c>
      <c r="AC689" s="12">
        <v>21</v>
      </c>
      <c r="AD689" s="12">
        <f>F689*0.916467780429594</f>
        <v>0</v>
      </c>
      <c r="AE689" s="12">
        <f>F689*(1-0.916467780429594)</f>
        <v>0</v>
      </c>
      <c r="AL689" s="12">
        <f>E689*AD689</f>
        <v>0</v>
      </c>
      <c r="AM689" s="12">
        <f>E689*AE689</f>
        <v>0</v>
      </c>
      <c r="AN689" s="38" t="s">
        <v>2006</v>
      </c>
      <c r="AO689" s="38" t="s">
        <v>2030</v>
      </c>
      <c r="AP689" s="32" t="s">
        <v>2053</v>
      </c>
    </row>
    <row r="690" ht="12.75">
      <c r="C690" s="24" t="s">
        <v>1705</v>
      </c>
    </row>
    <row r="691" spans="1:42" s="60" customFormat="1" ht="26.25">
      <c r="A691" s="56" t="s">
        <v>516</v>
      </c>
      <c r="B691" s="57" t="s">
        <v>1054</v>
      </c>
      <c r="C691" s="57" t="s">
        <v>1762</v>
      </c>
      <c r="D691" s="57" t="s">
        <v>1951</v>
      </c>
      <c r="E691" s="58">
        <v>1</v>
      </c>
      <c r="F691" s="58">
        <v>0</v>
      </c>
      <c r="G691" s="58">
        <f>E691*AD691</f>
        <v>0</v>
      </c>
      <c r="H691" s="58">
        <f>I691-G691</f>
        <v>0</v>
      </c>
      <c r="I691" s="58">
        <f>E691*F691</f>
        <v>0</v>
      </c>
      <c r="J691" s="77">
        <v>0</v>
      </c>
      <c r="K691" s="77">
        <f>E691*J691</f>
        <v>0</v>
      </c>
      <c r="L691" s="59" t="s">
        <v>1961</v>
      </c>
      <c r="M691" s="59" t="s">
        <v>122</v>
      </c>
      <c r="N691" s="58">
        <f>IF(M691="5",H691,0)</f>
        <v>0</v>
      </c>
      <c r="Y691" s="58">
        <f>IF(AC691=0,I691,0)</f>
        <v>0</v>
      </c>
      <c r="Z691" s="58">
        <f>IF(AC691=15,I691,0)</f>
        <v>0</v>
      </c>
      <c r="AA691" s="58">
        <f>IF(AC691=21,I691,0)</f>
        <v>0</v>
      </c>
      <c r="AC691" s="61">
        <v>21</v>
      </c>
      <c r="AD691" s="61">
        <f>F691*0.972241029113067</f>
        <v>0</v>
      </c>
      <c r="AE691" s="61">
        <f>F691*(1-0.972241029113067)</f>
        <v>0</v>
      </c>
      <c r="AL691" s="61">
        <f>E691*AD691</f>
        <v>0</v>
      </c>
      <c r="AM691" s="61">
        <f>E691*AE691</f>
        <v>0</v>
      </c>
      <c r="AN691" s="62" t="s">
        <v>2006</v>
      </c>
      <c r="AO691" s="62" t="s">
        <v>2030</v>
      </c>
      <c r="AP691" s="63" t="s">
        <v>2053</v>
      </c>
    </row>
    <row r="692" ht="12.75">
      <c r="C692" s="24" t="s">
        <v>1705</v>
      </c>
    </row>
    <row r="693" spans="1:42" s="60" customFormat="1" ht="26.25">
      <c r="A693" s="56" t="s">
        <v>517</v>
      </c>
      <c r="B693" s="57" t="s">
        <v>1055</v>
      </c>
      <c r="C693" s="57" t="s">
        <v>1763</v>
      </c>
      <c r="D693" s="57" t="s">
        <v>1951</v>
      </c>
      <c r="E693" s="58">
        <v>4</v>
      </c>
      <c r="F693" s="58">
        <v>0</v>
      </c>
      <c r="G693" s="58">
        <f>E693*AD693</f>
        <v>0</v>
      </c>
      <c r="H693" s="58">
        <f>I693-G693</f>
        <v>0</v>
      </c>
      <c r="I693" s="58">
        <f>E693*F693</f>
        <v>0</v>
      </c>
      <c r="J693" s="77">
        <v>0</v>
      </c>
      <c r="K693" s="77">
        <f>E693*J693</f>
        <v>0</v>
      </c>
      <c r="L693" s="59" t="s">
        <v>1961</v>
      </c>
      <c r="M693" s="59" t="s">
        <v>122</v>
      </c>
      <c r="N693" s="58">
        <f>IF(M693="5",H693,0)</f>
        <v>0</v>
      </c>
      <c r="Y693" s="58">
        <f>IF(AC693=0,I693,0)</f>
        <v>0</v>
      </c>
      <c r="Z693" s="58">
        <f>IF(AC693=15,I693,0)</f>
        <v>0</v>
      </c>
      <c r="AA693" s="58">
        <f>IF(AC693=21,I693,0)</f>
        <v>0</v>
      </c>
      <c r="AC693" s="61">
        <v>21</v>
      </c>
      <c r="AD693" s="61">
        <f>F693*0.968722073279714</f>
        <v>0</v>
      </c>
      <c r="AE693" s="61">
        <f>F693*(1-0.968722073279714)</f>
        <v>0</v>
      </c>
      <c r="AL693" s="61">
        <f>E693*AD693</f>
        <v>0</v>
      </c>
      <c r="AM693" s="61">
        <f>E693*AE693</f>
        <v>0</v>
      </c>
      <c r="AN693" s="62" t="s">
        <v>2006</v>
      </c>
      <c r="AO693" s="62" t="s">
        <v>2030</v>
      </c>
      <c r="AP693" s="63" t="s">
        <v>2053</v>
      </c>
    </row>
    <row r="694" ht="12.75">
      <c r="C694" s="24" t="s">
        <v>1705</v>
      </c>
    </row>
    <row r="695" spans="1:42" ht="12.75">
      <c r="A695" s="50" t="s">
        <v>518</v>
      </c>
      <c r="B695" s="17" t="s">
        <v>1056</v>
      </c>
      <c r="C695" s="17" t="s">
        <v>1764</v>
      </c>
      <c r="D695" s="17" t="s">
        <v>1951</v>
      </c>
      <c r="E695" s="26">
        <v>1</v>
      </c>
      <c r="F695" s="26">
        <v>0</v>
      </c>
      <c r="G695" s="26">
        <f>E695*AD695</f>
        <v>0</v>
      </c>
      <c r="H695" s="26">
        <f>I695-G695</f>
        <v>0</v>
      </c>
      <c r="I695" s="26">
        <f>E695*F695</f>
        <v>0</v>
      </c>
      <c r="J695" s="72">
        <v>0</v>
      </c>
      <c r="K695" s="72">
        <f>E695*J695</f>
        <v>0</v>
      </c>
      <c r="L695" s="35" t="s">
        <v>1961</v>
      </c>
      <c r="M695" s="35" t="s">
        <v>122</v>
      </c>
      <c r="N695" s="26">
        <f>IF(M695="5",H695,0)</f>
        <v>0</v>
      </c>
      <c r="Y695" s="26">
        <f>IF(AC695=0,I695,0)</f>
        <v>0</v>
      </c>
      <c r="Z695" s="26">
        <f>IF(AC695=15,I695,0)</f>
        <v>0</v>
      </c>
      <c r="AA695" s="26">
        <f>IF(AC695=21,I695,0)</f>
        <v>0</v>
      </c>
      <c r="AC695" s="12">
        <v>21</v>
      </c>
      <c r="AD695" s="12">
        <f>F695*0.942949407965554</f>
        <v>0</v>
      </c>
      <c r="AE695" s="12">
        <f>F695*(1-0.942949407965554)</f>
        <v>0</v>
      </c>
      <c r="AL695" s="12">
        <f>E695*AD695</f>
        <v>0</v>
      </c>
      <c r="AM695" s="12">
        <f>E695*AE695</f>
        <v>0</v>
      </c>
      <c r="AN695" s="38" t="s">
        <v>2006</v>
      </c>
      <c r="AO695" s="38" t="s">
        <v>2030</v>
      </c>
      <c r="AP695" s="32" t="s">
        <v>2053</v>
      </c>
    </row>
    <row r="696" ht="12.75">
      <c r="C696" s="24" t="s">
        <v>1705</v>
      </c>
    </row>
    <row r="697" spans="1:42" ht="12.75">
      <c r="A697" s="50" t="s">
        <v>519</v>
      </c>
      <c r="B697" s="17" t="s">
        <v>1057</v>
      </c>
      <c r="C697" s="17" t="s">
        <v>1765</v>
      </c>
      <c r="D697" s="17" t="s">
        <v>1951</v>
      </c>
      <c r="E697" s="26">
        <v>2</v>
      </c>
      <c r="F697" s="26">
        <v>0</v>
      </c>
      <c r="G697" s="26">
        <f>E697*AD697</f>
        <v>0</v>
      </c>
      <c r="H697" s="26">
        <f>I697-G697</f>
        <v>0</v>
      </c>
      <c r="I697" s="26">
        <f>E697*F697</f>
        <v>0</v>
      </c>
      <c r="J697" s="72">
        <v>0</v>
      </c>
      <c r="K697" s="72">
        <f>E697*J697</f>
        <v>0</v>
      </c>
      <c r="L697" s="35" t="s">
        <v>1961</v>
      </c>
      <c r="M697" s="35" t="s">
        <v>122</v>
      </c>
      <c r="N697" s="26">
        <f>IF(M697="5",H697,0)</f>
        <v>0</v>
      </c>
      <c r="Y697" s="26">
        <f>IF(AC697=0,I697,0)</f>
        <v>0</v>
      </c>
      <c r="Z697" s="26">
        <f>IF(AC697=15,I697,0)</f>
        <v>0</v>
      </c>
      <c r="AA697" s="26">
        <f>IF(AC697=21,I697,0)</f>
        <v>0</v>
      </c>
      <c r="AC697" s="12">
        <v>21</v>
      </c>
      <c r="AD697" s="12">
        <f>F697*0.905149051490515</f>
        <v>0</v>
      </c>
      <c r="AE697" s="12">
        <f>F697*(1-0.905149051490515)</f>
        <v>0</v>
      </c>
      <c r="AL697" s="12">
        <f>E697*AD697</f>
        <v>0</v>
      </c>
      <c r="AM697" s="12">
        <f>E697*AE697</f>
        <v>0</v>
      </c>
      <c r="AN697" s="38" t="s">
        <v>2006</v>
      </c>
      <c r="AO697" s="38" t="s">
        <v>2030</v>
      </c>
      <c r="AP697" s="32" t="s">
        <v>2053</v>
      </c>
    </row>
    <row r="698" ht="12.75">
      <c r="C698" s="24" t="s">
        <v>1705</v>
      </c>
    </row>
    <row r="699" spans="1:42" ht="12.75">
      <c r="A699" s="50" t="s">
        <v>520</v>
      </c>
      <c r="B699" s="17" t="s">
        <v>1058</v>
      </c>
      <c r="C699" s="17" t="s">
        <v>1766</v>
      </c>
      <c r="D699" s="17" t="s">
        <v>1951</v>
      </c>
      <c r="E699" s="26">
        <v>16</v>
      </c>
      <c r="F699" s="26">
        <v>0</v>
      </c>
      <c r="G699" s="26">
        <f>E699*AD699</f>
        <v>0</v>
      </c>
      <c r="H699" s="26">
        <f>I699-G699</f>
        <v>0</v>
      </c>
      <c r="I699" s="26">
        <f>E699*F699</f>
        <v>0</v>
      </c>
      <c r="J699" s="72">
        <v>0</v>
      </c>
      <c r="K699" s="72">
        <f>E699*J699</f>
        <v>0</v>
      </c>
      <c r="L699" s="35" t="s">
        <v>1961</v>
      </c>
      <c r="M699" s="35" t="s">
        <v>122</v>
      </c>
      <c r="N699" s="26">
        <f>IF(M699="5",H699,0)</f>
        <v>0</v>
      </c>
      <c r="Y699" s="26">
        <f>IF(AC699=0,I699,0)</f>
        <v>0</v>
      </c>
      <c r="Z699" s="26">
        <f>IF(AC699=15,I699,0)</f>
        <v>0</v>
      </c>
      <c r="AA699" s="26">
        <f>IF(AC699=21,I699,0)</f>
        <v>0</v>
      </c>
      <c r="AC699" s="12">
        <v>21</v>
      </c>
      <c r="AD699" s="12">
        <f>F699*0.947145877378435</f>
        <v>0</v>
      </c>
      <c r="AE699" s="12">
        <f>F699*(1-0.947145877378435)</f>
        <v>0</v>
      </c>
      <c r="AL699" s="12">
        <f>E699*AD699</f>
        <v>0</v>
      </c>
      <c r="AM699" s="12">
        <f>E699*AE699</f>
        <v>0</v>
      </c>
      <c r="AN699" s="38" t="s">
        <v>2006</v>
      </c>
      <c r="AO699" s="38" t="s">
        <v>2030</v>
      </c>
      <c r="AP699" s="32" t="s">
        <v>2053</v>
      </c>
    </row>
    <row r="700" ht="12.75">
      <c r="C700" s="24" t="s">
        <v>1767</v>
      </c>
    </row>
    <row r="701" spans="1:42" ht="12.75">
      <c r="A701" s="50" t="s">
        <v>521</v>
      </c>
      <c r="B701" s="17" t="s">
        <v>1059</v>
      </c>
      <c r="C701" s="17" t="s">
        <v>1768</v>
      </c>
      <c r="D701" s="17" t="s">
        <v>1951</v>
      </c>
      <c r="E701" s="26">
        <v>3</v>
      </c>
      <c r="F701" s="26">
        <v>0</v>
      </c>
      <c r="G701" s="26">
        <f>E701*AD701</f>
        <v>0</v>
      </c>
      <c r="H701" s="26">
        <f>I701-G701</f>
        <v>0</v>
      </c>
      <c r="I701" s="26">
        <f>E701*F701</f>
        <v>0</v>
      </c>
      <c r="J701" s="72">
        <v>0</v>
      </c>
      <c r="K701" s="72">
        <f>E701*J701</f>
        <v>0</v>
      </c>
      <c r="L701" s="35" t="s">
        <v>1961</v>
      </c>
      <c r="M701" s="35" t="s">
        <v>122</v>
      </c>
      <c r="N701" s="26">
        <f>IF(M701="5",H701,0)</f>
        <v>0</v>
      </c>
      <c r="Y701" s="26">
        <f>IF(AC701=0,I701,0)</f>
        <v>0</v>
      </c>
      <c r="Z701" s="26">
        <f>IF(AC701=15,I701,0)</f>
        <v>0</v>
      </c>
      <c r="AA701" s="26">
        <f>IF(AC701=21,I701,0)</f>
        <v>0</v>
      </c>
      <c r="AC701" s="12">
        <v>21</v>
      </c>
      <c r="AD701" s="12">
        <f>F701*0.933932759968726</f>
        <v>0</v>
      </c>
      <c r="AE701" s="12">
        <f>F701*(1-0.933932759968726)</f>
        <v>0</v>
      </c>
      <c r="AL701" s="12">
        <f>E701*AD701</f>
        <v>0</v>
      </c>
      <c r="AM701" s="12">
        <f>E701*AE701</f>
        <v>0</v>
      </c>
      <c r="AN701" s="38" t="s">
        <v>2006</v>
      </c>
      <c r="AO701" s="38" t="s">
        <v>2030</v>
      </c>
      <c r="AP701" s="32" t="s">
        <v>2053</v>
      </c>
    </row>
    <row r="702" ht="12.75">
      <c r="C702" s="24" t="s">
        <v>1767</v>
      </c>
    </row>
    <row r="703" spans="1:42" ht="12.75">
      <c r="A703" s="50" t="s">
        <v>522</v>
      </c>
      <c r="B703" s="17" t="s">
        <v>1060</v>
      </c>
      <c r="C703" s="17" t="s">
        <v>1769</v>
      </c>
      <c r="D703" s="17" t="s">
        <v>1951</v>
      </c>
      <c r="E703" s="26">
        <v>1</v>
      </c>
      <c r="F703" s="26">
        <v>0</v>
      </c>
      <c r="G703" s="26">
        <f>E703*AD703</f>
        <v>0</v>
      </c>
      <c r="H703" s="26">
        <f>I703-G703</f>
        <v>0</v>
      </c>
      <c r="I703" s="26">
        <f>E703*F703</f>
        <v>0</v>
      </c>
      <c r="J703" s="72">
        <v>0</v>
      </c>
      <c r="K703" s="72">
        <f>E703*J703</f>
        <v>0</v>
      </c>
      <c r="L703" s="35" t="s">
        <v>1961</v>
      </c>
      <c r="M703" s="35" t="s">
        <v>122</v>
      </c>
      <c r="N703" s="26">
        <f>IF(M703="5",H703,0)</f>
        <v>0</v>
      </c>
      <c r="Y703" s="26">
        <f>IF(AC703=0,I703,0)</f>
        <v>0</v>
      </c>
      <c r="Z703" s="26">
        <f>IF(AC703=15,I703,0)</f>
        <v>0</v>
      </c>
      <c r="AA703" s="26">
        <f>IF(AC703=21,I703,0)</f>
        <v>0</v>
      </c>
      <c r="AC703" s="12">
        <v>21</v>
      </c>
      <c r="AD703" s="12">
        <f>F703*0.900343642611684</f>
        <v>0</v>
      </c>
      <c r="AE703" s="12">
        <f>F703*(1-0.900343642611684)</f>
        <v>0</v>
      </c>
      <c r="AL703" s="12">
        <f>E703*AD703</f>
        <v>0</v>
      </c>
      <c r="AM703" s="12">
        <f>E703*AE703</f>
        <v>0</v>
      </c>
      <c r="AN703" s="38" t="s">
        <v>2006</v>
      </c>
      <c r="AO703" s="38" t="s">
        <v>2030</v>
      </c>
      <c r="AP703" s="32" t="s">
        <v>2053</v>
      </c>
    </row>
    <row r="704" ht="12.75">
      <c r="C704" s="24" t="s">
        <v>1705</v>
      </c>
    </row>
    <row r="705" spans="1:42" s="60" customFormat="1" ht="26.25">
      <c r="A705" s="56" t="s">
        <v>523</v>
      </c>
      <c r="B705" s="57" t="s">
        <v>1061</v>
      </c>
      <c r="C705" s="57" t="s">
        <v>1770</v>
      </c>
      <c r="D705" s="57" t="s">
        <v>1951</v>
      </c>
      <c r="E705" s="58">
        <v>1</v>
      </c>
      <c r="F705" s="58">
        <v>0</v>
      </c>
      <c r="G705" s="58">
        <f>E705*AD705</f>
        <v>0</v>
      </c>
      <c r="H705" s="58">
        <f>I705-G705</f>
        <v>0</v>
      </c>
      <c r="I705" s="58">
        <f>E705*F705</f>
        <v>0</v>
      </c>
      <c r="J705" s="77">
        <v>0</v>
      </c>
      <c r="K705" s="77">
        <f>E705*J705</f>
        <v>0</v>
      </c>
      <c r="L705" s="59" t="s">
        <v>1961</v>
      </c>
      <c r="M705" s="59" t="s">
        <v>122</v>
      </c>
      <c r="N705" s="58">
        <f>IF(M705="5",H705,0)</f>
        <v>0</v>
      </c>
      <c r="Y705" s="58">
        <f>IF(AC705=0,I705,0)</f>
        <v>0</v>
      </c>
      <c r="Z705" s="58">
        <f>IF(AC705=15,I705,0)</f>
        <v>0</v>
      </c>
      <c r="AA705" s="58">
        <f>IF(AC705=21,I705,0)</f>
        <v>0</v>
      </c>
      <c r="AC705" s="61">
        <v>21</v>
      </c>
      <c r="AD705" s="61">
        <f>F705*0.968421052631579</f>
        <v>0</v>
      </c>
      <c r="AE705" s="61">
        <f>F705*(1-0.968421052631579)</f>
        <v>0</v>
      </c>
      <c r="AL705" s="61">
        <f>E705*AD705</f>
        <v>0</v>
      </c>
      <c r="AM705" s="61">
        <f>E705*AE705</f>
        <v>0</v>
      </c>
      <c r="AN705" s="62" t="s">
        <v>2006</v>
      </c>
      <c r="AO705" s="62" t="s">
        <v>2030</v>
      </c>
      <c r="AP705" s="63" t="s">
        <v>2053</v>
      </c>
    </row>
    <row r="706" ht="12.75">
      <c r="C706" s="24" t="s">
        <v>1705</v>
      </c>
    </row>
    <row r="707" spans="1:42" s="60" customFormat="1" ht="26.25">
      <c r="A707" s="56" t="s">
        <v>524</v>
      </c>
      <c r="B707" s="57" t="s">
        <v>1062</v>
      </c>
      <c r="C707" s="57" t="s">
        <v>1771</v>
      </c>
      <c r="D707" s="57" t="s">
        <v>1951</v>
      </c>
      <c r="E707" s="58">
        <v>1</v>
      </c>
      <c r="F707" s="58">
        <v>0</v>
      </c>
      <c r="G707" s="58">
        <f>E707*AD707</f>
        <v>0</v>
      </c>
      <c r="H707" s="58">
        <f>I707-G707</f>
        <v>0</v>
      </c>
      <c r="I707" s="58">
        <f>E707*F707</f>
        <v>0</v>
      </c>
      <c r="J707" s="77">
        <v>0</v>
      </c>
      <c r="K707" s="77">
        <f>E707*J707</f>
        <v>0</v>
      </c>
      <c r="L707" s="59" t="s">
        <v>1961</v>
      </c>
      <c r="M707" s="59" t="s">
        <v>122</v>
      </c>
      <c r="N707" s="58">
        <f>IF(M707="5",H707,0)</f>
        <v>0</v>
      </c>
      <c r="Y707" s="58">
        <f>IF(AC707=0,I707,0)</f>
        <v>0</v>
      </c>
      <c r="Z707" s="58">
        <f>IF(AC707=15,I707,0)</f>
        <v>0</v>
      </c>
      <c r="AA707" s="58">
        <f>IF(AC707=21,I707,0)</f>
        <v>0</v>
      </c>
      <c r="AC707" s="61">
        <v>21</v>
      </c>
      <c r="AD707" s="61">
        <f>F707*0.950612072604474</f>
        <v>0</v>
      </c>
      <c r="AE707" s="61">
        <f>F707*(1-0.950612072604474)</f>
        <v>0</v>
      </c>
      <c r="AL707" s="61">
        <f>E707*AD707</f>
        <v>0</v>
      </c>
      <c r="AM707" s="61">
        <f>E707*AE707</f>
        <v>0</v>
      </c>
      <c r="AN707" s="62" t="s">
        <v>2006</v>
      </c>
      <c r="AO707" s="62" t="s">
        <v>2030</v>
      </c>
      <c r="AP707" s="63" t="s">
        <v>2053</v>
      </c>
    </row>
    <row r="708" ht="12.75">
      <c r="C708" s="24" t="s">
        <v>1705</v>
      </c>
    </row>
    <row r="709" spans="1:42" ht="12.75">
      <c r="A709" s="50" t="s">
        <v>525</v>
      </c>
      <c r="B709" s="17" t="s">
        <v>1063</v>
      </c>
      <c r="C709" s="17" t="s">
        <v>1772</v>
      </c>
      <c r="D709" s="17" t="s">
        <v>1951</v>
      </c>
      <c r="E709" s="26">
        <v>3</v>
      </c>
      <c r="F709" s="26">
        <v>0</v>
      </c>
      <c r="G709" s="26">
        <f>E709*AD709</f>
        <v>0</v>
      </c>
      <c r="H709" s="26">
        <f>I709-G709</f>
        <v>0</v>
      </c>
      <c r="I709" s="26">
        <f>E709*F709</f>
        <v>0</v>
      </c>
      <c r="J709" s="72">
        <v>0</v>
      </c>
      <c r="K709" s="72">
        <f>E709*J709</f>
        <v>0</v>
      </c>
      <c r="L709" s="35" t="s">
        <v>1961</v>
      </c>
      <c r="M709" s="35" t="s">
        <v>122</v>
      </c>
      <c r="N709" s="26">
        <f>IF(M709="5",H709,0)</f>
        <v>0</v>
      </c>
      <c r="Y709" s="26">
        <f>IF(AC709=0,I709,0)</f>
        <v>0</v>
      </c>
      <c r="Z709" s="26">
        <f>IF(AC709=15,I709,0)</f>
        <v>0</v>
      </c>
      <c r="AA709" s="26">
        <f>IF(AC709=21,I709,0)</f>
        <v>0</v>
      </c>
      <c r="AC709" s="12">
        <v>21</v>
      </c>
      <c r="AD709" s="12">
        <f>F709*0.911909795630726</f>
        <v>0</v>
      </c>
      <c r="AE709" s="12">
        <f>F709*(1-0.911909795630726)</f>
        <v>0</v>
      </c>
      <c r="AL709" s="12">
        <f>E709*AD709</f>
        <v>0</v>
      </c>
      <c r="AM709" s="12">
        <f>E709*AE709</f>
        <v>0</v>
      </c>
      <c r="AN709" s="38" t="s">
        <v>2006</v>
      </c>
      <c r="AO709" s="38" t="s">
        <v>2030</v>
      </c>
      <c r="AP709" s="32" t="s">
        <v>2053</v>
      </c>
    </row>
    <row r="710" ht="12.75">
      <c r="C710" s="24" t="s">
        <v>1705</v>
      </c>
    </row>
    <row r="711" spans="1:42" ht="12.75">
      <c r="A711" s="50" t="s">
        <v>526</v>
      </c>
      <c r="B711" s="17" t="s">
        <v>1064</v>
      </c>
      <c r="C711" s="17" t="s">
        <v>1773</v>
      </c>
      <c r="D711" s="17" t="s">
        <v>1951</v>
      </c>
      <c r="E711" s="26">
        <v>3</v>
      </c>
      <c r="F711" s="26">
        <v>0</v>
      </c>
      <c r="G711" s="26">
        <f>E711*AD711</f>
        <v>0</v>
      </c>
      <c r="H711" s="26">
        <f>I711-G711</f>
        <v>0</v>
      </c>
      <c r="I711" s="26">
        <f>E711*F711</f>
        <v>0</v>
      </c>
      <c r="J711" s="72">
        <v>0</v>
      </c>
      <c r="K711" s="72">
        <f>E711*J711</f>
        <v>0</v>
      </c>
      <c r="L711" s="35" t="s">
        <v>1961</v>
      </c>
      <c r="M711" s="35" t="s">
        <v>122</v>
      </c>
      <c r="N711" s="26">
        <f>IF(M711="5",H711,0)</f>
        <v>0</v>
      </c>
      <c r="Y711" s="26">
        <f>IF(AC711=0,I711,0)</f>
        <v>0</v>
      </c>
      <c r="Z711" s="26">
        <f>IF(AC711=15,I711,0)</f>
        <v>0</v>
      </c>
      <c r="AA711" s="26">
        <f>IF(AC711=21,I711,0)</f>
        <v>0</v>
      </c>
      <c r="AC711" s="12">
        <v>21</v>
      </c>
      <c r="AD711" s="12">
        <f>F711*0.916445623342175</f>
        <v>0</v>
      </c>
      <c r="AE711" s="12">
        <f>F711*(1-0.916445623342175)</f>
        <v>0</v>
      </c>
      <c r="AL711" s="12">
        <f>E711*AD711</f>
        <v>0</v>
      </c>
      <c r="AM711" s="12">
        <f>E711*AE711</f>
        <v>0</v>
      </c>
      <c r="AN711" s="38" t="s">
        <v>2006</v>
      </c>
      <c r="AO711" s="38" t="s">
        <v>2030</v>
      </c>
      <c r="AP711" s="32" t="s">
        <v>2053</v>
      </c>
    </row>
    <row r="712" ht="12.75">
      <c r="C712" s="24" t="s">
        <v>1705</v>
      </c>
    </row>
    <row r="713" spans="1:42" ht="12.75">
      <c r="A713" s="50" t="s">
        <v>527</v>
      </c>
      <c r="B713" s="17" t="s">
        <v>1065</v>
      </c>
      <c r="C713" s="17" t="s">
        <v>1774</v>
      </c>
      <c r="D713" s="17" t="s">
        <v>1951</v>
      </c>
      <c r="E713" s="26">
        <v>1</v>
      </c>
      <c r="F713" s="26">
        <v>0</v>
      </c>
      <c r="G713" s="26">
        <f>E713*AD713</f>
        <v>0</v>
      </c>
      <c r="H713" s="26">
        <f>I713-G713</f>
        <v>0</v>
      </c>
      <c r="I713" s="26">
        <f>E713*F713</f>
        <v>0</v>
      </c>
      <c r="J713" s="72">
        <v>0</v>
      </c>
      <c r="K713" s="72">
        <f>E713*J713</f>
        <v>0</v>
      </c>
      <c r="L713" s="35" t="s">
        <v>1961</v>
      </c>
      <c r="M713" s="35" t="s">
        <v>122</v>
      </c>
      <c r="N713" s="26">
        <f>IF(M713="5",H713,0)</f>
        <v>0</v>
      </c>
      <c r="Y713" s="26">
        <f>IF(AC713=0,I713,0)</f>
        <v>0</v>
      </c>
      <c r="Z713" s="26">
        <f>IF(AC713=15,I713,0)</f>
        <v>0</v>
      </c>
      <c r="AA713" s="26">
        <f>IF(AC713=21,I713,0)</f>
        <v>0</v>
      </c>
      <c r="AC713" s="12">
        <v>21</v>
      </c>
      <c r="AD713" s="12">
        <f>F713*0.911541119557706</f>
        <v>0</v>
      </c>
      <c r="AE713" s="12">
        <f>F713*(1-0.911541119557706)</f>
        <v>0</v>
      </c>
      <c r="AL713" s="12">
        <f>E713*AD713</f>
        <v>0</v>
      </c>
      <c r="AM713" s="12">
        <f>E713*AE713</f>
        <v>0</v>
      </c>
      <c r="AN713" s="38" t="s">
        <v>2006</v>
      </c>
      <c r="AO713" s="38" t="s">
        <v>2030</v>
      </c>
      <c r="AP713" s="32" t="s">
        <v>2053</v>
      </c>
    </row>
    <row r="714" ht="12.75">
      <c r="C714" s="24" t="s">
        <v>1705</v>
      </c>
    </row>
    <row r="715" spans="1:42" ht="12.75">
      <c r="A715" s="50" t="s">
        <v>528</v>
      </c>
      <c r="B715" s="17" t="s">
        <v>1066</v>
      </c>
      <c r="C715" s="17" t="s">
        <v>1775</v>
      </c>
      <c r="D715" s="17" t="s">
        <v>1951</v>
      </c>
      <c r="E715" s="26">
        <v>3</v>
      </c>
      <c r="F715" s="26">
        <v>0</v>
      </c>
      <c r="G715" s="26">
        <f>E715*AD715</f>
        <v>0</v>
      </c>
      <c r="H715" s="26">
        <f>I715-G715</f>
        <v>0</v>
      </c>
      <c r="I715" s="26">
        <f>E715*F715</f>
        <v>0</v>
      </c>
      <c r="J715" s="72">
        <v>0</v>
      </c>
      <c r="K715" s="72">
        <f>E715*J715</f>
        <v>0</v>
      </c>
      <c r="L715" s="35" t="s">
        <v>1961</v>
      </c>
      <c r="M715" s="35" t="s">
        <v>122</v>
      </c>
      <c r="N715" s="26">
        <f>IF(M715="5",H715,0)</f>
        <v>0</v>
      </c>
      <c r="Y715" s="26">
        <f>IF(AC715=0,I715,0)</f>
        <v>0</v>
      </c>
      <c r="Z715" s="26">
        <f>IF(AC715=15,I715,0)</f>
        <v>0</v>
      </c>
      <c r="AA715" s="26">
        <f>IF(AC715=21,I715,0)</f>
        <v>0</v>
      </c>
      <c r="AC715" s="12">
        <v>21</v>
      </c>
      <c r="AD715" s="12">
        <f>F715*0.918279569892473</f>
        <v>0</v>
      </c>
      <c r="AE715" s="12">
        <f>F715*(1-0.918279569892473)</f>
        <v>0</v>
      </c>
      <c r="AL715" s="12">
        <f>E715*AD715</f>
        <v>0</v>
      </c>
      <c r="AM715" s="12">
        <f>E715*AE715</f>
        <v>0</v>
      </c>
      <c r="AN715" s="38" t="s">
        <v>2006</v>
      </c>
      <c r="AO715" s="38" t="s">
        <v>2030</v>
      </c>
      <c r="AP715" s="32" t="s">
        <v>2053</v>
      </c>
    </row>
    <row r="716" ht="12.75">
      <c r="C716" s="24" t="s">
        <v>1705</v>
      </c>
    </row>
    <row r="717" spans="1:42" s="60" customFormat="1" ht="26.25">
      <c r="A717" s="56" t="s">
        <v>529</v>
      </c>
      <c r="B717" s="57" t="s">
        <v>1067</v>
      </c>
      <c r="C717" s="57" t="s">
        <v>1776</v>
      </c>
      <c r="D717" s="57" t="s">
        <v>1951</v>
      </c>
      <c r="E717" s="58">
        <v>1</v>
      </c>
      <c r="F717" s="58">
        <v>0</v>
      </c>
      <c r="G717" s="58">
        <f>E717*AD717</f>
        <v>0</v>
      </c>
      <c r="H717" s="58">
        <f>I717-G717</f>
        <v>0</v>
      </c>
      <c r="I717" s="58">
        <f>E717*F717</f>
        <v>0</v>
      </c>
      <c r="J717" s="77">
        <v>0</v>
      </c>
      <c r="K717" s="77">
        <f>E717*J717</f>
        <v>0</v>
      </c>
      <c r="L717" s="59" t="s">
        <v>1961</v>
      </c>
      <c r="M717" s="59" t="s">
        <v>122</v>
      </c>
      <c r="N717" s="58">
        <f>IF(M717="5",H717,0)</f>
        <v>0</v>
      </c>
      <c r="Y717" s="58">
        <f>IF(AC717=0,I717,0)</f>
        <v>0</v>
      </c>
      <c r="Z717" s="58">
        <f>IF(AC717=15,I717,0)</f>
        <v>0</v>
      </c>
      <c r="AA717" s="58">
        <f>IF(AC717=21,I717,0)</f>
        <v>0</v>
      </c>
      <c r="AC717" s="61">
        <v>21</v>
      </c>
      <c r="AD717" s="61">
        <f>F717*0.971570161711007</f>
        <v>0</v>
      </c>
      <c r="AE717" s="61">
        <f>F717*(1-0.971570161711007)</f>
        <v>0</v>
      </c>
      <c r="AL717" s="61">
        <f>E717*AD717</f>
        <v>0</v>
      </c>
      <c r="AM717" s="61">
        <f>E717*AE717</f>
        <v>0</v>
      </c>
      <c r="AN717" s="62" t="s">
        <v>2006</v>
      </c>
      <c r="AO717" s="62" t="s">
        <v>2030</v>
      </c>
      <c r="AP717" s="63" t="s">
        <v>2053</v>
      </c>
    </row>
    <row r="718" ht="12.75">
      <c r="C718" s="24" t="s">
        <v>1705</v>
      </c>
    </row>
    <row r="719" spans="1:42" s="60" customFormat="1" ht="26.25">
      <c r="A719" s="56" t="s">
        <v>530</v>
      </c>
      <c r="B719" s="57" t="s">
        <v>1068</v>
      </c>
      <c r="C719" s="57" t="s">
        <v>1777</v>
      </c>
      <c r="D719" s="57" t="s">
        <v>1951</v>
      </c>
      <c r="E719" s="58">
        <v>4</v>
      </c>
      <c r="F719" s="58">
        <v>0</v>
      </c>
      <c r="G719" s="58">
        <f>E719*AD719</f>
        <v>0</v>
      </c>
      <c r="H719" s="58">
        <f>I719-G719</f>
        <v>0</v>
      </c>
      <c r="I719" s="58">
        <f>E719*F719</f>
        <v>0</v>
      </c>
      <c r="J719" s="77">
        <v>0</v>
      </c>
      <c r="K719" s="77">
        <f>E719*J719</f>
        <v>0</v>
      </c>
      <c r="L719" s="59" t="s">
        <v>1961</v>
      </c>
      <c r="M719" s="59" t="s">
        <v>122</v>
      </c>
      <c r="N719" s="58">
        <f>IF(M719="5",H719,0)</f>
        <v>0</v>
      </c>
      <c r="Y719" s="58">
        <f>IF(AC719=0,I719,0)</f>
        <v>0</v>
      </c>
      <c r="Z719" s="58">
        <f>IF(AC719=15,I719,0)</f>
        <v>0</v>
      </c>
      <c r="AA719" s="58">
        <f>IF(AC719=21,I719,0)</f>
        <v>0</v>
      </c>
      <c r="AC719" s="61">
        <v>21</v>
      </c>
      <c r="AD719" s="61">
        <f>F719*0.969521044992743</f>
        <v>0</v>
      </c>
      <c r="AE719" s="61">
        <f>F719*(1-0.969521044992743)</f>
        <v>0</v>
      </c>
      <c r="AL719" s="61">
        <f>E719*AD719</f>
        <v>0</v>
      </c>
      <c r="AM719" s="61">
        <f>E719*AE719</f>
        <v>0</v>
      </c>
      <c r="AN719" s="62" t="s">
        <v>2006</v>
      </c>
      <c r="AO719" s="62" t="s">
        <v>2030</v>
      </c>
      <c r="AP719" s="63" t="s">
        <v>2053</v>
      </c>
    </row>
    <row r="720" ht="12.75">
      <c r="C720" s="24" t="s">
        <v>1705</v>
      </c>
    </row>
    <row r="721" spans="1:42" ht="12.75">
      <c r="A721" s="50" t="s">
        <v>531</v>
      </c>
      <c r="B721" s="17" t="s">
        <v>1069</v>
      </c>
      <c r="C721" s="17" t="s">
        <v>1778</v>
      </c>
      <c r="D721" s="17" t="s">
        <v>1951</v>
      </c>
      <c r="E721" s="26">
        <v>3</v>
      </c>
      <c r="F721" s="26">
        <v>0</v>
      </c>
      <c r="G721" s="26">
        <f>E721*AD721</f>
        <v>0</v>
      </c>
      <c r="H721" s="26">
        <f>I721-G721</f>
        <v>0</v>
      </c>
      <c r="I721" s="26">
        <f>E721*F721</f>
        <v>0</v>
      </c>
      <c r="J721" s="72">
        <v>0</v>
      </c>
      <c r="K721" s="72">
        <f>E721*J721</f>
        <v>0</v>
      </c>
      <c r="L721" s="35" t="s">
        <v>1961</v>
      </c>
      <c r="M721" s="35" t="s">
        <v>122</v>
      </c>
      <c r="N721" s="26">
        <f>IF(M721="5",H721,0)</f>
        <v>0</v>
      </c>
      <c r="Y721" s="26">
        <f>IF(AC721=0,I721,0)</f>
        <v>0</v>
      </c>
      <c r="Z721" s="26">
        <f>IF(AC721=15,I721,0)</f>
        <v>0</v>
      </c>
      <c r="AA721" s="26">
        <f>IF(AC721=21,I721,0)</f>
        <v>0</v>
      </c>
      <c r="AC721" s="12">
        <v>21</v>
      </c>
      <c r="AD721" s="12">
        <f>F721*0.919064748201439</f>
        <v>0</v>
      </c>
      <c r="AE721" s="12">
        <f>F721*(1-0.919064748201439)</f>
        <v>0</v>
      </c>
      <c r="AL721" s="12">
        <f>E721*AD721</f>
        <v>0</v>
      </c>
      <c r="AM721" s="12">
        <f>E721*AE721</f>
        <v>0</v>
      </c>
      <c r="AN721" s="38" t="s">
        <v>2006</v>
      </c>
      <c r="AO721" s="38" t="s">
        <v>2030</v>
      </c>
      <c r="AP721" s="32" t="s">
        <v>2053</v>
      </c>
    </row>
    <row r="722" ht="12.75">
      <c r="C722" s="24" t="s">
        <v>1705</v>
      </c>
    </row>
    <row r="723" spans="1:42" ht="12.75">
      <c r="A723" s="50" t="s">
        <v>532</v>
      </c>
      <c r="B723" s="17" t="s">
        <v>1070</v>
      </c>
      <c r="C723" s="17" t="s">
        <v>1779</v>
      </c>
      <c r="D723" s="17" t="s">
        <v>1951</v>
      </c>
      <c r="E723" s="26">
        <v>5</v>
      </c>
      <c r="F723" s="26">
        <v>0</v>
      </c>
      <c r="G723" s="26">
        <f>E723*AD723</f>
        <v>0</v>
      </c>
      <c r="H723" s="26">
        <f>I723-G723</f>
        <v>0</v>
      </c>
      <c r="I723" s="26">
        <f>E723*F723</f>
        <v>0</v>
      </c>
      <c r="J723" s="72">
        <v>0</v>
      </c>
      <c r="K723" s="72">
        <f>E723*J723</f>
        <v>0</v>
      </c>
      <c r="L723" s="35" t="s">
        <v>1961</v>
      </c>
      <c r="M723" s="35" t="s">
        <v>122</v>
      </c>
      <c r="N723" s="26">
        <f>IF(M723="5",H723,0)</f>
        <v>0</v>
      </c>
      <c r="Y723" s="26">
        <f>IF(AC723=0,I723,0)</f>
        <v>0</v>
      </c>
      <c r="Z723" s="26">
        <f>IF(AC723=15,I723,0)</f>
        <v>0</v>
      </c>
      <c r="AA723" s="26">
        <f>IF(AC723=21,I723,0)</f>
        <v>0</v>
      </c>
      <c r="AC723" s="12">
        <v>21</v>
      </c>
      <c r="AD723" s="12">
        <f>F723*0.920927467300832</f>
        <v>0</v>
      </c>
      <c r="AE723" s="12">
        <f>F723*(1-0.920927467300832)</f>
        <v>0</v>
      </c>
      <c r="AL723" s="12">
        <f>E723*AD723</f>
        <v>0</v>
      </c>
      <c r="AM723" s="12">
        <f>E723*AE723</f>
        <v>0</v>
      </c>
      <c r="AN723" s="38" t="s">
        <v>2006</v>
      </c>
      <c r="AO723" s="38" t="s">
        <v>2030</v>
      </c>
      <c r="AP723" s="32" t="s">
        <v>2053</v>
      </c>
    </row>
    <row r="724" ht="12.75">
      <c r="C724" s="24" t="s">
        <v>1705</v>
      </c>
    </row>
    <row r="725" spans="1:42" ht="12.75">
      <c r="A725" s="50" t="s">
        <v>533</v>
      </c>
      <c r="B725" s="17" t="s">
        <v>1071</v>
      </c>
      <c r="C725" s="17" t="s">
        <v>1780</v>
      </c>
      <c r="D725" s="17" t="s">
        <v>1951</v>
      </c>
      <c r="E725" s="26">
        <v>6</v>
      </c>
      <c r="F725" s="26">
        <v>0</v>
      </c>
      <c r="G725" s="26">
        <f>E725*AD725</f>
        <v>0</v>
      </c>
      <c r="H725" s="26">
        <f>I725-G725</f>
        <v>0</v>
      </c>
      <c r="I725" s="26">
        <f>E725*F725</f>
        <v>0</v>
      </c>
      <c r="J725" s="72">
        <v>0</v>
      </c>
      <c r="K725" s="72">
        <f>E725*J725</f>
        <v>0</v>
      </c>
      <c r="L725" s="35" t="s">
        <v>1961</v>
      </c>
      <c r="M725" s="35" t="s">
        <v>122</v>
      </c>
      <c r="N725" s="26">
        <f>IF(M725="5",H725,0)</f>
        <v>0</v>
      </c>
      <c r="Y725" s="26">
        <f>IF(AC725=0,I725,0)</f>
        <v>0</v>
      </c>
      <c r="Z725" s="26">
        <f>IF(AC725=15,I725,0)</f>
        <v>0</v>
      </c>
      <c r="AA725" s="26">
        <f>IF(AC725=21,I725,0)</f>
        <v>0</v>
      </c>
      <c r="AC725" s="12">
        <v>21</v>
      </c>
      <c r="AD725" s="12">
        <f>F725*0.952192667145938</f>
        <v>0</v>
      </c>
      <c r="AE725" s="12">
        <f>F725*(1-0.952192667145938)</f>
        <v>0</v>
      </c>
      <c r="AL725" s="12">
        <f>E725*AD725</f>
        <v>0</v>
      </c>
      <c r="AM725" s="12">
        <f>E725*AE725</f>
        <v>0</v>
      </c>
      <c r="AN725" s="38" t="s">
        <v>2006</v>
      </c>
      <c r="AO725" s="38" t="s">
        <v>2030</v>
      </c>
      <c r="AP725" s="32" t="s">
        <v>2053</v>
      </c>
    </row>
    <row r="726" ht="12.75">
      <c r="C726" s="24" t="s">
        <v>1767</v>
      </c>
    </row>
    <row r="727" spans="1:42" ht="12.75">
      <c r="A727" s="50" t="s">
        <v>534</v>
      </c>
      <c r="B727" s="17" t="s">
        <v>1072</v>
      </c>
      <c r="C727" s="17" t="s">
        <v>1781</v>
      </c>
      <c r="D727" s="17" t="s">
        <v>1951</v>
      </c>
      <c r="E727" s="26">
        <v>1</v>
      </c>
      <c r="F727" s="26">
        <v>0</v>
      </c>
      <c r="G727" s="26">
        <f>E727*AD727</f>
        <v>0</v>
      </c>
      <c r="H727" s="26">
        <f>I727-G727</f>
        <v>0</v>
      </c>
      <c r="I727" s="26">
        <f>E727*F727</f>
        <v>0</v>
      </c>
      <c r="J727" s="72">
        <v>0</v>
      </c>
      <c r="K727" s="72">
        <f>E727*J727</f>
        <v>0</v>
      </c>
      <c r="L727" s="35" t="s">
        <v>1961</v>
      </c>
      <c r="M727" s="35" t="s">
        <v>122</v>
      </c>
      <c r="N727" s="26">
        <f>IF(M727="5",H727,0)</f>
        <v>0</v>
      </c>
      <c r="Y727" s="26">
        <f>IF(AC727=0,I727,0)</f>
        <v>0</v>
      </c>
      <c r="Z727" s="26">
        <f>IF(AC727=15,I727,0)</f>
        <v>0</v>
      </c>
      <c r="AA727" s="26">
        <f>IF(AC727=21,I727,0)</f>
        <v>0</v>
      </c>
      <c r="AC727" s="12">
        <v>21</v>
      </c>
      <c r="AD727" s="12">
        <f>F727*0.891816920943135</f>
        <v>0</v>
      </c>
      <c r="AE727" s="12">
        <f>F727*(1-0.891816920943135)</f>
        <v>0</v>
      </c>
      <c r="AL727" s="12">
        <f>E727*AD727</f>
        <v>0</v>
      </c>
      <c r="AM727" s="12">
        <f>E727*AE727</f>
        <v>0</v>
      </c>
      <c r="AN727" s="38" t="s">
        <v>2006</v>
      </c>
      <c r="AO727" s="38" t="s">
        <v>2030</v>
      </c>
      <c r="AP727" s="32" t="s">
        <v>2053</v>
      </c>
    </row>
    <row r="728" ht="12.75">
      <c r="C728" s="24" t="s">
        <v>1705</v>
      </c>
    </row>
    <row r="729" spans="1:42" s="60" customFormat="1" ht="26.25">
      <c r="A729" s="56" t="s">
        <v>535</v>
      </c>
      <c r="B729" s="57" t="s">
        <v>1073</v>
      </c>
      <c r="C729" s="57" t="s">
        <v>1782</v>
      </c>
      <c r="D729" s="57" t="s">
        <v>1951</v>
      </c>
      <c r="E729" s="58">
        <v>1</v>
      </c>
      <c r="F729" s="58">
        <v>0</v>
      </c>
      <c r="G729" s="58">
        <f>E729*AD729</f>
        <v>0</v>
      </c>
      <c r="H729" s="58">
        <f>I729-G729</f>
        <v>0</v>
      </c>
      <c r="I729" s="58">
        <f>E729*F729</f>
        <v>0</v>
      </c>
      <c r="J729" s="77">
        <v>0</v>
      </c>
      <c r="K729" s="77">
        <f>E729*J729</f>
        <v>0</v>
      </c>
      <c r="L729" s="59" t="s">
        <v>1961</v>
      </c>
      <c r="M729" s="59" t="s">
        <v>122</v>
      </c>
      <c r="N729" s="58">
        <f>IF(M729="5",H729,0)</f>
        <v>0</v>
      </c>
      <c r="Y729" s="58">
        <f>IF(AC729=0,I729,0)</f>
        <v>0</v>
      </c>
      <c r="Z729" s="58">
        <f>IF(AC729=15,I729,0)</f>
        <v>0</v>
      </c>
      <c r="AA729" s="58">
        <f>IF(AC729=21,I729,0)</f>
        <v>0</v>
      </c>
      <c r="AC729" s="61">
        <v>21</v>
      </c>
      <c r="AD729" s="61">
        <f>F729*0.96551724137931</f>
        <v>0</v>
      </c>
      <c r="AE729" s="61">
        <f>F729*(1-0.96551724137931)</f>
        <v>0</v>
      </c>
      <c r="AL729" s="61">
        <f>E729*AD729</f>
        <v>0</v>
      </c>
      <c r="AM729" s="61">
        <f>E729*AE729</f>
        <v>0</v>
      </c>
      <c r="AN729" s="62" t="s">
        <v>2006</v>
      </c>
      <c r="AO729" s="62" t="s">
        <v>2030</v>
      </c>
      <c r="AP729" s="63" t="s">
        <v>2053</v>
      </c>
    </row>
    <row r="730" ht="12.75">
      <c r="C730" s="24" t="s">
        <v>1705</v>
      </c>
    </row>
    <row r="731" spans="1:42" ht="12.75">
      <c r="A731" s="50" t="s">
        <v>536</v>
      </c>
      <c r="B731" s="17" t="s">
        <v>1074</v>
      </c>
      <c r="C731" s="17" t="s">
        <v>1783</v>
      </c>
      <c r="D731" s="17" t="s">
        <v>1951</v>
      </c>
      <c r="E731" s="26">
        <v>1</v>
      </c>
      <c r="F731" s="26">
        <v>0</v>
      </c>
      <c r="G731" s="26">
        <f>E731*AD731</f>
        <v>0</v>
      </c>
      <c r="H731" s="26">
        <f>I731-G731</f>
        <v>0</v>
      </c>
      <c r="I731" s="26">
        <f>E731*F731</f>
        <v>0</v>
      </c>
      <c r="J731" s="72">
        <v>0</v>
      </c>
      <c r="K731" s="72">
        <f>E731*J731</f>
        <v>0</v>
      </c>
      <c r="L731" s="35" t="s">
        <v>1961</v>
      </c>
      <c r="M731" s="35" t="s">
        <v>122</v>
      </c>
      <c r="N731" s="26">
        <f>IF(M731="5",H731,0)</f>
        <v>0</v>
      </c>
      <c r="Y731" s="26">
        <f>IF(AC731=0,I731,0)</f>
        <v>0</v>
      </c>
      <c r="Z731" s="26">
        <f>IF(AC731=15,I731,0)</f>
        <v>0</v>
      </c>
      <c r="AA731" s="26">
        <f>IF(AC731=21,I731,0)</f>
        <v>0</v>
      </c>
      <c r="AC731" s="12">
        <v>21</v>
      </c>
      <c r="AD731" s="12">
        <f>F731*0.950819672131147</f>
        <v>0</v>
      </c>
      <c r="AE731" s="12">
        <f>F731*(1-0.950819672131147)</f>
        <v>0</v>
      </c>
      <c r="AL731" s="12">
        <f>E731*AD731</f>
        <v>0</v>
      </c>
      <c r="AM731" s="12">
        <f>E731*AE731</f>
        <v>0</v>
      </c>
      <c r="AN731" s="38" t="s">
        <v>2006</v>
      </c>
      <c r="AO731" s="38" t="s">
        <v>2030</v>
      </c>
      <c r="AP731" s="32" t="s">
        <v>2053</v>
      </c>
    </row>
    <row r="732" ht="12.75">
      <c r="C732" s="24" t="s">
        <v>1705</v>
      </c>
    </row>
    <row r="733" spans="1:42" ht="12.75">
      <c r="A733" s="50" t="s">
        <v>537</v>
      </c>
      <c r="B733" s="17" t="s">
        <v>1075</v>
      </c>
      <c r="C733" s="17" t="s">
        <v>1784</v>
      </c>
      <c r="D733" s="17" t="s">
        <v>1951</v>
      </c>
      <c r="E733" s="26">
        <v>16</v>
      </c>
      <c r="F733" s="26">
        <v>0</v>
      </c>
      <c r="G733" s="26">
        <f>E733*AD733</f>
        <v>0</v>
      </c>
      <c r="H733" s="26">
        <f>I733-G733</f>
        <v>0</v>
      </c>
      <c r="I733" s="26">
        <f>E733*F733</f>
        <v>0</v>
      </c>
      <c r="J733" s="72">
        <v>0</v>
      </c>
      <c r="K733" s="72">
        <f>E733*J733</f>
        <v>0</v>
      </c>
      <c r="L733" s="35" t="s">
        <v>1961</v>
      </c>
      <c r="M733" s="35" t="s">
        <v>122</v>
      </c>
      <c r="N733" s="26">
        <f>IF(M733="5",H733,0)</f>
        <v>0</v>
      </c>
      <c r="Y733" s="26">
        <f>IF(AC733=0,I733,0)</f>
        <v>0</v>
      </c>
      <c r="Z733" s="26">
        <f>IF(AC733=15,I733,0)</f>
        <v>0</v>
      </c>
      <c r="AA733" s="26">
        <f>IF(AC733=21,I733,0)</f>
        <v>0</v>
      </c>
      <c r="AC733" s="12">
        <v>21</v>
      </c>
      <c r="AD733" s="12">
        <f>F733*0.947442186405046</f>
        <v>0</v>
      </c>
      <c r="AE733" s="12">
        <f>F733*(1-0.947442186405046)</f>
        <v>0</v>
      </c>
      <c r="AL733" s="12">
        <f>E733*AD733</f>
        <v>0</v>
      </c>
      <c r="AM733" s="12">
        <f>E733*AE733</f>
        <v>0</v>
      </c>
      <c r="AN733" s="38" t="s">
        <v>2006</v>
      </c>
      <c r="AO733" s="38" t="s">
        <v>2030</v>
      </c>
      <c r="AP733" s="32" t="s">
        <v>2053</v>
      </c>
    </row>
    <row r="734" ht="12.75">
      <c r="C734" s="24" t="s">
        <v>1705</v>
      </c>
    </row>
    <row r="735" spans="1:42" ht="12.75">
      <c r="A735" s="50" t="s">
        <v>538</v>
      </c>
      <c r="B735" s="17" t="s">
        <v>1076</v>
      </c>
      <c r="C735" s="17" t="s">
        <v>1785</v>
      </c>
      <c r="D735" s="17" t="s">
        <v>1951</v>
      </c>
      <c r="E735" s="26">
        <v>4</v>
      </c>
      <c r="F735" s="26">
        <v>0</v>
      </c>
      <c r="G735" s="26">
        <f>E735*AD735</f>
        <v>0</v>
      </c>
      <c r="H735" s="26">
        <f>I735-G735</f>
        <v>0</v>
      </c>
      <c r="I735" s="26">
        <f>E735*F735</f>
        <v>0</v>
      </c>
      <c r="J735" s="72">
        <v>0</v>
      </c>
      <c r="K735" s="72">
        <f>E735*J735</f>
        <v>0</v>
      </c>
      <c r="L735" s="35" t="s">
        <v>1961</v>
      </c>
      <c r="M735" s="35" t="s">
        <v>122</v>
      </c>
      <c r="N735" s="26">
        <f>IF(M735="5",H735,0)</f>
        <v>0</v>
      </c>
      <c r="Y735" s="26">
        <f>IF(AC735=0,I735,0)</f>
        <v>0</v>
      </c>
      <c r="Z735" s="26">
        <f>IF(AC735=15,I735,0)</f>
        <v>0</v>
      </c>
      <c r="AA735" s="26">
        <f>IF(AC735=21,I735,0)</f>
        <v>0</v>
      </c>
      <c r="AC735" s="12">
        <v>21</v>
      </c>
      <c r="AD735" s="12">
        <f>F735*0.922273781902552</f>
        <v>0</v>
      </c>
      <c r="AE735" s="12">
        <f>F735*(1-0.922273781902552)</f>
        <v>0</v>
      </c>
      <c r="AL735" s="12">
        <f>E735*AD735</f>
        <v>0</v>
      </c>
      <c r="AM735" s="12">
        <f>E735*AE735</f>
        <v>0</v>
      </c>
      <c r="AN735" s="38" t="s">
        <v>2006</v>
      </c>
      <c r="AO735" s="38" t="s">
        <v>2030</v>
      </c>
      <c r="AP735" s="32" t="s">
        <v>2053</v>
      </c>
    </row>
    <row r="736" ht="12.75">
      <c r="C736" s="24" t="s">
        <v>1767</v>
      </c>
    </row>
    <row r="737" spans="1:42" ht="12.75">
      <c r="A737" s="50" t="s">
        <v>539</v>
      </c>
      <c r="B737" s="17" t="s">
        <v>1077</v>
      </c>
      <c r="C737" s="17" t="s">
        <v>1786</v>
      </c>
      <c r="D737" s="17" t="s">
        <v>1951</v>
      </c>
      <c r="E737" s="26">
        <v>1</v>
      </c>
      <c r="F737" s="26">
        <v>0</v>
      </c>
      <c r="G737" s="26">
        <f>E737*AD737</f>
        <v>0</v>
      </c>
      <c r="H737" s="26">
        <f>I737-G737</f>
        <v>0</v>
      </c>
      <c r="I737" s="26">
        <f>E737*F737</f>
        <v>0</v>
      </c>
      <c r="J737" s="72">
        <v>0</v>
      </c>
      <c r="K737" s="72">
        <f>E737*J737</f>
        <v>0</v>
      </c>
      <c r="L737" s="35" t="s">
        <v>1961</v>
      </c>
      <c r="M737" s="35" t="s">
        <v>122</v>
      </c>
      <c r="N737" s="26">
        <f>IF(M737="5",H737,0)</f>
        <v>0</v>
      </c>
      <c r="Y737" s="26">
        <f>IF(AC737=0,I737,0)</f>
        <v>0</v>
      </c>
      <c r="Z737" s="26">
        <f>IF(AC737=15,I737,0)</f>
        <v>0</v>
      </c>
      <c r="AA737" s="26">
        <f>IF(AC737=21,I737,0)</f>
        <v>0</v>
      </c>
      <c r="AC737" s="12">
        <v>21</v>
      </c>
      <c r="AD737" s="12">
        <f>F737*0.908314350797267</f>
        <v>0</v>
      </c>
      <c r="AE737" s="12">
        <f>F737*(1-0.908314350797267)</f>
        <v>0</v>
      </c>
      <c r="AL737" s="12">
        <f>E737*AD737</f>
        <v>0</v>
      </c>
      <c r="AM737" s="12">
        <f>E737*AE737</f>
        <v>0</v>
      </c>
      <c r="AN737" s="38" t="s">
        <v>2006</v>
      </c>
      <c r="AO737" s="38" t="s">
        <v>2030</v>
      </c>
      <c r="AP737" s="32" t="s">
        <v>2053</v>
      </c>
    </row>
    <row r="738" ht="12.75">
      <c r="C738" s="24" t="s">
        <v>1705</v>
      </c>
    </row>
    <row r="739" spans="1:42" ht="12.75">
      <c r="A739" s="50" t="s">
        <v>540</v>
      </c>
      <c r="B739" s="17" t="s">
        <v>1078</v>
      </c>
      <c r="C739" s="17" t="s">
        <v>1787</v>
      </c>
      <c r="D739" s="17" t="s">
        <v>1951</v>
      </c>
      <c r="E739" s="26">
        <v>3</v>
      </c>
      <c r="F739" s="26">
        <v>0</v>
      </c>
      <c r="G739" s="26">
        <f>E739*AD739</f>
        <v>0</v>
      </c>
      <c r="H739" s="26">
        <f>I739-G739</f>
        <v>0</v>
      </c>
      <c r="I739" s="26">
        <f>E739*F739</f>
        <v>0</v>
      </c>
      <c r="J739" s="72">
        <v>0</v>
      </c>
      <c r="K739" s="72">
        <f>E739*J739</f>
        <v>0</v>
      </c>
      <c r="L739" s="35" t="s">
        <v>1961</v>
      </c>
      <c r="M739" s="35" t="s">
        <v>122</v>
      </c>
      <c r="N739" s="26">
        <f>IF(M739="5",H739,0)</f>
        <v>0</v>
      </c>
      <c r="Y739" s="26">
        <f>IF(AC739=0,I739,0)</f>
        <v>0</v>
      </c>
      <c r="Z739" s="26">
        <f>IF(AC739=15,I739,0)</f>
        <v>0</v>
      </c>
      <c r="AA739" s="26">
        <f>IF(AC739=21,I739,0)</f>
        <v>0</v>
      </c>
      <c r="AC739" s="12">
        <v>21</v>
      </c>
      <c r="AD739" s="12">
        <f>F739*0.911262798634812</f>
        <v>0</v>
      </c>
      <c r="AE739" s="12">
        <f>F739*(1-0.911262798634812)</f>
        <v>0</v>
      </c>
      <c r="AL739" s="12">
        <f>E739*AD739</f>
        <v>0</v>
      </c>
      <c r="AM739" s="12">
        <f>E739*AE739</f>
        <v>0</v>
      </c>
      <c r="AN739" s="38" t="s">
        <v>2006</v>
      </c>
      <c r="AO739" s="38" t="s">
        <v>2030</v>
      </c>
      <c r="AP739" s="32" t="s">
        <v>2053</v>
      </c>
    </row>
    <row r="740" ht="12.75">
      <c r="C740" s="24" t="s">
        <v>1705</v>
      </c>
    </row>
    <row r="741" spans="1:42" ht="12.75">
      <c r="A741" s="50" t="s">
        <v>541</v>
      </c>
      <c r="B741" s="17" t="s">
        <v>1079</v>
      </c>
      <c r="C741" s="17" t="s">
        <v>1788</v>
      </c>
      <c r="D741" s="17" t="s">
        <v>1951</v>
      </c>
      <c r="E741" s="26">
        <v>3</v>
      </c>
      <c r="F741" s="26">
        <v>0</v>
      </c>
      <c r="G741" s="26">
        <f>E741*AD741</f>
        <v>0</v>
      </c>
      <c r="H741" s="26">
        <f>I741-G741</f>
        <v>0</v>
      </c>
      <c r="I741" s="26">
        <f>E741*F741</f>
        <v>0</v>
      </c>
      <c r="J741" s="72">
        <v>0</v>
      </c>
      <c r="K741" s="72">
        <f>E741*J741</f>
        <v>0</v>
      </c>
      <c r="L741" s="35" t="s">
        <v>1961</v>
      </c>
      <c r="M741" s="35" t="s">
        <v>122</v>
      </c>
      <c r="N741" s="26">
        <f>IF(M741="5",H741,0)</f>
        <v>0</v>
      </c>
      <c r="Y741" s="26">
        <f>IF(AC741=0,I741,0)</f>
        <v>0</v>
      </c>
      <c r="Z741" s="26">
        <f>IF(AC741=15,I741,0)</f>
        <v>0</v>
      </c>
      <c r="AA741" s="26">
        <f>IF(AC741=21,I741,0)</f>
        <v>0</v>
      </c>
      <c r="AC741" s="12">
        <v>21</v>
      </c>
      <c r="AD741" s="12">
        <f>F741*0.910511363636364</f>
        <v>0</v>
      </c>
      <c r="AE741" s="12">
        <f>F741*(1-0.910511363636364)</f>
        <v>0</v>
      </c>
      <c r="AL741" s="12">
        <f>E741*AD741</f>
        <v>0</v>
      </c>
      <c r="AM741" s="12">
        <f>E741*AE741</f>
        <v>0</v>
      </c>
      <c r="AN741" s="38" t="s">
        <v>2006</v>
      </c>
      <c r="AO741" s="38" t="s">
        <v>2030</v>
      </c>
      <c r="AP741" s="32" t="s">
        <v>2053</v>
      </c>
    </row>
    <row r="742" ht="12.75">
      <c r="C742" s="24" t="s">
        <v>1705</v>
      </c>
    </row>
    <row r="743" spans="1:42" ht="12.75">
      <c r="A743" s="50" t="s">
        <v>542</v>
      </c>
      <c r="B743" s="17" t="s">
        <v>1080</v>
      </c>
      <c r="C743" s="17" t="s">
        <v>1789</v>
      </c>
      <c r="D743" s="17" t="s">
        <v>1951</v>
      </c>
      <c r="E743" s="26">
        <v>1</v>
      </c>
      <c r="F743" s="26">
        <v>0</v>
      </c>
      <c r="G743" s="26">
        <f>E743*AD743</f>
        <v>0</v>
      </c>
      <c r="H743" s="26">
        <f>I743-G743</f>
        <v>0</v>
      </c>
      <c r="I743" s="26">
        <f>E743*F743</f>
        <v>0</v>
      </c>
      <c r="J743" s="72">
        <v>0</v>
      </c>
      <c r="K743" s="72">
        <f>E743*J743</f>
        <v>0</v>
      </c>
      <c r="L743" s="35" t="s">
        <v>1961</v>
      </c>
      <c r="M743" s="35" t="s">
        <v>122</v>
      </c>
      <c r="N743" s="26">
        <f>IF(M743="5",H743,0)</f>
        <v>0</v>
      </c>
      <c r="Y743" s="26">
        <f>IF(AC743=0,I743,0)</f>
        <v>0</v>
      </c>
      <c r="Z743" s="26">
        <f>IF(AC743=15,I743,0)</f>
        <v>0</v>
      </c>
      <c r="AA743" s="26">
        <f>IF(AC743=21,I743,0)</f>
        <v>0</v>
      </c>
      <c r="AC743" s="12">
        <v>21</v>
      </c>
      <c r="AD743" s="12">
        <f>F743*0.909026297085999</f>
        <v>0</v>
      </c>
      <c r="AE743" s="12">
        <f>F743*(1-0.909026297085999)</f>
        <v>0</v>
      </c>
      <c r="AL743" s="12">
        <f>E743*AD743</f>
        <v>0</v>
      </c>
      <c r="AM743" s="12">
        <f>E743*AE743</f>
        <v>0</v>
      </c>
      <c r="AN743" s="38" t="s">
        <v>2006</v>
      </c>
      <c r="AO743" s="38" t="s">
        <v>2030</v>
      </c>
      <c r="AP743" s="32" t="s">
        <v>2053</v>
      </c>
    </row>
    <row r="744" ht="12.75">
      <c r="C744" s="24" t="s">
        <v>1705</v>
      </c>
    </row>
    <row r="745" spans="1:42" ht="12.75">
      <c r="A745" s="50" t="s">
        <v>543</v>
      </c>
      <c r="B745" s="17" t="s">
        <v>1081</v>
      </c>
      <c r="C745" s="17" t="s">
        <v>1790</v>
      </c>
      <c r="D745" s="17" t="s">
        <v>1951</v>
      </c>
      <c r="E745" s="26">
        <v>3</v>
      </c>
      <c r="F745" s="26">
        <v>0</v>
      </c>
      <c r="G745" s="26">
        <f>E745*AD745</f>
        <v>0</v>
      </c>
      <c r="H745" s="26">
        <f>I745-G745</f>
        <v>0</v>
      </c>
      <c r="I745" s="26">
        <f>E745*F745</f>
        <v>0</v>
      </c>
      <c r="J745" s="72">
        <v>0</v>
      </c>
      <c r="K745" s="72">
        <f>E745*J745</f>
        <v>0</v>
      </c>
      <c r="L745" s="35" t="s">
        <v>1961</v>
      </c>
      <c r="M745" s="35" t="s">
        <v>122</v>
      </c>
      <c r="N745" s="26">
        <f>IF(M745="5",H745,0)</f>
        <v>0</v>
      </c>
      <c r="Y745" s="26">
        <f>IF(AC745=0,I745,0)</f>
        <v>0</v>
      </c>
      <c r="Z745" s="26">
        <f>IF(AC745=15,I745,0)</f>
        <v>0</v>
      </c>
      <c r="AA745" s="26">
        <f>IF(AC745=21,I745,0)</f>
        <v>0</v>
      </c>
      <c r="AC745" s="12">
        <v>21</v>
      </c>
      <c r="AD745" s="12">
        <f>F745*0.923232323232323</f>
        <v>0</v>
      </c>
      <c r="AE745" s="12">
        <f>F745*(1-0.923232323232323)</f>
        <v>0</v>
      </c>
      <c r="AL745" s="12">
        <f>E745*AD745</f>
        <v>0</v>
      </c>
      <c r="AM745" s="12">
        <f>E745*AE745</f>
        <v>0</v>
      </c>
      <c r="AN745" s="38" t="s">
        <v>2006</v>
      </c>
      <c r="AO745" s="38" t="s">
        <v>2030</v>
      </c>
      <c r="AP745" s="32" t="s">
        <v>2053</v>
      </c>
    </row>
    <row r="746" ht="12.75">
      <c r="C746" s="24" t="s">
        <v>1705</v>
      </c>
    </row>
    <row r="747" spans="1:42" s="60" customFormat="1" ht="26.25">
      <c r="A747" s="56" t="s">
        <v>544</v>
      </c>
      <c r="B747" s="57" t="s">
        <v>1082</v>
      </c>
      <c r="C747" s="57" t="s">
        <v>1791</v>
      </c>
      <c r="D747" s="57" t="s">
        <v>1951</v>
      </c>
      <c r="E747" s="58">
        <v>1</v>
      </c>
      <c r="F747" s="58">
        <v>0</v>
      </c>
      <c r="G747" s="58">
        <f>E747*AD747</f>
        <v>0</v>
      </c>
      <c r="H747" s="58">
        <f>I747-G747</f>
        <v>0</v>
      </c>
      <c r="I747" s="58">
        <f>E747*F747</f>
        <v>0</v>
      </c>
      <c r="J747" s="77">
        <v>0</v>
      </c>
      <c r="K747" s="77">
        <f>E747*J747</f>
        <v>0</v>
      </c>
      <c r="L747" s="59" t="s">
        <v>1961</v>
      </c>
      <c r="M747" s="59" t="s">
        <v>122</v>
      </c>
      <c r="N747" s="58">
        <f>IF(M747="5",H747,0)</f>
        <v>0</v>
      </c>
      <c r="Y747" s="58">
        <f>IF(AC747=0,I747,0)</f>
        <v>0</v>
      </c>
      <c r="Z747" s="58">
        <f>IF(AC747=15,I747,0)</f>
        <v>0</v>
      </c>
      <c r="AA747" s="58">
        <f>IF(AC747=21,I747,0)</f>
        <v>0</v>
      </c>
      <c r="AC747" s="61">
        <v>21</v>
      </c>
      <c r="AD747" s="61">
        <f>F747*0.971570161711007</f>
        <v>0</v>
      </c>
      <c r="AE747" s="61">
        <f>F747*(1-0.971570161711007)</f>
        <v>0</v>
      </c>
      <c r="AL747" s="61">
        <f>E747*AD747</f>
        <v>0</v>
      </c>
      <c r="AM747" s="61">
        <f>E747*AE747</f>
        <v>0</v>
      </c>
      <c r="AN747" s="62" t="s">
        <v>2006</v>
      </c>
      <c r="AO747" s="62" t="s">
        <v>2030</v>
      </c>
      <c r="AP747" s="63" t="s">
        <v>2053</v>
      </c>
    </row>
    <row r="748" ht="12.75">
      <c r="C748" s="24" t="s">
        <v>1705</v>
      </c>
    </row>
    <row r="749" spans="1:42" s="60" customFormat="1" ht="26.25">
      <c r="A749" s="56" t="s">
        <v>545</v>
      </c>
      <c r="B749" s="57" t="s">
        <v>1083</v>
      </c>
      <c r="C749" s="57" t="s">
        <v>1792</v>
      </c>
      <c r="D749" s="57" t="s">
        <v>1951</v>
      </c>
      <c r="E749" s="58">
        <v>4</v>
      </c>
      <c r="F749" s="58">
        <v>0</v>
      </c>
      <c r="G749" s="58">
        <f>E749*AD749</f>
        <v>0</v>
      </c>
      <c r="H749" s="58">
        <f>I749-G749</f>
        <v>0</v>
      </c>
      <c r="I749" s="58">
        <f>E749*F749</f>
        <v>0</v>
      </c>
      <c r="J749" s="77">
        <v>0</v>
      </c>
      <c r="K749" s="77">
        <f>E749*J749</f>
        <v>0</v>
      </c>
      <c r="L749" s="59" t="s">
        <v>1961</v>
      </c>
      <c r="M749" s="59" t="s">
        <v>122</v>
      </c>
      <c r="N749" s="58">
        <f>IF(M749="5",H749,0)</f>
        <v>0</v>
      </c>
      <c r="Y749" s="58">
        <f>IF(AC749=0,I749,0)</f>
        <v>0</v>
      </c>
      <c r="Z749" s="58">
        <f>IF(AC749=15,I749,0)</f>
        <v>0</v>
      </c>
      <c r="AA749" s="58">
        <f>IF(AC749=21,I749,0)</f>
        <v>0</v>
      </c>
      <c r="AC749" s="61">
        <v>21</v>
      </c>
      <c r="AD749" s="61">
        <f>F749*0.96406160867085</f>
        <v>0</v>
      </c>
      <c r="AE749" s="61">
        <f>F749*(1-0.96406160867085)</f>
        <v>0</v>
      </c>
      <c r="AL749" s="61">
        <f>E749*AD749</f>
        <v>0</v>
      </c>
      <c r="AM749" s="61">
        <f>E749*AE749</f>
        <v>0</v>
      </c>
      <c r="AN749" s="62" t="s">
        <v>2006</v>
      </c>
      <c r="AO749" s="62" t="s">
        <v>2030</v>
      </c>
      <c r="AP749" s="63" t="s">
        <v>2053</v>
      </c>
    </row>
    <row r="750" ht="12.75">
      <c r="C750" s="24" t="s">
        <v>1705</v>
      </c>
    </row>
    <row r="751" spans="1:42" ht="12.75">
      <c r="A751" s="50" t="s">
        <v>546</v>
      </c>
      <c r="B751" s="17" t="s">
        <v>1084</v>
      </c>
      <c r="C751" s="17" t="s">
        <v>1793</v>
      </c>
      <c r="D751" s="17" t="s">
        <v>1951</v>
      </c>
      <c r="E751" s="26">
        <v>3</v>
      </c>
      <c r="F751" s="26">
        <v>0</v>
      </c>
      <c r="G751" s="26">
        <f>E751*AD751</f>
        <v>0</v>
      </c>
      <c r="H751" s="26">
        <f>I751-G751</f>
        <v>0</v>
      </c>
      <c r="I751" s="26">
        <f>E751*F751</f>
        <v>0</v>
      </c>
      <c r="J751" s="72">
        <v>0</v>
      </c>
      <c r="K751" s="72">
        <f>E751*J751</f>
        <v>0</v>
      </c>
      <c r="L751" s="35" t="s">
        <v>1961</v>
      </c>
      <c r="M751" s="35" t="s">
        <v>122</v>
      </c>
      <c r="N751" s="26">
        <f>IF(M751="5",H751,0)</f>
        <v>0</v>
      </c>
      <c r="Y751" s="26">
        <f>IF(AC751=0,I751,0)</f>
        <v>0</v>
      </c>
      <c r="Z751" s="26">
        <f>IF(AC751=15,I751,0)</f>
        <v>0</v>
      </c>
      <c r="AA751" s="26">
        <f>IF(AC751=21,I751,0)</f>
        <v>0</v>
      </c>
      <c r="AC751" s="12">
        <v>21</v>
      </c>
      <c r="AD751" s="12">
        <f>F751*0.911909795630726</f>
        <v>0</v>
      </c>
      <c r="AE751" s="12">
        <f>F751*(1-0.911909795630726)</f>
        <v>0</v>
      </c>
      <c r="AL751" s="12">
        <f>E751*AD751</f>
        <v>0</v>
      </c>
      <c r="AM751" s="12">
        <f>E751*AE751</f>
        <v>0</v>
      </c>
      <c r="AN751" s="38" t="s">
        <v>2006</v>
      </c>
      <c r="AO751" s="38" t="s">
        <v>2030</v>
      </c>
      <c r="AP751" s="32" t="s">
        <v>2053</v>
      </c>
    </row>
    <row r="752" ht="12.75">
      <c r="C752" s="24" t="s">
        <v>1705</v>
      </c>
    </row>
    <row r="753" spans="1:42" ht="12.75">
      <c r="A753" s="50" t="s">
        <v>547</v>
      </c>
      <c r="B753" s="17" t="s">
        <v>1085</v>
      </c>
      <c r="C753" s="17" t="s">
        <v>1794</v>
      </c>
      <c r="D753" s="17" t="s">
        <v>1951</v>
      </c>
      <c r="E753" s="26">
        <v>16</v>
      </c>
      <c r="F753" s="26">
        <v>0</v>
      </c>
      <c r="G753" s="26">
        <f>E753*AD753</f>
        <v>0</v>
      </c>
      <c r="H753" s="26">
        <f>I753-G753</f>
        <v>0</v>
      </c>
      <c r="I753" s="26">
        <f>E753*F753</f>
        <v>0</v>
      </c>
      <c r="J753" s="72">
        <v>0</v>
      </c>
      <c r="K753" s="72">
        <f>E753*J753</f>
        <v>0</v>
      </c>
      <c r="L753" s="35" t="s">
        <v>1961</v>
      </c>
      <c r="M753" s="35" t="s">
        <v>122</v>
      </c>
      <c r="N753" s="26">
        <f>IF(M753="5",H753,0)</f>
        <v>0</v>
      </c>
      <c r="Y753" s="26">
        <f>IF(AC753=0,I753,0)</f>
        <v>0</v>
      </c>
      <c r="Z753" s="26">
        <f>IF(AC753=15,I753,0)</f>
        <v>0</v>
      </c>
      <c r="AA753" s="26">
        <f>IF(AC753=21,I753,0)</f>
        <v>0</v>
      </c>
      <c r="AC753" s="12">
        <v>21</v>
      </c>
      <c r="AD753" s="12">
        <f>F753*0.947706935123042</f>
        <v>0</v>
      </c>
      <c r="AE753" s="12">
        <f>F753*(1-0.947706935123042)</f>
        <v>0</v>
      </c>
      <c r="AL753" s="12">
        <f>E753*AD753</f>
        <v>0</v>
      </c>
      <c r="AM753" s="12">
        <f>E753*AE753</f>
        <v>0</v>
      </c>
      <c r="AN753" s="38" t="s">
        <v>2006</v>
      </c>
      <c r="AO753" s="38" t="s">
        <v>2030</v>
      </c>
      <c r="AP753" s="32" t="s">
        <v>2053</v>
      </c>
    </row>
    <row r="754" ht="12.75">
      <c r="C754" s="24" t="s">
        <v>1767</v>
      </c>
    </row>
    <row r="755" spans="1:42" ht="12.75">
      <c r="A755" s="50" t="s">
        <v>548</v>
      </c>
      <c r="B755" s="17" t="s">
        <v>1086</v>
      </c>
      <c r="C755" s="17" t="s">
        <v>1795</v>
      </c>
      <c r="D755" s="17" t="s">
        <v>1951</v>
      </c>
      <c r="E755" s="26">
        <v>6</v>
      </c>
      <c r="F755" s="26">
        <v>0</v>
      </c>
      <c r="G755" s="26">
        <f>E755*AD755</f>
        <v>0</v>
      </c>
      <c r="H755" s="26">
        <f>I755-G755</f>
        <v>0</v>
      </c>
      <c r="I755" s="26">
        <f>E755*F755</f>
        <v>0</v>
      </c>
      <c r="J755" s="72">
        <v>0</v>
      </c>
      <c r="K755" s="72">
        <f>E755*J755</f>
        <v>0</v>
      </c>
      <c r="L755" s="35" t="s">
        <v>1961</v>
      </c>
      <c r="M755" s="35" t="s">
        <v>122</v>
      </c>
      <c r="N755" s="26">
        <f>IF(M755="5",H755,0)</f>
        <v>0</v>
      </c>
      <c r="Y755" s="26">
        <f>IF(AC755=0,I755,0)</f>
        <v>0</v>
      </c>
      <c r="Z755" s="26">
        <f>IF(AC755=15,I755,0)</f>
        <v>0</v>
      </c>
      <c r="AA755" s="26">
        <f>IF(AC755=21,I755,0)</f>
        <v>0</v>
      </c>
      <c r="AC755" s="12">
        <v>21</v>
      </c>
      <c r="AD755" s="12">
        <f>F755*0.946510297482838</f>
        <v>0</v>
      </c>
      <c r="AE755" s="12">
        <f>F755*(1-0.946510297482838)</f>
        <v>0</v>
      </c>
      <c r="AL755" s="12">
        <f>E755*AD755</f>
        <v>0</v>
      </c>
      <c r="AM755" s="12">
        <f>E755*AE755</f>
        <v>0</v>
      </c>
      <c r="AN755" s="38" t="s">
        <v>2006</v>
      </c>
      <c r="AO755" s="38" t="s">
        <v>2030</v>
      </c>
      <c r="AP755" s="32" t="s">
        <v>2053</v>
      </c>
    </row>
    <row r="756" ht="12.75">
      <c r="C756" s="24" t="s">
        <v>1767</v>
      </c>
    </row>
    <row r="757" spans="1:42" ht="12.75">
      <c r="A757" s="50" t="s">
        <v>549</v>
      </c>
      <c r="B757" s="17" t="s">
        <v>1087</v>
      </c>
      <c r="C757" s="17" t="s">
        <v>1796</v>
      </c>
      <c r="D757" s="17" t="s">
        <v>1951</v>
      </c>
      <c r="E757" s="26">
        <v>1</v>
      </c>
      <c r="F757" s="26">
        <v>0</v>
      </c>
      <c r="G757" s="26">
        <f>E757*AD757</f>
        <v>0</v>
      </c>
      <c r="H757" s="26">
        <f>I757-G757</f>
        <v>0</v>
      </c>
      <c r="I757" s="26">
        <f>E757*F757</f>
        <v>0</v>
      </c>
      <c r="J757" s="72">
        <v>0</v>
      </c>
      <c r="K757" s="72">
        <f>E757*J757</f>
        <v>0</v>
      </c>
      <c r="L757" s="35" t="s">
        <v>1961</v>
      </c>
      <c r="M757" s="35" t="s">
        <v>122</v>
      </c>
      <c r="N757" s="26">
        <f>IF(M757="5",H757,0)</f>
        <v>0</v>
      </c>
      <c r="Y757" s="26">
        <f>IF(AC757=0,I757,0)</f>
        <v>0</v>
      </c>
      <c r="Z757" s="26">
        <f>IF(AC757=15,I757,0)</f>
        <v>0</v>
      </c>
      <c r="AA757" s="26">
        <f>IF(AC757=21,I757,0)</f>
        <v>0</v>
      </c>
      <c r="AC757" s="12">
        <v>21</v>
      </c>
      <c r="AD757" s="12">
        <f>F757*0.910084451068058</f>
        <v>0</v>
      </c>
      <c r="AE757" s="12">
        <f>F757*(1-0.910084451068058)</f>
        <v>0</v>
      </c>
      <c r="AL757" s="12">
        <f>E757*AD757</f>
        <v>0</v>
      </c>
      <c r="AM757" s="12">
        <f>E757*AE757</f>
        <v>0</v>
      </c>
      <c r="AN757" s="38" t="s">
        <v>2006</v>
      </c>
      <c r="AO757" s="38" t="s">
        <v>2030</v>
      </c>
      <c r="AP757" s="32" t="s">
        <v>2053</v>
      </c>
    </row>
    <row r="758" ht="12.75">
      <c r="C758" s="24" t="s">
        <v>1797</v>
      </c>
    </row>
    <row r="759" spans="1:42" ht="12.75">
      <c r="A759" s="50" t="s">
        <v>550</v>
      </c>
      <c r="B759" s="17" t="s">
        <v>1088</v>
      </c>
      <c r="C759" s="17" t="s">
        <v>1798</v>
      </c>
      <c r="D759" s="17" t="s">
        <v>1951</v>
      </c>
      <c r="E759" s="26">
        <v>1</v>
      </c>
      <c r="F759" s="26">
        <v>0</v>
      </c>
      <c r="G759" s="26">
        <f>E759*AD759</f>
        <v>0</v>
      </c>
      <c r="H759" s="26">
        <f>I759-G759</f>
        <v>0</v>
      </c>
      <c r="I759" s="26">
        <f>E759*F759</f>
        <v>0</v>
      </c>
      <c r="J759" s="72">
        <v>0</v>
      </c>
      <c r="K759" s="72">
        <f>E759*J759</f>
        <v>0</v>
      </c>
      <c r="L759" s="35" t="s">
        <v>1961</v>
      </c>
      <c r="M759" s="35" t="s">
        <v>122</v>
      </c>
      <c r="N759" s="26">
        <f>IF(M759="5",H759,0)</f>
        <v>0</v>
      </c>
      <c r="Y759" s="26">
        <f>IF(AC759=0,I759,0)</f>
        <v>0</v>
      </c>
      <c r="Z759" s="26">
        <f>IF(AC759=15,I759,0)</f>
        <v>0</v>
      </c>
      <c r="AA759" s="26">
        <f>IF(AC759=21,I759,0)</f>
        <v>0</v>
      </c>
      <c r="AC759" s="12">
        <v>21</v>
      </c>
      <c r="AD759" s="12">
        <f>F759*0.902769416014449</f>
        <v>0</v>
      </c>
      <c r="AE759" s="12">
        <f>F759*(1-0.902769416014449)</f>
        <v>0</v>
      </c>
      <c r="AL759" s="12">
        <f>E759*AD759</f>
        <v>0</v>
      </c>
      <c r="AM759" s="12">
        <f>E759*AE759</f>
        <v>0</v>
      </c>
      <c r="AN759" s="38" t="s">
        <v>2006</v>
      </c>
      <c r="AO759" s="38" t="s">
        <v>2030</v>
      </c>
      <c r="AP759" s="32" t="s">
        <v>2053</v>
      </c>
    </row>
    <row r="760" ht="12.75">
      <c r="C760" s="24" t="s">
        <v>1705</v>
      </c>
    </row>
    <row r="761" spans="1:42" ht="12.75">
      <c r="A761" s="50" t="s">
        <v>551</v>
      </c>
      <c r="B761" s="17" t="s">
        <v>1089</v>
      </c>
      <c r="C761" s="17" t="s">
        <v>1799</v>
      </c>
      <c r="D761" s="17" t="s">
        <v>1951</v>
      </c>
      <c r="E761" s="26">
        <v>3</v>
      </c>
      <c r="F761" s="26">
        <v>0</v>
      </c>
      <c r="G761" s="26">
        <f>E761*AD761</f>
        <v>0</v>
      </c>
      <c r="H761" s="26">
        <f>I761-G761</f>
        <v>0</v>
      </c>
      <c r="I761" s="26">
        <f>E761*F761</f>
        <v>0</v>
      </c>
      <c r="J761" s="72">
        <v>0</v>
      </c>
      <c r="K761" s="72">
        <f>E761*J761</f>
        <v>0</v>
      </c>
      <c r="L761" s="35" t="s">
        <v>1961</v>
      </c>
      <c r="M761" s="35" t="s">
        <v>122</v>
      </c>
      <c r="N761" s="26">
        <f>IF(M761="5",H761,0)</f>
        <v>0</v>
      </c>
      <c r="Y761" s="26">
        <f>IF(AC761=0,I761,0)</f>
        <v>0</v>
      </c>
      <c r="Z761" s="26">
        <f>IF(AC761=15,I761,0)</f>
        <v>0</v>
      </c>
      <c r="AA761" s="26">
        <f>IF(AC761=21,I761,0)</f>
        <v>0</v>
      </c>
      <c r="AC761" s="12">
        <v>21</v>
      </c>
      <c r="AD761" s="12">
        <f>F761*0.91994835377663</f>
        <v>0</v>
      </c>
      <c r="AE761" s="12">
        <f>F761*(1-0.91994835377663)</f>
        <v>0</v>
      </c>
      <c r="AL761" s="12">
        <f>E761*AD761</f>
        <v>0</v>
      </c>
      <c r="AM761" s="12">
        <f>E761*AE761</f>
        <v>0</v>
      </c>
      <c r="AN761" s="38" t="s">
        <v>2006</v>
      </c>
      <c r="AO761" s="38" t="s">
        <v>2030</v>
      </c>
      <c r="AP761" s="32" t="s">
        <v>2053</v>
      </c>
    </row>
    <row r="762" ht="12.75">
      <c r="C762" s="24" t="s">
        <v>1705</v>
      </c>
    </row>
    <row r="763" spans="1:42" ht="12.75">
      <c r="A763" s="50" t="s">
        <v>552</v>
      </c>
      <c r="B763" s="17" t="s">
        <v>1090</v>
      </c>
      <c r="C763" s="17" t="s">
        <v>1800</v>
      </c>
      <c r="D763" s="17" t="s">
        <v>1951</v>
      </c>
      <c r="E763" s="26">
        <v>1</v>
      </c>
      <c r="F763" s="26">
        <v>0</v>
      </c>
      <c r="G763" s="26">
        <f>E763*AD763</f>
        <v>0</v>
      </c>
      <c r="H763" s="26">
        <f>I763-G763</f>
        <v>0</v>
      </c>
      <c r="I763" s="26">
        <f>E763*F763</f>
        <v>0</v>
      </c>
      <c r="J763" s="72">
        <v>0</v>
      </c>
      <c r="K763" s="72">
        <f>E763*J763</f>
        <v>0</v>
      </c>
      <c r="L763" s="35" t="s">
        <v>1961</v>
      </c>
      <c r="M763" s="35" t="s">
        <v>122</v>
      </c>
      <c r="N763" s="26">
        <f>IF(M763="5",H763,0)</f>
        <v>0</v>
      </c>
      <c r="Y763" s="26">
        <f>IF(AC763=0,I763,0)</f>
        <v>0</v>
      </c>
      <c r="Z763" s="26">
        <f>IF(AC763=15,I763,0)</f>
        <v>0</v>
      </c>
      <c r="AA763" s="26">
        <f>IF(AC763=21,I763,0)</f>
        <v>0</v>
      </c>
      <c r="AC763" s="12">
        <v>21</v>
      </c>
      <c r="AD763" s="12">
        <f>F763*0.906364301389905</f>
        <v>0</v>
      </c>
      <c r="AE763" s="12">
        <f>F763*(1-0.906364301389905)</f>
        <v>0</v>
      </c>
      <c r="AL763" s="12">
        <f>E763*AD763</f>
        <v>0</v>
      </c>
      <c r="AM763" s="12">
        <f>E763*AE763</f>
        <v>0</v>
      </c>
      <c r="AN763" s="38" t="s">
        <v>2006</v>
      </c>
      <c r="AO763" s="38" t="s">
        <v>2030</v>
      </c>
      <c r="AP763" s="32" t="s">
        <v>2053</v>
      </c>
    </row>
    <row r="764" ht="12.75">
      <c r="C764" s="24" t="s">
        <v>1705</v>
      </c>
    </row>
    <row r="765" spans="1:42" ht="12.75">
      <c r="A765" s="50" t="s">
        <v>553</v>
      </c>
      <c r="B765" s="17" t="s">
        <v>1091</v>
      </c>
      <c r="C765" s="17" t="s">
        <v>1801</v>
      </c>
      <c r="D765" s="17" t="s">
        <v>1951</v>
      </c>
      <c r="E765" s="26">
        <v>3</v>
      </c>
      <c r="F765" s="26">
        <v>0</v>
      </c>
      <c r="G765" s="26">
        <f>E765*AD765</f>
        <v>0</v>
      </c>
      <c r="H765" s="26">
        <f>I765-G765</f>
        <v>0</v>
      </c>
      <c r="I765" s="26">
        <f>E765*F765</f>
        <v>0</v>
      </c>
      <c r="J765" s="72">
        <v>0</v>
      </c>
      <c r="K765" s="72">
        <f>E765*J765</f>
        <v>0</v>
      </c>
      <c r="L765" s="35" t="s">
        <v>1961</v>
      </c>
      <c r="M765" s="35" t="s">
        <v>122</v>
      </c>
      <c r="N765" s="26">
        <f>IF(M765="5",H765,0)</f>
        <v>0</v>
      </c>
      <c r="Y765" s="26">
        <f>IF(AC765=0,I765,0)</f>
        <v>0</v>
      </c>
      <c r="Z765" s="26">
        <f>IF(AC765=15,I765,0)</f>
        <v>0</v>
      </c>
      <c r="AA765" s="26">
        <f>IF(AC765=21,I765,0)</f>
        <v>0</v>
      </c>
      <c r="AC765" s="12">
        <v>21</v>
      </c>
      <c r="AD765" s="12">
        <f>F765*0.918279569892473</f>
        <v>0</v>
      </c>
      <c r="AE765" s="12">
        <f>F765*(1-0.918279569892473)</f>
        <v>0</v>
      </c>
      <c r="AL765" s="12">
        <f>E765*AD765</f>
        <v>0</v>
      </c>
      <c r="AM765" s="12">
        <f>E765*AE765</f>
        <v>0</v>
      </c>
      <c r="AN765" s="38" t="s">
        <v>2006</v>
      </c>
      <c r="AO765" s="38" t="s">
        <v>2030</v>
      </c>
      <c r="AP765" s="32" t="s">
        <v>2053</v>
      </c>
    </row>
    <row r="766" ht="12.75">
      <c r="C766" s="24" t="s">
        <v>1705</v>
      </c>
    </row>
    <row r="767" spans="1:42" s="60" customFormat="1" ht="26.25">
      <c r="A767" s="56" t="s">
        <v>554</v>
      </c>
      <c r="B767" s="57" t="s">
        <v>1092</v>
      </c>
      <c r="C767" s="57" t="s">
        <v>1802</v>
      </c>
      <c r="D767" s="57" t="s">
        <v>1951</v>
      </c>
      <c r="E767" s="58">
        <v>2</v>
      </c>
      <c r="F767" s="58">
        <v>0</v>
      </c>
      <c r="G767" s="58">
        <f>E767*AD767</f>
        <v>0</v>
      </c>
      <c r="H767" s="58">
        <f>I767-G767</f>
        <v>0</v>
      </c>
      <c r="I767" s="58">
        <f>E767*F767</f>
        <v>0</v>
      </c>
      <c r="J767" s="77">
        <v>0</v>
      </c>
      <c r="K767" s="77">
        <f>E767*J767</f>
        <v>0</v>
      </c>
      <c r="L767" s="59" t="s">
        <v>1961</v>
      </c>
      <c r="M767" s="59" t="s">
        <v>122</v>
      </c>
      <c r="N767" s="58">
        <f>IF(M767="5",H767,0)</f>
        <v>0</v>
      </c>
      <c r="Y767" s="58">
        <f>IF(AC767=0,I767,0)</f>
        <v>0</v>
      </c>
      <c r="Z767" s="58">
        <f>IF(AC767=15,I767,0)</f>
        <v>0</v>
      </c>
      <c r="AA767" s="58">
        <f>IF(AC767=21,I767,0)</f>
        <v>0</v>
      </c>
      <c r="AC767" s="61">
        <v>21</v>
      </c>
      <c r="AD767" s="61">
        <f>F767*0.971570161711007</f>
        <v>0</v>
      </c>
      <c r="AE767" s="61">
        <f>F767*(1-0.971570161711007)</f>
        <v>0</v>
      </c>
      <c r="AL767" s="61">
        <f>E767*AD767</f>
        <v>0</v>
      </c>
      <c r="AM767" s="61">
        <f>E767*AE767</f>
        <v>0</v>
      </c>
      <c r="AN767" s="62" t="s">
        <v>2006</v>
      </c>
      <c r="AO767" s="62" t="s">
        <v>2030</v>
      </c>
      <c r="AP767" s="63" t="s">
        <v>2053</v>
      </c>
    </row>
    <row r="768" ht="12.75">
      <c r="C768" s="24" t="s">
        <v>1705</v>
      </c>
    </row>
    <row r="769" spans="1:42" s="60" customFormat="1" ht="26.25">
      <c r="A769" s="56" t="s">
        <v>555</v>
      </c>
      <c r="B769" s="57" t="s">
        <v>1093</v>
      </c>
      <c r="C769" s="57" t="s">
        <v>1803</v>
      </c>
      <c r="D769" s="57" t="s">
        <v>1951</v>
      </c>
      <c r="E769" s="58">
        <v>3</v>
      </c>
      <c r="F769" s="58">
        <v>0</v>
      </c>
      <c r="G769" s="58">
        <f>E769*AD769</f>
        <v>0</v>
      </c>
      <c r="H769" s="58">
        <f>I769-G769</f>
        <v>0</v>
      </c>
      <c r="I769" s="58">
        <f>E769*F769</f>
        <v>0</v>
      </c>
      <c r="J769" s="77">
        <v>0</v>
      </c>
      <c r="K769" s="77">
        <f>E769*J769</f>
        <v>0</v>
      </c>
      <c r="L769" s="59" t="s">
        <v>1961</v>
      </c>
      <c r="M769" s="59" t="s">
        <v>122</v>
      </c>
      <c r="N769" s="58">
        <f>IF(M769="5",H769,0)</f>
        <v>0</v>
      </c>
      <c r="Y769" s="58">
        <f>IF(AC769=0,I769,0)</f>
        <v>0</v>
      </c>
      <c r="Z769" s="58">
        <f>IF(AC769=15,I769,0)</f>
        <v>0</v>
      </c>
      <c r="AA769" s="58">
        <f>IF(AC769=21,I769,0)</f>
        <v>0</v>
      </c>
      <c r="AC769" s="61">
        <v>21</v>
      </c>
      <c r="AD769" s="61">
        <f>F769*0.964611872146119</f>
        <v>0</v>
      </c>
      <c r="AE769" s="61">
        <f>F769*(1-0.964611872146119)</f>
        <v>0</v>
      </c>
      <c r="AL769" s="61">
        <f>E769*AD769</f>
        <v>0</v>
      </c>
      <c r="AM769" s="61">
        <f>E769*AE769</f>
        <v>0</v>
      </c>
      <c r="AN769" s="62" t="s">
        <v>2006</v>
      </c>
      <c r="AO769" s="62" t="s">
        <v>2030</v>
      </c>
      <c r="AP769" s="63" t="s">
        <v>2053</v>
      </c>
    </row>
    <row r="770" ht="12.75">
      <c r="C770" s="24" t="s">
        <v>1705</v>
      </c>
    </row>
    <row r="771" spans="1:42" ht="12.75">
      <c r="A771" s="50" t="s">
        <v>556</v>
      </c>
      <c r="B771" s="17" t="s">
        <v>1094</v>
      </c>
      <c r="C771" s="17" t="s">
        <v>1804</v>
      </c>
      <c r="D771" s="17" t="s">
        <v>1951</v>
      </c>
      <c r="E771" s="26">
        <v>3</v>
      </c>
      <c r="F771" s="26">
        <v>0</v>
      </c>
      <c r="G771" s="26">
        <f>E771*AD771</f>
        <v>0</v>
      </c>
      <c r="H771" s="26">
        <f>I771-G771</f>
        <v>0</v>
      </c>
      <c r="I771" s="26">
        <f>E771*F771</f>
        <v>0</v>
      </c>
      <c r="J771" s="72">
        <v>0</v>
      </c>
      <c r="K771" s="72">
        <f>E771*J771</f>
        <v>0</v>
      </c>
      <c r="L771" s="35" t="s">
        <v>1961</v>
      </c>
      <c r="M771" s="35" t="s">
        <v>122</v>
      </c>
      <c r="N771" s="26">
        <f>IF(M771="5",H771,0)</f>
        <v>0</v>
      </c>
      <c r="Y771" s="26">
        <f>IF(AC771=0,I771,0)</f>
        <v>0</v>
      </c>
      <c r="Z771" s="26">
        <f>IF(AC771=15,I771,0)</f>
        <v>0</v>
      </c>
      <c r="AA771" s="26">
        <f>IF(AC771=21,I771,0)</f>
        <v>0</v>
      </c>
      <c r="AC771" s="12">
        <v>21</v>
      </c>
      <c r="AD771" s="12">
        <f>F771*0.901719901719902</f>
        <v>0</v>
      </c>
      <c r="AE771" s="12">
        <f>F771*(1-0.901719901719902)</f>
        <v>0</v>
      </c>
      <c r="AL771" s="12">
        <f>E771*AD771</f>
        <v>0</v>
      </c>
      <c r="AM771" s="12">
        <f>E771*AE771</f>
        <v>0</v>
      </c>
      <c r="AN771" s="38" t="s">
        <v>2006</v>
      </c>
      <c r="AO771" s="38" t="s">
        <v>2030</v>
      </c>
      <c r="AP771" s="32" t="s">
        <v>2053</v>
      </c>
    </row>
    <row r="772" ht="12.75">
      <c r="C772" s="24" t="s">
        <v>1705</v>
      </c>
    </row>
    <row r="773" spans="1:36" ht="12.75">
      <c r="A773" s="52"/>
      <c r="B773" s="23" t="s">
        <v>31</v>
      </c>
      <c r="C773" s="121" t="s">
        <v>77</v>
      </c>
      <c r="D773" s="122"/>
      <c r="E773" s="122"/>
      <c r="F773" s="122"/>
      <c r="G773" s="40">
        <f>SUM(G774:G805)</f>
        <v>0</v>
      </c>
      <c r="H773" s="40">
        <f>SUM(H774:H805)</f>
        <v>0</v>
      </c>
      <c r="I773" s="40">
        <f>G773+H773</f>
        <v>0</v>
      </c>
      <c r="J773" s="74"/>
      <c r="K773" s="74">
        <f>SUM(K774:K805)</f>
        <v>1.5139208</v>
      </c>
      <c r="L773" s="32"/>
      <c r="O773" s="40">
        <f>IF(P773="PR",I773,SUM(N774:N805))</f>
        <v>0</v>
      </c>
      <c r="P773" s="32" t="s">
        <v>1968</v>
      </c>
      <c r="Q773" s="40">
        <f>IF(P773="HS",G773,0)</f>
        <v>0</v>
      </c>
      <c r="R773" s="40">
        <f>IF(P773="HS",H773-O773,0)</f>
        <v>0</v>
      </c>
      <c r="S773" s="40">
        <f>IF(P773="PS",G773,0)</f>
        <v>0</v>
      </c>
      <c r="T773" s="40">
        <f>IF(P773="PS",H773-O773,0)</f>
        <v>0</v>
      </c>
      <c r="U773" s="40">
        <f>IF(P773="MP",G773,0)</f>
        <v>0</v>
      </c>
      <c r="V773" s="40">
        <f>IF(P773="MP",H773-O773,0)</f>
        <v>0</v>
      </c>
      <c r="W773" s="40">
        <f>IF(P773="OM",G773,0)</f>
        <v>0</v>
      </c>
      <c r="X773" s="32"/>
      <c r="AH773" s="40">
        <f>SUM(Y774:Y805)</f>
        <v>0</v>
      </c>
      <c r="AI773" s="40">
        <f>SUM(Z774:Z805)</f>
        <v>0</v>
      </c>
      <c r="AJ773" s="40">
        <f>SUM(AA774:AA805)</f>
        <v>0</v>
      </c>
    </row>
    <row r="774" spans="1:42" ht="12.75">
      <c r="A774" s="50" t="s">
        <v>557</v>
      </c>
      <c r="B774" s="17" t="s">
        <v>1095</v>
      </c>
      <c r="C774" s="17" t="s">
        <v>1805</v>
      </c>
      <c r="D774" s="17" t="s">
        <v>1941</v>
      </c>
      <c r="E774" s="26">
        <v>52.26</v>
      </c>
      <c r="F774" s="26">
        <v>0</v>
      </c>
      <c r="G774" s="26">
        <f>E774*AD774</f>
        <v>0</v>
      </c>
      <c r="H774" s="26">
        <f>I774-G774</f>
        <v>0</v>
      </c>
      <c r="I774" s="26">
        <f>E774*F774</f>
        <v>0</v>
      </c>
      <c r="J774" s="72">
        <v>0.002</v>
      </c>
      <c r="K774" s="72">
        <f>E774*J774</f>
        <v>0.10452</v>
      </c>
      <c r="L774" s="35" t="s">
        <v>1959</v>
      </c>
      <c r="M774" s="35" t="s">
        <v>122</v>
      </c>
      <c r="N774" s="26">
        <f>IF(M774="5",H774,0)</f>
        <v>0</v>
      </c>
      <c r="Y774" s="26">
        <f>IF(AC774=0,I774,0)</f>
        <v>0</v>
      </c>
      <c r="Z774" s="26">
        <f>IF(AC774=15,I774,0)</f>
        <v>0</v>
      </c>
      <c r="AA774" s="26">
        <f>IF(AC774=21,I774,0)</f>
        <v>0</v>
      </c>
      <c r="AC774" s="12">
        <v>21</v>
      </c>
      <c r="AD774" s="12">
        <f>F774*0</f>
        <v>0</v>
      </c>
      <c r="AE774" s="12">
        <f>F774*(1-0)</f>
        <v>0</v>
      </c>
      <c r="AL774" s="12">
        <f>E774*AD774</f>
        <v>0</v>
      </c>
      <c r="AM774" s="12">
        <f>E774*AE774</f>
        <v>0</v>
      </c>
      <c r="AN774" s="38" t="s">
        <v>2007</v>
      </c>
      <c r="AO774" s="38" t="s">
        <v>2030</v>
      </c>
      <c r="AP774" s="32" t="s">
        <v>2045</v>
      </c>
    </row>
    <row r="775" spans="1:42" ht="12.75">
      <c r="A775" s="50" t="s">
        <v>558</v>
      </c>
      <c r="B775" s="17" t="s">
        <v>1096</v>
      </c>
      <c r="C775" s="17" t="s">
        <v>1806</v>
      </c>
      <c r="D775" s="17" t="s">
        <v>1941</v>
      </c>
      <c r="E775" s="26">
        <v>52.26</v>
      </c>
      <c r="F775" s="26">
        <v>0</v>
      </c>
      <c r="G775" s="26">
        <f>E775*AD775</f>
        <v>0</v>
      </c>
      <c r="H775" s="26">
        <f>I775-G775</f>
        <v>0</v>
      </c>
      <c r="I775" s="26">
        <f>E775*F775</f>
        <v>0</v>
      </c>
      <c r="J775" s="72">
        <v>0.012</v>
      </c>
      <c r="K775" s="72">
        <f>E775*J775</f>
        <v>0.62712</v>
      </c>
      <c r="L775" s="35" t="s">
        <v>1959</v>
      </c>
      <c r="M775" s="35" t="s">
        <v>122</v>
      </c>
      <c r="N775" s="26">
        <f>IF(M775="5",H775,0)</f>
        <v>0</v>
      </c>
      <c r="Y775" s="26">
        <f>IF(AC775=0,I775,0)</f>
        <v>0</v>
      </c>
      <c r="Z775" s="26">
        <f>IF(AC775=15,I775,0)</f>
        <v>0</v>
      </c>
      <c r="AA775" s="26">
        <f>IF(AC775=21,I775,0)</f>
        <v>0</v>
      </c>
      <c r="AC775" s="12">
        <v>21</v>
      </c>
      <c r="AD775" s="12">
        <f>F775*0</f>
        <v>0</v>
      </c>
      <c r="AE775" s="12">
        <f>F775*(1-0)</f>
        <v>0</v>
      </c>
      <c r="AL775" s="12">
        <f>E775*AD775</f>
        <v>0</v>
      </c>
      <c r="AM775" s="12">
        <f>E775*AE775</f>
        <v>0</v>
      </c>
      <c r="AN775" s="38" t="s">
        <v>2007</v>
      </c>
      <c r="AO775" s="38" t="s">
        <v>2030</v>
      </c>
      <c r="AP775" s="32" t="s">
        <v>2045</v>
      </c>
    </row>
    <row r="776" spans="1:42" ht="12.75">
      <c r="A776" s="50" t="s">
        <v>559</v>
      </c>
      <c r="B776" s="17" t="s">
        <v>1097</v>
      </c>
      <c r="C776" s="17" t="s">
        <v>1807</v>
      </c>
      <c r="D776" s="17" t="s">
        <v>1953</v>
      </c>
      <c r="E776" s="26">
        <v>1</v>
      </c>
      <c r="F776" s="26">
        <v>0</v>
      </c>
      <c r="G776" s="26">
        <f>E776*AD776</f>
        <v>0</v>
      </c>
      <c r="H776" s="26">
        <f>I776-G776</f>
        <v>0</v>
      </c>
      <c r="I776" s="26">
        <f>E776*F776</f>
        <v>0</v>
      </c>
      <c r="J776" s="72">
        <v>6E-05</v>
      </c>
      <c r="K776" s="72">
        <f>E776*J776</f>
        <v>6E-05</v>
      </c>
      <c r="L776" s="35" t="s">
        <v>1961</v>
      </c>
      <c r="M776" s="35" t="s">
        <v>122</v>
      </c>
      <c r="N776" s="26">
        <f>IF(M776="5",H776,0)</f>
        <v>0</v>
      </c>
      <c r="Y776" s="26">
        <f>IF(AC776=0,I776,0)</f>
        <v>0</v>
      </c>
      <c r="Z776" s="26">
        <f>IF(AC776=15,I776,0)</f>
        <v>0</v>
      </c>
      <c r="AA776" s="26">
        <f>IF(AC776=21,I776,0)</f>
        <v>0</v>
      </c>
      <c r="AC776" s="12">
        <v>21</v>
      </c>
      <c r="AD776" s="12">
        <f>F776*0.925846029391937</f>
        <v>0</v>
      </c>
      <c r="AE776" s="12">
        <f>F776*(1-0.925846029391937)</f>
        <v>0</v>
      </c>
      <c r="AL776" s="12">
        <f>E776*AD776</f>
        <v>0</v>
      </c>
      <c r="AM776" s="12">
        <f>E776*AE776</f>
        <v>0</v>
      </c>
      <c r="AN776" s="38" t="s">
        <v>2007</v>
      </c>
      <c r="AO776" s="38" t="s">
        <v>2030</v>
      </c>
      <c r="AP776" s="32" t="s">
        <v>2007</v>
      </c>
    </row>
    <row r="777" ht="12.75">
      <c r="C777" s="24" t="s">
        <v>1808</v>
      </c>
    </row>
    <row r="778" spans="1:42" ht="12.75">
      <c r="A778" s="50" t="s">
        <v>560</v>
      </c>
      <c r="B778" s="17" t="s">
        <v>1098</v>
      </c>
      <c r="C778" s="17" t="s">
        <v>1809</v>
      </c>
      <c r="D778" s="17" t="s">
        <v>1941</v>
      </c>
      <c r="E778" s="26">
        <v>22.18</v>
      </c>
      <c r="F778" s="26">
        <v>0</v>
      </c>
      <c r="G778" s="26">
        <f>E778*AD778</f>
        <v>0</v>
      </c>
      <c r="H778" s="26">
        <f>I778-G778</f>
        <v>0</v>
      </c>
      <c r="I778" s="26">
        <f>E778*F778</f>
        <v>0</v>
      </c>
      <c r="J778" s="72">
        <v>0.007</v>
      </c>
      <c r="K778" s="72">
        <f>E778*J778</f>
        <v>0.15526</v>
      </c>
      <c r="L778" s="35" t="s">
        <v>1959</v>
      </c>
      <c r="M778" s="35" t="s">
        <v>122</v>
      </c>
      <c r="N778" s="26">
        <f>IF(M778="5",H778,0)</f>
        <v>0</v>
      </c>
      <c r="Y778" s="26">
        <f>IF(AC778=0,I778,0)</f>
        <v>0</v>
      </c>
      <c r="Z778" s="26">
        <f>IF(AC778=15,I778,0)</f>
        <v>0</v>
      </c>
      <c r="AA778" s="26">
        <f>IF(AC778=21,I778,0)</f>
        <v>0</v>
      </c>
      <c r="AC778" s="12">
        <v>21</v>
      </c>
      <c r="AD778" s="12">
        <f>F778*0</f>
        <v>0</v>
      </c>
      <c r="AE778" s="12">
        <f>F778*(1-0)</f>
        <v>0</v>
      </c>
      <c r="AL778" s="12">
        <f>E778*AD778</f>
        <v>0</v>
      </c>
      <c r="AM778" s="12">
        <f>E778*AE778</f>
        <v>0</v>
      </c>
      <c r="AN778" s="38" t="s">
        <v>2007</v>
      </c>
      <c r="AO778" s="38" t="s">
        <v>2030</v>
      </c>
      <c r="AP778" s="32" t="s">
        <v>2045</v>
      </c>
    </row>
    <row r="779" ht="26.25">
      <c r="C779" s="24" t="s">
        <v>1810</v>
      </c>
    </row>
    <row r="780" spans="1:42" ht="12.75">
      <c r="A780" s="50" t="s">
        <v>561</v>
      </c>
      <c r="B780" s="17" t="s">
        <v>1099</v>
      </c>
      <c r="C780" s="17" t="s">
        <v>1811</v>
      </c>
      <c r="D780" s="17" t="s">
        <v>1941</v>
      </c>
      <c r="E780" s="26">
        <v>1.76</v>
      </c>
      <c r="F780" s="26">
        <v>0</v>
      </c>
      <c r="G780" s="26">
        <f>E780*AD780</f>
        <v>0</v>
      </c>
      <c r="H780" s="26">
        <f>I780-G780</f>
        <v>0</v>
      </c>
      <c r="I780" s="26">
        <f>E780*F780</f>
        <v>0</v>
      </c>
      <c r="J780" s="72">
        <v>0</v>
      </c>
      <c r="K780" s="72">
        <f>E780*J780</f>
        <v>0</v>
      </c>
      <c r="L780" s="35" t="s">
        <v>1961</v>
      </c>
      <c r="M780" s="35" t="s">
        <v>122</v>
      </c>
      <c r="N780" s="26">
        <f>IF(M780="5",H780,0)</f>
        <v>0</v>
      </c>
      <c r="Y780" s="26">
        <f>IF(AC780=0,I780,0)</f>
        <v>0</v>
      </c>
      <c r="Z780" s="26">
        <f>IF(AC780=15,I780,0)</f>
        <v>0</v>
      </c>
      <c r="AA780" s="26">
        <f>IF(AC780=21,I780,0)</f>
        <v>0</v>
      </c>
      <c r="AC780" s="12">
        <v>21</v>
      </c>
      <c r="AD780" s="12">
        <f>F780*0.882846774193548</f>
        <v>0</v>
      </c>
      <c r="AE780" s="12">
        <f>F780*(1-0.882846774193548)</f>
        <v>0</v>
      </c>
      <c r="AL780" s="12">
        <f>E780*AD780</f>
        <v>0</v>
      </c>
      <c r="AM780" s="12">
        <f>E780*AE780</f>
        <v>0</v>
      </c>
      <c r="AN780" s="38" t="s">
        <v>2007</v>
      </c>
      <c r="AO780" s="38" t="s">
        <v>2030</v>
      </c>
      <c r="AP780" s="32" t="s">
        <v>2007</v>
      </c>
    </row>
    <row r="781" ht="12.75">
      <c r="C781" s="24" t="s">
        <v>1808</v>
      </c>
    </row>
    <row r="782" spans="1:42" ht="12.75">
      <c r="A782" s="50" t="s">
        <v>562</v>
      </c>
      <c r="B782" s="17" t="s">
        <v>1100</v>
      </c>
      <c r="C782" s="17" t="s">
        <v>1812</v>
      </c>
      <c r="D782" s="17" t="s">
        <v>1941</v>
      </c>
      <c r="E782" s="26">
        <v>0.78</v>
      </c>
      <c r="F782" s="26">
        <v>0</v>
      </c>
      <c r="G782" s="26">
        <f>E782*AD782</f>
        <v>0</v>
      </c>
      <c r="H782" s="26">
        <f>I782-G782</f>
        <v>0</v>
      </c>
      <c r="I782" s="26">
        <f>E782*F782</f>
        <v>0</v>
      </c>
      <c r="J782" s="72">
        <v>0.03681</v>
      </c>
      <c r="K782" s="72">
        <f>E782*J782</f>
        <v>0.028711800000000003</v>
      </c>
      <c r="L782" s="35" t="s">
        <v>1961</v>
      </c>
      <c r="M782" s="35" t="s">
        <v>122</v>
      </c>
      <c r="N782" s="26">
        <f>IF(M782="5",H782,0)</f>
        <v>0</v>
      </c>
      <c r="Y782" s="26">
        <f>IF(AC782=0,I782,0)</f>
        <v>0</v>
      </c>
      <c r="Z782" s="26">
        <f>IF(AC782=15,I782,0)</f>
        <v>0</v>
      </c>
      <c r="AA782" s="26">
        <f>IF(AC782=21,I782,0)</f>
        <v>0</v>
      </c>
      <c r="AC782" s="12">
        <v>21</v>
      </c>
      <c r="AD782" s="12">
        <f>F782*0.882846774193548</f>
        <v>0</v>
      </c>
      <c r="AE782" s="12">
        <f>F782*(1-0.882846774193548)</f>
        <v>0</v>
      </c>
      <c r="AL782" s="12">
        <f>E782*AD782</f>
        <v>0</v>
      </c>
      <c r="AM782" s="12">
        <f>E782*AE782</f>
        <v>0</v>
      </c>
      <c r="AN782" s="38" t="s">
        <v>2007</v>
      </c>
      <c r="AO782" s="38" t="s">
        <v>2030</v>
      </c>
      <c r="AP782" s="32" t="s">
        <v>2007</v>
      </c>
    </row>
    <row r="783" ht="12.75">
      <c r="C783" s="24" t="s">
        <v>1808</v>
      </c>
    </row>
    <row r="784" spans="1:42" ht="12.75">
      <c r="A784" s="50" t="s">
        <v>563</v>
      </c>
      <c r="B784" s="17" t="s">
        <v>1101</v>
      </c>
      <c r="C784" s="17" t="s">
        <v>1813</v>
      </c>
      <c r="D784" s="17" t="s">
        <v>1941</v>
      </c>
      <c r="E784" s="26">
        <v>0.9</v>
      </c>
      <c r="F784" s="26">
        <v>0</v>
      </c>
      <c r="G784" s="26">
        <f>E784*AD784</f>
        <v>0</v>
      </c>
      <c r="H784" s="26">
        <f>I784-G784</f>
        <v>0</v>
      </c>
      <c r="I784" s="26">
        <f>E784*F784</f>
        <v>0</v>
      </c>
      <c r="J784" s="72">
        <v>0.03681</v>
      </c>
      <c r="K784" s="72">
        <f>E784*J784</f>
        <v>0.033129000000000006</v>
      </c>
      <c r="L784" s="35" t="s">
        <v>1961</v>
      </c>
      <c r="M784" s="35" t="s">
        <v>122</v>
      </c>
      <c r="N784" s="26">
        <f>IF(M784="5",H784,0)</f>
        <v>0</v>
      </c>
      <c r="Y784" s="26">
        <f>IF(AC784=0,I784,0)</f>
        <v>0</v>
      </c>
      <c r="Z784" s="26">
        <f>IF(AC784=15,I784,0)</f>
        <v>0</v>
      </c>
      <c r="AA784" s="26">
        <f>IF(AC784=21,I784,0)</f>
        <v>0</v>
      </c>
      <c r="AC784" s="12">
        <v>21</v>
      </c>
      <c r="AD784" s="12">
        <f>F784*0.882846774193548</f>
        <v>0</v>
      </c>
      <c r="AE784" s="12">
        <f>F784*(1-0.882846774193548)</f>
        <v>0</v>
      </c>
      <c r="AL784" s="12">
        <f>E784*AD784</f>
        <v>0</v>
      </c>
      <c r="AM784" s="12">
        <f>E784*AE784</f>
        <v>0</v>
      </c>
      <c r="AN784" s="38" t="s">
        <v>2007</v>
      </c>
      <c r="AO784" s="38" t="s">
        <v>2030</v>
      </c>
      <c r="AP784" s="32" t="s">
        <v>2007</v>
      </c>
    </row>
    <row r="785" ht="12.75">
      <c r="C785" s="24" t="s">
        <v>1808</v>
      </c>
    </row>
    <row r="786" spans="1:42" ht="12.75">
      <c r="A786" s="50" t="s">
        <v>564</v>
      </c>
      <c r="B786" s="17" t="s">
        <v>1102</v>
      </c>
      <c r="C786" s="17" t="s">
        <v>1814</v>
      </c>
      <c r="D786" s="17" t="s">
        <v>1951</v>
      </c>
      <c r="E786" s="26">
        <v>3</v>
      </c>
      <c r="F786" s="26">
        <v>0</v>
      </c>
      <c r="G786" s="26">
        <f>E786*AD786</f>
        <v>0</v>
      </c>
      <c r="H786" s="26">
        <f>I786-G786</f>
        <v>0</v>
      </c>
      <c r="I786" s="26">
        <f>E786*F786</f>
        <v>0</v>
      </c>
      <c r="J786" s="72">
        <v>0</v>
      </c>
      <c r="K786" s="72">
        <f>E786*J786</f>
        <v>0</v>
      </c>
      <c r="L786" s="35" t="s">
        <v>1961</v>
      </c>
      <c r="M786" s="35" t="s">
        <v>122</v>
      </c>
      <c r="N786" s="26">
        <f>IF(M786="5",H786,0)</f>
        <v>0</v>
      </c>
      <c r="Y786" s="26">
        <f>IF(AC786=0,I786,0)</f>
        <v>0</v>
      </c>
      <c r="Z786" s="26">
        <f>IF(AC786=15,I786,0)</f>
        <v>0</v>
      </c>
      <c r="AA786" s="26">
        <f>IF(AC786=21,I786,0)</f>
        <v>0</v>
      </c>
      <c r="AC786" s="12">
        <v>21</v>
      </c>
      <c r="AD786" s="12">
        <f>F786*0.881824172069602</f>
        <v>0</v>
      </c>
      <c r="AE786" s="12">
        <f>F786*(1-0.881824172069602)</f>
        <v>0</v>
      </c>
      <c r="AL786" s="12">
        <f>E786*AD786</f>
        <v>0</v>
      </c>
      <c r="AM786" s="12">
        <f>E786*AE786</f>
        <v>0</v>
      </c>
      <c r="AN786" s="38" t="s">
        <v>2007</v>
      </c>
      <c r="AO786" s="38" t="s">
        <v>2030</v>
      </c>
      <c r="AP786" s="32" t="s">
        <v>2007</v>
      </c>
    </row>
    <row r="787" ht="12.75">
      <c r="C787" s="24" t="s">
        <v>1808</v>
      </c>
    </row>
    <row r="788" spans="1:42" ht="12.75">
      <c r="A788" s="50" t="s">
        <v>565</v>
      </c>
      <c r="B788" s="17" t="s">
        <v>1103</v>
      </c>
      <c r="C788" s="17" t="s">
        <v>1815</v>
      </c>
      <c r="D788" s="17" t="s">
        <v>1951</v>
      </c>
      <c r="E788" s="26">
        <v>6</v>
      </c>
      <c r="F788" s="26">
        <v>0</v>
      </c>
      <c r="G788" s="26">
        <f>E788*AD788</f>
        <v>0</v>
      </c>
      <c r="H788" s="26">
        <f>I788-G788</f>
        <v>0</v>
      </c>
      <c r="I788" s="26">
        <f>E788*F788</f>
        <v>0</v>
      </c>
      <c r="J788" s="72">
        <v>0</v>
      </c>
      <c r="K788" s="72">
        <f>E788*J788</f>
        <v>0</v>
      </c>
      <c r="L788" s="35" t="s">
        <v>1961</v>
      </c>
      <c r="M788" s="35" t="s">
        <v>122</v>
      </c>
      <c r="N788" s="26">
        <f>IF(M788="5",H788,0)</f>
        <v>0</v>
      </c>
      <c r="Y788" s="26">
        <f>IF(AC788=0,I788,0)</f>
        <v>0</v>
      </c>
      <c r="Z788" s="26">
        <f>IF(AC788=15,I788,0)</f>
        <v>0</v>
      </c>
      <c r="AA788" s="26">
        <f>IF(AC788=21,I788,0)</f>
        <v>0</v>
      </c>
      <c r="AC788" s="12">
        <v>21</v>
      </c>
      <c r="AD788" s="12">
        <f>F788*0.909051068385433</f>
        <v>0</v>
      </c>
      <c r="AE788" s="12">
        <f>F788*(1-0.909051068385433)</f>
        <v>0</v>
      </c>
      <c r="AL788" s="12">
        <f>E788*AD788</f>
        <v>0</v>
      </c>
      <c r="AM788" s="12">
        <f>E788*AE788</f>
        <v>0</v>
      </c>
      <c r="AN788" s="38" t="s">
        <v>2007</v>
      </c>
      <c r="AO788" s="38" t="s">
        <v>2030</v>
      </c>
      <c r="AP788" s="32" t="s">
        <v>2007</v>
      </c>
    </row>
    <row r="789" ht="12.75">
      <c r="C789" s="24" t="s">
        <v>1808</v>
      </c>
    </row>
    <row r="790" spans="1:42" ht="12.75">
      <c r="A790" s="50" t="s">
        <v>566</v>
      </c>
      <c r="B790" s="17" t="s">
        <v>1104</v>
      </c>
      <c r="C790" s="17" t="s">
        <v>1816</v>
      </c>
      <c r="D790" s="17" t="s">
        <v>1941</v>
      </c>
      <c r="E790" s="26">
        <v>19.99</v>
      </c>
      <c r="F790" s="26">
        <v>0</v>
      </c>
      <c r="G790" s="26">
        <f>E790*AD790</f>
        <v>0</v>
      </c>
      <c r="H790" s="26">
        <f>I790-G790</f>
        <v>0</v>
      </c>
      <c r="I790" s="26">
        <f>E790*F790</f>
        <v>0</v>
      </c>
      <c r="J790" s="72">
        <v>0.018</v>
      </c>
      <c r="K790" s="72">
        <f>E790*J790</f>
        <v>0.3598199999999999</v>
      </c>
      <c r="L790" s="35" t="s">
        <v>1959</v>
      </c>
      <c r="M790" s="35" t="s">
        <v>122</v>
      </c>
      <c r="N790" s="26">
        <f>IF(M790="5",H790,0)</f>
        <v>0</v>
      </c>
      <c r="Y790" s="26">
        <f>IF(AC790=0,I790,0)</f>
        <v>0</v>
      </c>
      <c r="Z790" s="26">
        <f>IF(AC790=15,I790,0)</f>
        <v>0</v>
      </c>
      <c r="AA790" s="26">
        <f>IF(AC790=21,I790,0)</f>
        <v>0</v>
      </c>
      <c r="AC790" s="12">
        <v>21</v>
      </c>
      <c r="AD790" s="12">
        <f>F790*0</f>
        <v>0</v>
      </c>
      <c r="AE790" s="12">
        <f>F790*(1-0)</f>
        <v>0</v>
      </c>
      <c r="AL790" s="12">
        <f>E790*AD790</f>
        <v>0</v>
      </c>
      <c r="AM790" s="12">
        <f>E790*AE790</f>
        <v>0</v>
      </c>
      <c r="AN790" s="38" t="s">
        <v>2007</v>
      </c>
      <c r="AO790" s="38" t="s">
        <v>2030</v>
      </c>
      <c r="AP790" s="32" t="s">
        <v>2045</v>
      </c>
    </row>
    <row r="791" spans="1:42" s="60" customFormat="1" ht="26.25">
      <c r="A791" s="56" t="s">
        <v>567</v>
      </c>
      <c r="B791" s="57" t="s">
        <v>1105</v>
      </c>
      <c r="C791" s="57" t="s">
        <v>1817</v>
      </c>
      <c r="D791" s="57" t="s">
        <v>1949</v>
      </c>
      <c r="E791" s="58">
        <v>200</v>
      </c>
      <c r="F791" s="58">
        <v>0</v>
      </c>
      <c r="G791" s="58">
        <f>E791*AD791</f>
        <v>0</v>
      </c>
      <c r="H791" s="58">
        <f>I791-G791</f>
        <v>0</v>
      </c>
      <c r="I791" s="58">
        <f>E791*F791</f>
        <v>0</v>
      </c>
      <c r="J791" s="77">
        <v>6E-05</v>
      </c>
      <c r="K791" s="77">
        <f>E791*J791</f>
        <v>0.012</v>
      </c>
      <c r="L791" s="59" t="s">
        <v>1959</v>
      </c>
      <c r="M791" s="59" t="s">
        <v>122</v>
      </c>
      <c r="N791" s="58">
        <f>IF(M791="5",H791,0)</f>
        <v>0</v>
      </c>
      <c r="Y791" s="58">
        <f>IF(AC791=0,I791,0)</f>
        <v>0</v>
      </c>
      <c r="Z791" s="58">
        <f>IF(AC791=15,I791,0)</f>
        <v>0</v>
      </c>
      <c r="AA791" s="58">
        <f>IF(AC791=21,I791,0)</f>
        <v>0</v>
      </c>
      <c r="AC791" s="61">
        <v>21</v>
      </c>
      <c r="AD791" s="61">
        <f>F791*0.103568075117371</f>
        <v>0</v>
      </c>
      <c r="AE791" s="61">
        <f>F791*(1-0.103568075117371)</f>
        <v>0</v>
      </c>
      <c r="AL791" s="61">
        <f>E791*AD791</f>
        <v>0</v>
      </c>
      <c r="AM791" s="61">
        <f>E791*AE791</f>
        <v>0</v>
      </c>
      <c r="AN791" s="62" t="s">
        <v>2007</v>
      </c>
      <c r="AO791" s="62" t="s">
        <v>2030</v>
      </c>
      <c r="AP791" s="63" t="s">
        <v>2007</v>
      </c>
    </row>
    <row r="792" ht="12.75">
      <c r="C792" s="24" t="s">
        <v>1818</v>
      </c>
    </row>
    <row r="793" spans="1:42" ht="12.75">
      <c r="A793" s="50" t="s">
        <v>568</v>
      </c>
      <c r="B793" s="17" t="s">
        <v>1106</v>
      </c>
      <c r="C793" s="17" t="s">
        <v>1819</v>
      </c>
      <c r="D793" s="17" t="s">
        <v>1951</v>
      </c>
      <c r="E793" s="26">
        <v>1</v>
      </c>
      <c r="F793" s="26">
        <v>0</v>
      </c>
      <c r="G793" s="26">
        <f>E793*AD793</f>
        <v>0</v>
      </c>
      <c r="H793" s="26">
        <f>I793-G793</f>
        <v>0</v>
      </c>
      <c r="I793" s="26">
        <f>E793*F793</f>
        <v>0</v>
      </c>
      <c r="J793" s="72">
        <v>0</v>
      </c>
      <c r="K793" s="72">
        <f>E793*J793</f>
        <v>0</v>
      </c>
      <c r="L793" s="35" t="s">
        <v>1961</v>
      </c>
      <c r="M793" s="35" t="s">
        <v>122</v>
      </c>
      <c r="N793" s="26">
        <f>IF(M793="5",H793,0)</f>
        <v>0</v>
      </c>
      <c r="Y793" s="26">
        <f>IF(AC793=0,I793,0)</f>
        <v>0</v>
      </c>
      <c r="Z793" s="26">
        <f>IF(AC793=15,I793,0)</f>
        <v>0</v>
      </c>
      <c r="AA793" s="26">
        <f>IF(AC793=21,I793,0)</f>
        <v>0</v>
      </c>
      <c r="AC793" s="12">
        <v>21</v>
      </c>
      <c r="AD793" s="12">
        <f>F793*0</f>
        <v>0</v>
      </c>
      <c r="AE793" s="12">
        <f>F793*(1-0)</f>
        <v>0</v>
      </c>
      <c r="AL793" s="12">
        <f>E793*AD793</f>
        <v>0</v>
      </c>
      <c r="AM793" s="12">
        <f>E793*AE793</f>
        <v>0</v>
      </c>
      <c r="AN793" s="38" t="s">
        <v>2007</v>
      </c>
      <c r="AO793" s="38" t="s">
        <v>2030</v>
      </c>
      <c r="AP793" s="32" t="s">
        <v>2042</v>
      </c>
    </row>
    <row r="794" ht="12.75">
      <c r="C794" s="24" t="s">
        <v>1808</v>
      </c>
    </row>
    <row r="795" spans="1:42" s="60" customFormat="1" ht="26.25">
      <c r="A795" s="56" t="s">
        <v>569</v>
      </c>
      <c r="B795" s="57" t="s">
        <v>1107</v>
      </c>
      <c r="C795" s="57" t="s">
        <v>1820</v>
      </c>
      <c r="D795" s="57" t="s">
        <v>1949</v>
      </c>
      <c r="E795" s="58">
        <v>1200</v>
      </c>
      <c r="F795" s="58">
        <v>0</v>
      </c>
      <c r="G795" s="58">
        <f>E795*AD795</f>
        <v>0</v>
      </c>
      <c r="H795" s="58">
        <f>I795-G795</f>
        <v>0</v>
      </c>
      <c r="I795" s="58">
        <f>E795*F795</f>
        <v>0</v>
      </c>
      <c r="J795" s="77">
        <v>5E-05</v>
      </c>
      <c r="K795" s="77">
        <f>E795*J795</f>
        <v>0.060000000000000005</v>
      </c>
      <c r="L795" s="59" t="s">
        <v>1961</v>
      </c>
      <c r="M795" s="59" t="s">
        <v>122</v>
      </c>
      <c r="N795" s="58">
        <f>IF(M795="5",H795,0)</f>
        <v>0</v>
      </c>
      <c r="Y795" s="58">
        <f>IF(AC795=0,I795,0)</f>
        <v>0</v>
      </c>
      <c r="Z795" s="58">
        <f>IF(AC795=15,I795,0)</f>
        <v>0</v>
      </c>
      <c r="AA795" s="58">
        <f>IF(AC795=21,I795,0)</f>
        <v>0</v>
      </c>
      <c r="AC795" s="61">
        <v>21</v>
      </c>
      <c r="AD795" s="61">
        <f>F795*0.179328165374677</f>
        <v>0</v>
      </c>
      <c r="AE795" s="61">
        <f>F795*(1-0.179328165374677)</f>
        <v>0</v>
      </c>
      <c r="AL795" s="61">
        <f>E795*AD795</f>
        <v>0</v>
      </c>
      <c r="AM795" s="61">
        <f>E795*AE795</f>
        <v>0</v>
      </c>
      <c r="AN795" s="62" t="s">
        <v>2007</v>
      </c>
      <c r="AO795" s="62" t="s">
        <v>2030</v>
      </c>
      <c r="AP795" s="63" t="s">
        <v>2007</v>
      </c>
    </row>
    <row r="796" ht="12.75">
      <c r="C796" s="24" t="s">
        <v>1821</v>
      </c>
    </row>
    <row r="797" spans="1:42" s="60" customFormat="1" ht="26.25">
      <c r="A797" s="56" t="s">
        <v>570</v>
      </c>
      <c r="B797" s="57" t="s">
        <v>1108</v>
      </c>
      <c r="C797" s="57" t="s">
        <v>1822</v>
      </c>
      <c r="D797" s="57" t="s">
        <v>1947</v>
      </c>
      <c r="E797" s="58">
        <v>1</v>
      </c>
      <c r="F797" s="58">
        <v>0</v>
      </c>
      <c r="G797" s="58">
        <f>E797*AD797</f>
        <v>0</v>
      </c>
      <c r="H797" s="58">
        <f>I797-G797</f>
        <v>0</v>
      </c>
      <c r="I797" s="58">
        <f>E797*F797</f>
        <v>0</v>
      </c>
      <c r="J797" s="77">
        <v>0</v>
      </c>
      <c r="K797" s="77">
        <f>E797*J797</f>
        <v>0</v>
      </c>
      <c r="L797" s="59" t="s">
        <v>1961</v>
      </c>
      <c r="M797" s="59" t="s">
        <v>122</v>
      </c>
      <c r="N797" s="58">
        <f>IF(M797="5",H797,0)</f>
        <v>0</v>
      </c>
      <c r="Y797" s="58">
        <f>IF(AC797=0,I797,0)</f>
        <v>0</v>
      </c>
      <c r="Z797" s="58">
        <f>IF(AC797=15,I797,0)</f>
        <v>0</v>
      </c>
      <c r="AA797" s="58">
        <f>IF(AC797=21,I797,0)</f>
        <v>0</v>
      </c>
      <c r="AC797" s="61">
        <v>21</v>
      </c>
      <c r="AD797" s="61">
        <f>F797*0.692936665588765</f>
        <v>0</v>
      </c>
      <c r="AE797" s="61">
        <f>F797*(1-0.692936665588765)</f>
        <v>0</v>
      </c>
      <c r="AL797" s="61">
        <f>E797*AD797</f>
        <v>0</v>
      </c>
      <c r="AM797" s="61">
        <f>E797*AE797</f>
        <v>0</v>
      </c>
      <c r="AN797" s="62" t="s">
        <v>2007</v>
      </c>
      <c r="AO797" s="62" t="s">
        <v>2030</v>
      </c>
      <c r="AP797" s="63" t="s">
        <v>2007</v>
      </c>
    </row>
    <row r="798" ht="26.25">
      <c r="C798" s="24" t="s">
        <v>1823</v>
      </c>
    </row>
    <row r="799" spans="1:42" s="60" customFormat="1" ht="26.25">
      <c r="A799" s="56" t="s">
        <v>571</v>
      </c>
      <c r="B799" s="57" t="s">
        <v>1109</v>
      </c>
      <c r="C799" s="57" t="s">
        <v>1822</v>
      </c>
      <c r="D799" s="57" t="s">
        <v>1947</v>
      </c>
      <c r="E799" s="58">
        <v>1</v>
      </c>
      <c r="F799" s="58">
        <v>0</v>
      </c>
      <c r="G799" s="58">
        <f>E799*AD799</f>
        <v>0</v>
      </c>
      <c r="H799" s="58">
        <f>I799-G799</f>
        <v>0</v>
      </c>
      <c r="I799" s="58">
        <f>E799*F799</f>
        <v>0</v>
      </c>
      <c r="J799" s="77">
        <v>0</v>
      </c>
      <c r="K799" s="77">
        <f>E799*J799</f>
        <v>0</v>
      </c>
      <c r="L799" s="59" t="s">
        <v>1961</v>
      </c>
      <c r="M799" s="59" t="s">
        <v>122</v>
      </c>
      <c r="N799" s="58">
        <f>IF(M799="5",H799,0)</f>
        <v>0</v>
      </c>
      <c r="Y799" s="58">
        <f>IF(AC799=0,I799,0)</f>
        <v>0</v>
      </c>
      <c r="Z799" s="58">
        <f>IF(AC799=15,I799,0)</f>
        <v>0</v>
      </c>
      <c r="AA799" s="58">
        <f>IF(AC799=21,I799,0)</f>
        <v>0</v>
      </c>
      <c r="AC799" s="61">
        <v>21</v>
      </c>
      <c r="AD799" s="61">
        <f>F799*0.655107656024807</f>
        <v>0</v>
      </c>
      <c r="AE799" s="61">
        <f>F799*(1-0.655107656024807)</f>
        <v>0</v>
      </c>
      <c r="AL799" s="61">
        <f>E799*AD799</f>
        <v>0</v>
      </c>
      <c r="AM799" s="61">
        <f>E799*AE799</f>
        <v>0</v>
      </c>
      <c r="AN799" s="62" t="s">
        <v>2007</v>
      </c>
      <c r="AO799" s="62" t="s">
        <v>2030</v>
      </c>
      <c r="AP799" s="63" t="s">
        <v>2007</v>
      </c>
    </row>
    <row r="800" ht="26.25">
      <c r="C800" s="24" t="s">
        <v>1824</v>
      </c>
    </row>
    <row r="801" spans="1:42" s="60" customFormat="1" ht="26.25">
      <c r="A801" s="56" t="s">
        <v>572</v>
      </c>
      <c r="B801" s="57" t="s">
        <v>1110</v>
      </c>
      <c r="C801" s="57" t="s">
        <v>1825</v>
      </c>
      <c r="D801" s="57" t="s">
        <v>1949</v>
      </c>
      <c r="E801" s="58">
        <v>120</v>
      </c>
      <c r="F801" s="58">
        <v>0</v>
      </c>
      <c r="G801" s="58">
        <f>E801*AD801</f>
        <v>0</v>
      </c>
      <c r="H801" s="58">
        <f>I801-G801</f>
        <v>0</v>
      </c>
      <c r="I801" s="58">
        <f>E801*F801</f>
        <v>0</v>
      </c>
      <c r="J801" s="77">
        <v>0</v>
      </c>
      <c r="K801" s="77">
        <f>E801*J801</f>
        <v>0</v>
      </c>
      <c r="L801" s="59" t="s">
        <v>1961</v>
      </c>
      <c r="M801" s="59" t="s">
        <v>122</v>
      </c>
      <c r="N801" s="58">
        <f>IF(M801="5",H801,0)</f>
        <v>0</v>
      </c>
      <c r="Y801" s="58">
        <f>IF(AC801=0,I801,0)</f>
        <v>0</v>
      </c>
      <c r="Z801" s="58">
        <f>IF(AC801=15,I801,0)</f>
        <v>0</v>
      </c>
      <c r="AA801" s="58">
        <f>IF(AC801=21,I801,0)</f>
        <v>0</v>
      </c>
      <c r="AC801" s="61">
        <v>21</v>
      </c>
      <c r="AD801" s="61">
        <f>F801*0.553646177572152</f>
        <v>0</v>
      </c>
      <c r="AE801" s="61">
        <f>F801*(1-0.553646177572152)</f>
        <v>0</v>
      </c>
      <c r="AL801" s="61">
        <f>E801*AD801</f>
        <v>0</v>
      </c>
      <c r="AM801" s="61">
        <f>E801*AE801</f>
        <v>0</v>
      </c>
      <c r="AN801" s="62" t="s">
        <v>2007</v>
      </c>
      <c r="AO801" s="62" t="s">
        <v>2030</v>
      </c>
      <c r="AP801" s="63" t="s">
        <v>2007</v>
      </c>
    </row>
    <row r="802" ht="26.25">
      <c r="C802" s="24" t="s">
        <v>1826</v>
      </c>
    </row>
    <row r="803" spans="1:42" s="60" customFormat="1" ht="26.25">
      <c r="A803" s="56" t="s">
        <v>573</v>
      </c>
      <c r="B803" s="57" t="s">
        <v>1111</v>
      </c>
      <c r="C803" s="57" t="s">
        <v>1827</v>
      </c>
      <c r="D803" s="57" t="s">
        <v>1949</v>
      </c>
      <c r="E803" s="58">
        <v>110</v>
      </c>
      <c r="F803" s="58">
        <v>0</v>
      </c>
      <c r="G803" s="58">
        <f>E803*AD803</f>
        <v>0</v>
      </c>
      <c r="H803" s="58">
        <f>I803-G803</f>
        <v>0</v>
      </c>
      <c r="I803" s="58">
        <f>E803*F803</f>
        <v>0</v>
      </c>
      <c r="J803" s="77">
        <v>0</v>
      </c>
      <c r="K803" s="77">
        <f>E803*J803</f>
        <v>0</v>
      </c>
      <c r="L803" s="59" t="s">
        <v>1961</v>
      </c>
      <c r="M803" s="59" t="s">
        <v>122</v>
      </c>
      <c r="N803" s="58">
        <f>IF(M803="5",H803,0)</f>
        <v>0</v>
      </c>
      <c r="Y803" s="58">
        <f>IF(AC803=0,I803,0)</f>
        <v>0</v>
      </c>
      <c r="Z803" s="58">
        <f>IF(AC803=15,I803,0)</f>
        <v>0</v>
      </c>
      <c r="AA803" s="58">
        <f>IF(AC803=21,I803,0)</f>
        <v>0</v>
      </c>
      <c r="AC803" s="61">
        <v>21</v>
      </c>
      <c r="AD803" s="61">
        <f>F803*0.553646177572153</f>
        <v>0</v>
      </c>
      <c r="AE803" s="61">
        <f>F803*(1-0.553646177572153)</f>
        <v>0</v>
      </c>
      <c r="AL803" s="61">
        <f>E803*AD803</f>
        <v>0</v>
      </c>
      <c r="AM803" s="61">
        <f>E803*AE803</f>
        <v>0</v>
      </c>
      <c r="AN803" s="62" t="s">
        <v>2007</v>
      </c>
      <c r="AO803" s="62" t="s">
        <v>2030</v>
      </c>
      <c r="AP803" s="63" t="s">
        <v>2007</v>
      </c>
    </row>
    <row r="804" ht="26.25">
      <c r="C804" s="24" t="s">
        <v>1828</v>
      </c>
    </row>
    <row r="805" spans="1:42" ht="12.75">
      <c r="A805" s="50" t="s">
        <v>574</v>
      </c>
      <c r="B805" s="17" t="s">
        <v>1112</v>
      </c>
      <c r="C805" s="17" t="s">
        <v>1829</v>
      </c>
      <c r="D805" s="17" t="s">
        <v>1949</v>
      </c>
      <c r="E805" s="26">
        <v>133.3</v>
      </c>
      <c r="F805" s="26">
        <v>0</v>
      </c>
      <c r="G805" s="26">
        <f>E805*AD805</f>
        <v>0</v>
      </c>
      <c r="H805" s="26">
        <f>I805-G805</f>
        <v>0</v>
      </c>
      <c r="I805" s="26">
        <f>E805*F805</f>
        <v>0</v>
      </c>
      <c r="J805" s="72">
        <v>0.001</v>
      </c>
      <c r="K805" s="72">
        <f>E805*J805</f>
        <v>0.1333</v>
      </c>
      <c r="L805" s="35" t="s">
        <v>1959</v>
      </c>
      <c r="M805" s="35" t="s">
        <v>122</v>
      </c>
      <c r="N805" s="26">
        <f>IF(M805="5",H805,0)</f>
        <v>0</v>
      </c>
      <c r="Y805" s="26">
        <f>IF(AC805=0,I805,0)</f>
        <v>0</v>
      </c>
      <c r="Z805" s="26">
        <f>IF(AC805=15,I805,0)</f>
        <v>0</v>
      </c>
      <c r="AA805" s="26">
        <f>IF(AC805=21,I805,0)</f>
        <v>0</v>
      </c>
      <c r="AC805" s="12">
        <v>21</v>
      </c>
      <c r="AD805" s="12">
        <f>F805*0.247945867568874</f>
        <v>0</v>
      </c>
      <c r="AE805" s="12">
        <f>F805*(1-0.247945867568874)</f>
        <v>0</v>
      </c>
      <c r="AL805" s="12">
        <f>E805*AD805</f>
        <v>0</v>
      </c>
      <c r="AM805" s="12">
        <f>E805*AE805</f>
        <v>0</v>
      </c>
      <c r="AN805" s="38" t="s">
        <v>2007</v>
      </c>
      <c r="AO805" s="38" t="s">
        <v>2030</v>
      </c>
      <c r="AP805" s="32" t="s">
        <v>2045</v>
      </c>
    </row>
    <row r="806" ht="12.75">
      <c r="C806" s="24" t="s">
        <v>1830</v>
      </c>
    </row>
    <row r="807" spans="1:36" ht="12.75">
      <c r="A807" s="52"/>
      <c r="B807" s="23" t="s">
        <v>32</v>
      </c>
      <c r="C807" s="121" t="s">
        <v>78</v>
      </c>
      <c r="D807" s="122"/>
      <c r="E807" s="122"/>
      <c r="F807" s="122"/>
      <c r="G807" s="40">
        <f>SUM(G808:G814)</f>
        <v>0</v>
      </c>
      <c r="H807" s="40">
        <f>SUM(H808:H814)</f>
        <v>0</v>
      </c>
      <c r="I807" s="40">
        <f>G807+H807</f>
        <v>0</v>
      </c>
      <c r="J807" s="74"/>
      <c r="K807" s="74">
        <f>SUM(K808:K814)</f>
        <v>4.497876000000001</v>
      </c>
      <c r="L807" s="32"/>
      <c r="O807" s="40">
        <f>IF(P807="PR",I807,SUM(N808:N814))</f>
        <v>0</v>
      </c>
      <c r="P807" s="32" t="s">
        <v>1968</v>
      </c>
      <c r="Q807" s="40">
        <f>IF(P807="HS",G807,0)</f>
        <v>0</v>
      </c>
      <c r="R807" s="40">
        <f>IF(P807="HS",H807-O807,0)</f>
        <v>0</v>
      </c>
      <c r="S807" s="40">
        <f>IF(P807="PS",G807,0)</f>
        <v>0</v>
      </c>
      <c r="T807" s="40">
        <f>IF(P807="PS",H807-O807,0)</f>
        <v>0</v>
      </c>
      <c r="U807" s="40">
        <f>IF(P807="MP",G807,0)</f>
        <v>0</v>
      </c>
      <c r="V807" s="40">
        <f>IF(P807="MP",H807-O807,0)</f>
        <v>0</v>
      </c>
      <c r="W807" s="40">
        <f>IF(P807="OM",G807,0)</f>
        <v>0</v>
      </c>
      <c r="X807" s="32"/>
      <c r="AH807" s="40">
        <f>SUM(Y808:Y814)</f>
        <v>0</v>
      </c>
      <c r="AI807" s="40">
        <f>SUM(Z808:Z814)</f>
        <v>0</v>
      </c>
      <c r="AJ807" s="40">
        <f>SUM(AA808:AA814)</f>
        <v>0</v>
      </c>
    </row>
    <row r="808" spans="1:42" ht="12.75">
      <c r="A808" s="53" t="s">
        <v>575</v>
      </c>
      <c r="B808" s="18" t="s">
        <v>1113</v>
      </c>
      <c r="C808" s="18" t="s">
        <v>1831</v>
      </c>
      <c r="D808" s="18" t="s">
        <v>1941</v>
      </c>
      <c r="E808" s="27">
        <v>244.78</v>
      </c>
      <c r="F808" s="27">
        <v>0</v>
      </c>
      <c r="G808" s="27">
        <f>E808*AD808</f>
        <v>0</v>
      </c>
      <c r="H808" s="27">
        <f>I808-G808</f>
        <v>0</v>
      </c>
      <c r="I808" s="27">
        <f>E808*F808</f>
        <v>0</v>
      </c>
      <c r="J808" s="76">
        <v>0.0182</v>
      </c>
      <c r="K808" s="76">
        <f>E808*J808</f>
        <v>4.454996</v>
      </c>
      <c r="L808" s="36" t="s">
        <v>1959</v>
      </c>
      <c r="M808" s="36" t="s">
        <v>7</v>
      </c>
      <c r="N808" s="27">
        <f>IF(M808="5",H808,0)</f>
        <v>0</v>
      </c>
      <c r="Y808" s="27">
        <f>IF(AC808=0,I808,0)</f>
        <v>0</v>
      </c>
      <c r="Z808" s="27">
        <f>IF(AC808=15,I808,0)</f>
        <v>0</v>
      </c>
      <c r="AA808" s="27">
        <f>IF(AC808=21,I808,0)</f>
        <v>0</v>
      </c>
      <c r="AC808" s="12">
        <v>21</v>
      </c>
      <c r="AD808" s="12">
        <f>F808*1</f>
        <v>0</v>
      </c>
      <c r="AE808" s="12">
        <f>F808*(1-1)</f>
        <v>0</v>
      </c>
      <c r="AL808" s="12">
        <f>E808*AD808</f>
        <v>0</v>
      </c>
      <c r="AM808" s="12">
        <f>E808*AE808</f>
        <v>0</v>
      </c>
      <c r="AN808" s="38" t="s">
        <v>2008</v>
      </c>
      <c r="AO808" s="38" t="s">
        <v>2031</v>
      </c>
      <c r="AP808" s="32" t="s">
        <v>2049</v>
      </c>
    </row>
    <row r="809" spans="1:42" ht="12.75">
      <c r="A809" s="50" t="s">
        <v>576</v>
      </c>
      <c r="B809" s="17" t="s">
        <v>1114</v>
      </c>
      <c r="C809" s="17" t="s">
        <v>1832</v>
      </c>
      <c r="D809" s="17" t="s">
        <v>1941</v>
      </c>
      <c r="E809" s="26">
        <v>34.7</v>
      </c>
      <c r="F809" s="26">
        <v>0</v>
      </c>
      <c r="G809" s="26">
        <f>E809*AD809</f>
        <v>0</v>
      </c>
      <c r="H809" s="26">
        <f>I809-G809</f>
        <v>0</v>
      </c>
      <c r="I809" s="26">
        <f>E809*F809</f>
        <v>0</v>
      </c>
      <c r="J809" s="72">
        <v>0</v>
      </c>
      <c r="K809" s="72">
        <f>E809*J809</f>
        <v>0</v>
      </c>
      <c r="L809" s="35" t="s">
        <v>1961</v>
      </c>
      <c r="M809" s="35" t="s">
        <v>122</v>
      </c>
      <c r="N809" s="26">
        <f>IF(M809="5",H809,0)</f>
        <v>0</v>
      </c>
      <c r="Y809" s="26">
        <f>IF(AC809=0,I809,0)</f>
        <v>0</v>
      </c>
      <c r="Z809" s="26">
        <f>IF(AC809=15,I809,0)</f>
        <v>0</v>
      </c>
      <c r="AA809" s="26">
        <f>IF(AC809=21,I809,0)</f>
        <v>0</v>
      </c>
      <c r="AC809" s="12">
        <v>21</v>
      </c>
      <c r="AD809" s="12">
        <f>F809*0.669622927889051</f>
        <v>0</v>
      </c>
      <c r="AE809" s="12">
        <f>F809*(1-0.669622927889051)</f>
        <v>0</v>
      </c>
      <c r="AL809" s="12">
        <f>E809*AD809</f>
        <v>0</v>
      </c>
      <c r="AM809" s="12">
        <f>E809*AE809</f>
        <v>0</v>
      </c>
      <c r="AN809" s="38" t="s">
        <v>2008</v>
      </c>
      <c r="AO809" s="38" t="s">
        <v>2031</v>
      </c>
      <c r="AP809" s="32" t="s">
        <v>2049</v>
      </c>
    </row>
    <row r="810" spans="1:42" ht="12.75">
      <c r="A810" s="50" t="s">
        <v>577</v>
      </c>
      <c r="B810" s="17" t="s">
        <v>1115</v>
      </c>
      <c r="C810" s="17" t="s">
        <v>1833</v>
      </c>
      <c r="D810" s="17" t="s">
        <v>1941</v>
      </c>
      <c r="E810" s="26">
        <v>213.3</v>
      </c>
      <c r="F810" s="26">
        <v>0</v>
      </c>
      <c r="G810" s="26">
        <f>E810*AD810</f>
        <v>0</v>
      </c>
      <c r="H810" s="26">
        <f>I810-G810</f>
        <v>0</v>
      </c>
      <c r="I810" s="26">
        <f>E810*F810</f>
        <v>0</v>
      </c>
      <c r="J810" s="72">
        <v>0</v>
      </c>
      <c r="K810" s="72">
        <f>E810*J810</f>
        <v>0</v>
      </c>
      <c r="L810" s="35" t="s">
        <v>1959</v>
      </c>
      <c r="M810" s="35" t="s">
        <v>122</v>
      </c>
      <c r="N810" s="26">
        <f>IF(M810="5",H810,0)</f>
        <v>0</v>
      </c>
      <c r="Y810" s="26">
        <f>IF(AC810=0,I810,0)</f>
        <v>0</v>
      </c>
      <c r="Z810" s="26">
        <f>IF(AC810=15,I810,0)</f>
        <v>0</v>
      </c>
      <c r="AA810" s="26">
        <f>IF(AC810=21,I810,0)</f>
        <v>0</v>
      </c>
      <c r="AC810" s="12">
        <v>21</v>
      </c>
      <c r="AD810" s="12">
        <f>F810*0</f>
        <v>0</v>
      </c>
      <c r="AE810" s="12">
        <f>F810*(1-0)</f>
        <v>0</v>
      </c>
      <c r="AL810" s="12">
        <f>E810*AD810</f>
        <v>0</v>
      </c>
      <c r="AM810" s="12">
        <f>E810*AE810</f>
        <v>0</v>
      </c>
      <c r="AN810" s="38" t="s">
        <v>2008</v>
      </c>
      <c r="AO810" s="38" t="s">
        <v>2031</v>
      </c>
      <c r="AP810" s="32" t="s">
        <v>2049</v>
      </c>
    </row>
    <row r="811" ht="12.75">
      <c r="C811" s="24" t="s">
        <v>1834</v>
      </c>
    </row>
    <row r="812" spans="1:42" ht="12.75">
      <c r="A812" s="50" t="s">
        <v>578</v>
      </c>
      <c r="B812" s="17" t="s">
        <v>1116</v>
      </c>
      <c r="C812" s="17" t="s">
        <v>1835</v>
      </c>
      <c r="D812" s="17" t="s">
        <v>1942</v>
      </c>
      <c r="E812" s="26">
        <v>92.3</v>
      </c>
      <c r="F812" s="26">
        <v>0</v>
      </c>
      <c r="G812" s="26">
        <f>E812*AD812</f>
        <v>0</v>
      </c>
      <c r="H812" s="26">
        <f>I812-G812</f>
        <v>0</v>
      </c>
      <c r="I812" s="26">
        <f>E812*F812</f>
        <v>0</v>
      </c>
      <c r="J812" s="72">
        <v>0.00032</v>
      </c>
      <c r="K812" s="72">
        <f>E812*J812</f>
        <v>0.029536000000000003</v>
      </c>
      <c r="L812" s="35" t="s">
        <v>1959</v>
      </c>
      <c r="M812" s="35" t="s">
        <v>122</v>
      </c>
      <c r="N812" s="26">
        <f>IF(M812="5",H812,0)</f>
        <v>0</v>
      </c>
      <c r="Y812" s="26">
        <f>IF(AC812=0,I812,0)</f>
        <v>0</v>
      </c>
      <c r="Z812" s="26">
        <f>IF(AC812=15,I812,0)</f>
        <v>0</v>
      </c>
      <c r="AA812" s="26">
        <f>IF(AC812=21,I812,0)</f>
        <v>0</v>
      </c>
      <c r="AC812" s="12">
        <v>21</v>
      </c>
      <c r="AD812" s="12">
        <f>F812*0.112712826333712</f>
        <v>0</v>
      </c>
      <c r="AE812" s="12">
        <f>F812*(1-0.112712826333712)</f>
        <v>0</v>
      </c>
      <c r="AL812" s="12">
        <f>E812*AD812</f>
        <v>0</v>
      </c>
      <c r="AM812" s="12">
        <f>E812*AE812</f>
        <v>0</v>
      </c>
      <c r="AN812" s="38" t="s">
        <v>2008</v>
      </c>
      <c r="AO812" s="38" t="s">
        <v>2031</v>
      </c>
      <c r="AP812" s="32" t="s">
        <v>2049</v>
      </c>
    </row>
    <row r="813" ht="12.75">
      <c r="C813" s="24" t="s">
        <v>1834</v>
      </c>
    </row>
    <row r="814" spans="1:42" ht="12.75">
      <c r="A814" s="50" t="s">
        <v>579</v>
      </c>
      <c r="B814" s="17" t="s">
        <v>1117</v>
      </c>
      <c r="C814" s="17" t="s">
        <v>1836</v>
      </c>
      <c r="D814" s="17" t="s">
        <v>1942</v>
      </c>
      <c r="E814" s="26">
        <v>333.6</v>
      </c>
      <c r="F814" s="26">
        <v>0</v>
      </c>
      <c r="G814" s="26">
        <f>E814*AD814</f>
        <v>0</v>
      </c>
      <c r="H814" s="26">
        <f>I814-G814</f>
        <v>0</v>
      </c>
      <c r="I814" s="26">
        <f>E814*F814</f>
        <v>0</v>
      </c>
      <c r="J814" s="72">
        <v>4E-05</v>
      </c>
      <c r="K814" s="72">
        <f>E814*J814</f>
        <v>0.013344000000000002</v>
      </c>
      <c r="L814" s="35" t="s">
        <v>1959</v>
      </c>
      <c r="M814" s="35" t="s">
        <v>122</v>
      </c>
      <c r="N814" s="26">
        <f>IF(M814="5",H814,0)</f>
        <v>0</v>
      </c>
      <c r="Y814" s="26">
        <f>IF(AC814=0,I814,0)</f>
        <v>0</v>
      </c>
      <c r="Z814" s="26">
        <f>IF(AC814=15,I814,0)</f>
        <v>0</v>
      </c>
      <c r="AA814" s="26">
        <f>IF(AC814=21,I814,0)</f>
        <v>0</v>
      </c>
      <c r="AC814" s="12">
        <v>21</v>
      </c>
      <c r="AD814" s="12">
        <f>F814*0.317647058823529</f>
        <v>0</v>
      </c>
      <c r="AE814" s="12">
        <f>F814*(1-0.317647058823529)</f>
        <v>0</v>
      </c>
      <c r="AL814" s="12">
        <f>E814*AD814</f>
        <v>0</v>
      </c>
      <c r="AM814" s="12">
        <f>E814*AE814</f>
        <v>0</v>
      </c>
      <c r="AN814" s="38" t="s">
        <v>2008</v>
      </c>
      <c r="AO814" s="38" t="s">
        <v>2031</v>
      </c>
      <c r="AP814" s="32" t="s">
        <v>2049</v>
      </c>
    </row>
    <row r="815" ht="12.75">
      <c r="C815" s="24" t="s">
        <v>1837</v>
      </c>
    </row>
    <row r="816" spans="1:36" ht="12.75">
      <c r="A816" s="52"/>
      <c r="B816" s="23" t="s">
        <v>33</v>
      </c>
      <c r="C816" s="121" t="s">
        <v>79</v>
      </c>
      <c r="D816" s="122"/>
      <c r="E816" s="122"/>
      <c r="F816" s="122"/>
      <c r="G816" s="40">
        <f>SUM(G817:G817)</f>
        <v>0</v>
      </c>
      <c r="H816" s="40">
        <f>SUM(H817:H817)</f>
        <v>0</v>
      </c>
      <c r="I816" s="40">
        <f>G816+H816</f>
        <v>0</v>
      </c>
      <c r="J816" s="74"/>
      <c r="K816" s="74">
        <f>SUM(K817:K817)</f>
        <v>0.899745</v>
      </c>
      <c r="L816" s="32"/>
      <c r="O816" s="40">
        <f>IF(P816="PR",I816,SUM(N817:N817))</f>
        <v>0</v>
      </c>
      <c r="P816" s="32" t="s">
        <v>1968</v>
      </c>
      <c r="Q816" s="40">
        <f>IF(P816="HS",G816,0)</f>
        <v>0</v>
      </c>
      <c r="R816" s="40">
        <f>IF(P816="HS",H816-O816,0)</f>
        <v>0</v>
      </c>
      <c r="S816" s="40">
        <f>IF(P816="PS",G816,0)</f>
        <v>0</v>
      </c>
      <c r="T816" s="40">
        <f>IF(P816="PS",H816-O816,0)</f>
        <v>0</v>
      </c>
      <c r="U816" s="40">
        <f>IF(P816="MP",G816,0)</f>
        <v>0</v>
      </c>
      <c r="V816" s="40">
        <f>IF(P816="MP",H816-O816,0)</f>
        <v>0</v>
      </c>
      <c r="W816" s="40">
        <f>IF(P816="OM",G816,0)</f>
        <v>0</v>
      </c>
      <c r="X816" s="32"/>
      <c r="AH816" s="40">
        <f>SUM(Y817:Y817)</f>
        <v>0</v>
      </c>
      <c r="AI816" s="40">
        <f>SUM(Z817:Z817)</f>
        <v>0</v>
      </c>
      <c r="AJ816" s="40">
        <f>SUM(AA817:AA817)</f>
        <v>0</v>
      </c>
    </row>
    <row r="817" spans="1:42" ht="12.75">
      <c r="A817" s="50" t="s">
        <v>580</v>
      </c>
      <c r="B817" s="17" t="s">
        <v>1118</v>
      </c>
      <c r="C817" s="17" t="s">
        <v>1838</v>
      </c>
      <c r="D817" s="17" t="s">
        <v>1941</v>
      </c>
      <c r="E817" s="26">
        <v>13.53</v>
      </c>
      <c r="F817" s="26">
        <v>0</v>
      </c>
      <c r="G817" s="26">
        <f>E817*AD817</f>
        <v>0</v>
      </c>
      <c r="H817" s="26">
        <f>I817-G817</f>
        <v>0</v>
      </c>
      <c r="I817" s="26">
        <f>E817*F817</f>
        <v>0</v>
      </c>
      <c r="J817" s="72">
        <v>0.0665</v>
      </c>
      <c r="K817" s="72">
        <f>E817*J817</f>
        <v>0.899745</v>
      </c>
      <c r="L817" s="35" t="s">
        <v>1961</v>
      </c>
      <c r="M817" s="35" t="s">
        <v>122</v>
      </c>
      <c r="N817" s="26">
        <f>IF(M817="5",H817,0)</f>
        <v>0</v>
      </c>
      <c r="Y817" s="26">
        <f>IF(AC817=0,I817,0)</f>
        <v>0</v>
      </c>
      <c r="Z817" s="26">
        <f>IF(AC817=15,I817,0)</f>
        <v>0</v>
      </c>
      <c r="AA817" s="26">
        <f>IF(AC817=21,I817,0)</f>
        <v>0</v>
      </c>
      <c r="AC817" s="12">
        <v>21</v>
      </c>
      <c r="AD817" s="12">
        <f>F817*0.130167870192854</f>
        <v>0</v>
      </c>
      <c r="AE817" s="12">
        <f>F817*(1-0.130167870192854)</f>
        <v>0</v>
      </c>
      <c r="AL817" s="12">
        <f>E817*AD817</f>
        <v>0</v>
      </c>
      <c r="AM817" s="12">
        <f>E817*AE817</f>
        <v>0</v>
      </c>
      <c r="AN817" s="38" t="s">
        <v>2009</v>
      </c>
      <c r="AO817" s="38" t="s">
        <v>2031</v>
      </c>
      <c r="AP817" s="32" t="s">
        <v>2044</v>
      </c>
    </row>
    <row r="818" ht="12.75">
      <c r="C818" s="24" t="s">
        <v>1839</v>
      </c>
    </row>
    <row r="819" spans="1:36" ht="12.75">
      <c r="A819" s="52"/>
      <c r="B819" s="23" t="s">
        <v>34</v>
      </c>
      <c r="C819" s="121" t="s">
        <v>80</v>
      </c>
      <c r="D819" s="122"/>
      <c r="E819" s="122"/>
      <c r="F819" s="122"/>
      <c r="G819" s="40">
        <f>SUM(G820:G820)</f>
        <v>0</v>
      </c>
      <c r="H819" s="40">
        <f>SUM(H820:H820)</f>
        <v>0</v>
      </c>
      <c r="I819" s="40">
        <f>G819+H819</f>
        <v>0</v>
      </c>
      <c r="J819" s="74"/>
      <c r="K819" s="74">
        <f>SUM(K820:K820)</f>
        <v>22.099</v>
      </c>
      <c r="L819" s="32"/>
      <c r="O819" s="40">
        <f>IF(P819="PR",I819,SUM(N820:N820))</f>
        <v>0</v>
      </c>
      <c r="P819" s="32" t="s">
        <v>1968</v>
      </c>
      <c r="Q819" s="40">
        <f>IF(P819="HS",G819,0)</f>
        <v>0</v>
      </c>
      <c r="R819" s="40">
        <f>IF(P819="HS",H819-O819,0)</f>
        <v>0</v>
      </c>
      <c r="S819" s="40">
        <f>IF(P819="PS",G819,0)</f>
        <v>0</v>
      </c>
      <c r="T819" s="40">
        <f>IF(P819="PS",H819-O819,0)</f>
        <v>0</v>
      </c>
      <c r="U819" s="40">
        <f>IF(P819="MP",G819,0)</f>
        <v>0</v>
      </c>
      <c r="V819" s="40">
        <f>IF(P819="MP",H819-O819,0)</f>
        <v>0</v>
      </c>
      <c r="W819" s="40">
        <f>IF(P819="OM",G819,0)</f>
        <v>0</v>
      </c>
      <c r="X819" s="32"/>
      <c r="AH819" s="40">
        <f>SUM(Y820:Y820)</f>
        <v>0</v>
      </c>
      <c r="AI819" s="40">
        <f>SUM(Z820:Z820)</f>
        <v>0</v>
      </c>
      <c r="AJ819" s="40">
        <f>SUM(AA820:AA820)</f>
        <v>0</v>
      </c>
    </row>
    <row r="820" spans="1:42" ht="12.75">
      <c r="A820" s="50" t="s">
        <v>581</v>
      </c>
      <c r="B820" s="17" t="s">
        <v>1119</v>
      </c>
      <c r="C820" s="17" t="s">
        <v>1840</v>
      </c>
      <c r="D820" s="17" t="s">
        <v>1941</v>
      </c>
      <c r="E820" s="26">
        <v>1104.95</v>
      </c>
      <c r="F820" s="26">
        <v>0</v>
      </c>
      <c r="G820" s="26">
        <f>E820*AD820</f>
        <v>0</v>
      </c>
      <c r="H820" s="26">
        <f>I820-G820</f>
        <v>0</v>
      </c>
      <c r="I820" s="26">
        <f>E820*F820</f>
        <v>0</v>
      </c>
      <c r="J820" s="72">
        <v>0.02</v>
      </c>
      <c r="K820" s="72">
        <f>E820*J820</f>
        <v>22.099</v>
      </c>
      <c r="L820" s="35" t="s">
        <v>1959</v>
      </c>
      <c r="M820" s="35" t="s">
        <v>122</v>
      </c>
      <c r="N820" s="26">
        <f>IF(M820="5",H820,0)</f>
        <v>0</v>
      </c>
      <c r="Y820" s="26">
        <f>IF(AC820=0,I820,0)</f>
        <v>0</v>
      </c>
      <c r="Z820" s="26">
        <f>IF(AC820=15,I820,0)</f>
        <v>0</v>
      </c>
      <c r="AA820" s="26">
        <f>IF(AC820=21,I820,0)</f>
        <v>0</v>
      </c>
      <c r="AC820" s="12">
        <v>21</v>
      </c>
      <c r="AD820" s="12">
        <f>F820*0</f>
        <v>0</v>
      </c>
      <c r="AE820" s="12">
        <f>F820*(1-0)</f>
        <v>0</v>
      </c>
      <c r="AL820" s="12">
        <f>E820*AD820</f>
        <v>0</v>
      </c>
      <c r="AM820" s="12">
        <f>E820*AE820</f>
        <v>0</v>
      </c>
      <c r="AN820" s="38" t="s">
        <v>2010</v>
      </c>
      <c r="AO820" s="38" t="s">
        <v>2031</v>
      </c>
      <c r="AP820" s="32" t="s">
        <v>2045</v>
      </c>
    </row>
    <row r="821" spans="1:36" ht="12.75">
      <c r="A821" s="52"/>
      <c r="B821" s="23" t="s">
        <v>35</v>
      </c>
      <c r="C821" s="121" t="s">
        <v>81</v>
      </c>
      <c r="D821" s="122"/>
      <c r="E821" s="122"/>
      <c r="F821" s="122"/>
      <c r="G821" s="40">
        <f>SUM(G822:G833)</f>
        <v>0</v>
      </c>
      <c r="H821" s="40">
        <f>SUM(H822:H833)</f>
        <v>0</v>
      </c>
      <c r="I821" s="40">
        <f>G821+H821</f>
        <v>0</v>
      </c>
      <c r="J821" s="74"/>
      <c r="K821" s="74">
        <f>SUM(K822:K833)</f>
        <v>9.537301699999999</v>
      </c>
      <c r="L821" s="32"/>
      <c r="O821" s="40">
        <f>IF(P821="PR",I821,SUM(N822:N833))</f>
        <v>0</v>
      </c>
      <c r="P821" s="32" t="s">
        <v>1968</v>
      </c>
      <c r="Q821" s="40">
        <f>IF(P821="HS",G821,0)</f>
        <v>0</v>
      </c>
      <c r="R821" s="40">
        <f>IF(P821="HS",H821-O821,0)</f>
        <v>0</v>
      </c>
      <c r="S821" s="40">
        <f>IF(P821="PS",G821,0)</f>
        <v>0</v>
      </c>
      <c r="T821" s="40">
        <f>IF(P821="PS",H821-O821,0)</f>
        <v>0</v>
      </c>
      <c r="U821" s="40">
        <f>IF(P821="MP",G821,0)</f>
        <v>0</v>
      </c>
      <c r="V821" s="40">
        <f>IF(P821="MP",H821-O821,0)</f>
        <v>0</v>
      </c>
      <c r="W821" s="40">
        <f>IF(P821="OM",G821,0)</f>
        <v>0</v>
      </c>
      <c r="X821" s="32"/>
      <c r="AH821" s="40">
        <f>SUM(Y822:Y833)</f>
        <v>0</v>
      </c>
      <c r="AI821" s="40">
        <f>SUM(Z822:Z833)</f>
        <v>0</v>
      </c>
      <c r="AJ821" s="40">
        <f>SUM(AA822:AA833)</f>
        <v>0</v>
      </c>
    </row>
    <row r="822" spans="1:42" ht="12.75">
      <c r="A822" s="53" t="s">
        <v>582</v>
      </c>
      <c r="B822" s="18" t="s">
        <v>1120</v>
      </c>
      <c r="C822" s="18" t="s">
        <v>1841</v>
      </c>
      <c r="D822" s="18" t="s">
        <v>1941</v>
      </c>
      <c r="E822" s="27">
        <v>2225.11</v>
      </c>
      <c r="F822" s="27">
        <v>0</v>
      </c>
      <c r="G822" s="27">
        <f>E822*AD822</f>
        <v>0</v>
      </c>
      <c r="H822" s="27">
        <f>I822-G822</f>
        <v>0</v>
      </c>
      <c r="I822" s="27">
        <f>E822*F822</f>
        <v>0</v>
      </c>
      <c r="J822" s="76">
        <v>0.0034</v>
      </c>
      <c r="K822" s="76">
        <f>E822*J822</f>
        <v>7.565374</v>
      </c>
      <c r="L822" s="36" t="s">
        <v>1959</v>
      </c>
      <c r="M822" s="36" t="s">
        <v>7</v>
      </c>
      <c r="N822" s="27">
        <f>IF(M822="5",H822,0)</f>
        <v>0</v>
      </c>
      <c r="Y822" s="27">
        <f>IF(AC822=0,I822,0)</f>
        <v>0</v>
      </c>
      <c r="Z822" s="27">
        <f>IF(AC822=15,I822,0)</f>
        <v>0</v>
      </c>
      <c r="AA822" s="27">
        <f>IF(AC822=21,I822,0)</f>
        <v>0</v>
      </c>
      <c r="AC822" s="12">
        <v>21</v>
      </c>
      <c r="AD822" s="12">
        <f>F822*1</f>
        <v>0</v>
      </c>
      <c r="AE822" s="12">
        <f>F822*(1-1)</f>
        <v>0</v>
      </c>
      <c r="AL822" s="12">
        <f>E822*AD822</f>
        <v>0</v>
      </c>
      <c r="AM822" s="12">
        <f>E822*AE822</f>
        <v>0</v>
      </c>
      <c r="AN822" s="38" t="s">
        <v>2011</v>
      </c>
      <c r="AO822" s="38" t="s">
        <v>2031</v>
      </c>
      <c r="AP822" s="32" t="s">
        <v>2049</v>
      </c>
    </row>
    <row r="823" spans="1:42" ht="12.75">
      <c r="A823" s="53" t="s">
        <v>583</v>
      </c>
      <c r="B823" s="18" t="s">
        <v>1121</v>
      </c>
      <c r="C823" s="18" t="s">
        <v>1842</v>
      </c>
      <c r="D823" s="18" t="s">
        <v>1941</v>
      </c>
      <c r="E823" s="27">
        <v>14.49</v>
      </c>
      <c r="F823" s="27">
        <v>0</v>
      </c>
      <c r="G823" s="27">
        <f>E823*AD823</f>
        <v>0</v>
      </c>
      <c r="H823" s="27">
        <f>I823-G823</f>
        <v>0</v>
      </c>
      <c r="I823" s="27">
        <f>E823*F823</f>
        <v>0</v>
      </c>
      <c r="J823" s="76">
        <v>0.00315</v>
      </c>
      <c r="K823" s="76">
        <f>E823*J823</f>
        <v>0.045643500000000004</v>
      </c>
      <c r="L823" s="36" t="s">
        <v>1959</v>
      </c>
      <c r="M823" s="36" t="s">
        <v>7</v>
      </c>
      <c r="N823" s="27">
        <f>IF(M823="5",H823,0)</f>
        <v>0</v>
      </c>
      <c r="Y823" s="27">
        <f>IF(AC823=0,I823,0)</f>
        <v>0</v>
      </c>
      <c r="Z823" s="27">
        <f>IF(AC823=15,I823,0)</f>
        <v>0</v>
      </c>
      <c r="AA823" s="27">
        <f>IF(AC823=21,I823,0)</f>
        <v>0</v>
      </c>
      <c r="AC823" s="12">
        <v>21</v>
      </c>
      <c r="AD823" s="12">
        <f>F823*1</f>
        <v>0</v>
      </c>
      <c r="AE823" s="12">
        <f>F823*(1-1)</f>
        <v>0</v>
      </c>
      <c r="AL823" s="12">
        <f>E823*AD823</f>
        <v>0</v>
      </c>
      <c r="AM823" s="12">
        <f>E823*AE823</f>
        <v>0</v>
      </c>
      <c r="AN823" s="38" t="s">
        <v>2011</v>
      </c>
      <c r="AO823" s="38" t="s">
        <v>2031</v>
      </c>
      <c r="AP823" s="32" t="s">
        <v>2049</v>
      </c>
    </row>
    <row r="824" spans="1:42" ht="12.75">
      <c r="A824" s="50" t="s">
        <v>584</v>
      </c>
      <c r="B824" s="17" t="s">
        <v>1122</v>
      </c>
      <c r="C824" s="17" t="s">
        <v>1843</v>
      </c>
      <c r="D824" s="17" t="s">
        <v>1942</v>
      </c>
      <c r="E824" s="26">
        <v>1213.1</v>
      </c>
      <c r="F824" s="26">
        <v>0</v>
      </c>
      <c r="G824" s="26">
        <f>E824*AD824</f>
        <v>0</v>
      </c>
      <c r="H824" s="26">
        <f>I824-G824</f>
        <v>0</v>
      </c>
      <c r="I824" s="26">
        <f>E824*F824</f>
        <v>0</v>
      </c>
      <c r="J824" s="72">
        <v>2E-05</v>
      </c>
      <c r="K824" s="72">
        <f>E824*J824</f>
        <v>0.024262</v>
      </c>
      <c r="L824" s="35" t="s">
        <v>1961</v>
      </c>
      <c r="M824" s="35" t="s">
        <v>122</v>
      </c>
      <c r="N824" s="26">
        <f>IF(M824="5",H824,0)</f>
        <v>0</v>
      </c>
      <c r="Y824" s="26">
        <f>IF(AC824=0,I824,0)</f>
        <v>0</v>
      </c>
      <c r="Z824" s="26">
        <f>IF(AC824=15,I824,0)</f>
        <v>0</v>
      </c>
      <c r="AA824" s="26">
        <f>IF(AC824=21,I824,0)</f>
        <v>0</v>
      </c>
      <c r="AC824" s="12">
        <v>21</v>
      </c>
      <c r="AD824" s="12">
        <f>F824*0.211523072819419</f>
        <v>0</v>
      </c>
      <c r="AE824" s="12">
        <f>F824*(1-0.211523072819419)</f>
        <v>0</v>
      </c>
      <c r="AL824" s="12">
        <f>E824*AD824</f>
        <v>0</v>
      </c>
      <c r="AM824" s="12">
        <f>E824*AE824</f>
        <v>0</v>
      </c>
      <c r="AN824" s="38" t="s">
        <v>2011</v>
      </c>
      <c r="AO824" s="38" t="s">
        <v>2031</v>
      </c>
      <c r="AP824" s="32" t="s">
        <v>2049</v>
      </c>
    </row>
    <row r="825" ht="12.75">
      <c r="C825" s="24" t="s">
        <v>1844</v>
      </c>
    </row>
    <row r="826" spans="1:42" ht="12.75">
      <c r="A826" s="50" t="s">
        <v>585</v>
      </c>
      <c r="B826" s="17" t="s">
        <v>1123</v>
      </c>
      <c r="C826" s="17" t="s">
        <v>1845</v>
      </c>
      <c r="D826" s="17" t="s">
        <v>1941</v>
      </c>
      <c r="E826" s="26">
        <v>531.85</v>
      </c>
      <c r="F826" s="26">
        <v>0</v>
      </c>
      <c r="G826" s="26">
        <f>E826*AD826</f>
        <v>0</v>
      </c>
      <c r="H826" s="26">
        <f>I826-G826</f>
        <v>0</v>
      </c>
      <c r="I826" s="26">
        <f>E826*F826</f>
        <v>0</v>
      </c>
      <c r="J826" s="72">
        <v>0.001</v>
      </c>
      <c r="K826" s="72">
        <f>E826*J826</f>
        <v>0.53185</v>
      </c>
      <c r="L826" s="35" t="s">
        <v>1959</v>
      </c>
      <c r="M826" s="35" t="s">
        <v>122</v>
      </c>
      <c r="N826" s="26">
        <f>IF(M826="5",H826,0)</f>
        <v>0</v>
      </c>
      <c r="Y826" s="26">
        <f>IF(AC826=0,I826,0)</f>
        <v>0</v>
      </c>
      <c r="Z826" s="26">
        <f>IF(AC826=15,I826,0)</f>
        <v>0</v>
      </c>
      <c r="AA826" s="26">
        <f>IF(AC826=21,I826,0)</f>
        <v>0</v>
      </c>
      <c r="AC826" s="12">
        <v>21</v>
      </c>
      <c r="AD826" s="12">
        <f>F826*0</f>
        <v>0</v>
      </c>
      <c r="AE826" s="12">
        <f>F826*(1-0)</f>
        <v>0</v>
      </c>
      <c r="AL826" s="12">
        <f>E826*AD826</f>
        <v>0</v>
      </c>
      <c r="AM826" s="12">
        <f>E826*AE826</f>
        <v>0</v>
      </c>
      <c r="AN826" s="38" t="s">
        <v>2011</v>
      </c>
      <c r="AO826" s="38" t="s">
        <v>2031</v>
      </c>
      <c r="AP826" s="32" t="s">
        <v>2045</v>
      </c>
    </row>
    <row r="827" ht="12.75">
      <c r="C827" s="24" t="s">
        <v>1846</v>
      </c>
    </row>
    <row r="828" spans="1:42" ht="12.75">
      <c r="A828" s="50" t="s">
        <v>586</v>
      </c>
      <c r="B828" s="17" t="s">
        <v>1123</v>
      </c>
      <c r="C828" s="17" t="s">
        <v>1847</v>
      </c>
      <c r="D828" s="17" t="s">
        <v>1941</v>
      </c>
      <c r="E828" s="26">
        <v>81.7</v>
      </c>
      <c r="F828" s="26">
        <v>0</v>
      </c>
      <c r="G828" s="26">
        <f>E828*AD828</f>
        <v>0</v>
      </c>
      <c r="H828" s="26">
        <f>I828-G828</f>
        <v>0</v>
      </c>
      <c r="I828" s="26">
        <f>E828*F828</f>
        <v>0</v>
      </c>
      <c r="J828" s="72">
        <v>0.001</v>
      </c>
      <c r="K828" s="72">
        <f>E828*J828</f>
        <v>0.08170000000000001</v>
      </c>
      <c r="L828" s="35" t="s">
        <v>1959</v>
      </c>
      <c r="M828" s="35" t="s">
        <v>122</v>
      </c>
      <c r="N828" s="26">
        <f>IF(M828="5",H828,0)</f>
        <v>0</v>
      </c>
      <c r="Y828" s="26">
        <f>IF(AC828=0,I828,0)</f>
        <v>0</v>
      </c>
      <c r="Z828" s="26">
        <f>IF(AC828=15,I828,0)</f>
        <v>0</v>
      </c>
      <c r="AA828" s="26">
        <f>IF(AC828=21,I828,0)</f>
        <v>0</v>
      </c>
      <c r="AC828" s="12">
        <v>21</v>
      </c>
      <c r="AD828" s="12">
        <f>F828*0</f>
        <v>0</v>
      </c>
      <c r="AE828" s="12">
        <f>F828*(1-0)</f>
        <v>0</v>
      </c>
      <c r="AL828" s="12">
        <f>E828*AD828</f>
        <v>0</v>
      </c>
      <c r="AM828" s="12">
        <f>E828*AE828</f>
        <v>0</v>
      </c>
      <c r="AN828" s="38" t="s">
        <v>2011</v>
      </c>
      <c r="AO828" s="38" t="s">
        <v>2031</v>
      </c>
      <c r="AP828" s="32" t="s">
        <v>2045</v>
      </c>
    </row>
    <row r="829" spans="1:42" ht="12.75">
      <c r="A829" s="50" t="s">
        <v>587</v>
      </c>
      <c r="B829" s="17" t="s">
        <v>1124</v>
      </c>
      <c r="C829" s="17" t="s">
        <v>1848</v>
      </c>
      <c r="D829" s="17" t="s">
        <v>1941</v>
      </c>
      <c r="E829" s="26">
        <v>2119.15</v>
      </c>
      <c r="F829" s="26">
        <v>0</v>
      </c>
      <c r="G829" s="26">
        <f>E829*AD829</f>
        <v>0</v>
      </c>
      <c r="H829" s="26">
        <f>I829-G829</f>
        <v>0</v>
      </c>
      <c r="I829" s="26">
        <f>E829*F829</f>
        <v>0</v>
      </c>
      <c r="J829" s="72">
        <v>0.0004</v>
      </c>
      <c r="K829" s="72">
        <f>E829*J829</f>
        <v>0.8476600000000001</v>
      </c>
      <c r="L829" s="35" t="s">
        <v>1959</v>
      </c>
      <c r="M829" s="35" t="s">
        <v>122</v>
      </c>
      <c r="N829" s="26">
        <f>IF(M829="5",H829,0)</f>
        <v>0</v>
      </c>
      <c r="Y829" s="26">
        <f>IF(AC829=0,I829,0)</f>
        <v>0</v>
      </c>
      <c r="Z829" s="26">
        <f>IF(AC829=15,I829,0)</f>
        <v>0</v>
      </c>
      <c r="AA829" s="26">
        <f>IF(AC829=21,I829,0)</f>
        <v>0</v>
      </c>
      <c r="AC829" s="12">
        <v>21</v>
      </c>
      <c r="AD829" s="12">
        <f>F829*0.210340557275542</f>
        <v>0</v>
      </c>
      <c r="AE829" s="12">
        <f>F829*(1-0.210340557275542)</f>
        <v>0</v>
      </c>
      <c r="AL829" s="12">
        <f>E829*AD829</f>
        <v>0</v>
      </c>
      <c r="AM829" s="12">
        <f>E829*AE829</f>
        <v>0</v>
      </c>
      <c r="AN829" s="38" t="s">
        <v>2011</v>
      </c>
      <c r="AO829" s="38" t="s">
        <v>2031</v>
      </c>
      <c r="AP829" s="32" t="s">
        <v>2049</v>
      </c>
    </row>
    <row r="830" spans="1:42" ht="12.75">
      <c r="A830" s="50" t="s">
        <v>588</v>
      </c>
      <c r="B830" s="17" t="s">
        <v>1125</v>
      </c>
      <c r="C830" s="17" t="s">
        <v>1849</v>
      </c>
      <c r="D830" s="17" t="s">
        <v>1941</v>
      </c>
      <c r="E830" s="26">
        <v>13.17</v>
      </c>
      <c r="F830" s="26">
        <v>0</v>
      </c>
      <c r="G830" s="26">
        <f>E830*AD830</f>
        <v>0</v>
      </c>
      <c r="H830" s="26">
        <f>I830-G830</f>
        <v>0</v>
      </c>
      <c r="I830" s="26">
        <f>E830*F830</f>
        <v>0</v>
      </c>
      <c r="J830" s="72">
        <v>0.00046</v>
      </c>
      <c r="K830" s="72">
        <f>E830*J830</f>
        <v>0.0060582000000000006</v>
      </c>
      <c r="L830" s="35" t="s">
        <v>1959</v>
      </c>
      <c r="M830" s="35" t="s">
        <v>122</v>
      </c>
      <c r="N830" s="26">
        <f>IF(M830="5",H830,0)</f>
        <v>0</v>
      </c>
      <c r="Y830" s="26">
        <f>IF(AC830=0,I830,0)</f>
        <v>0</v>
      </c>
      <c r="Z830" s="26">
        <f>IF(AC830=15,I830,0)</f>
        <v>0</v>
      </c>
      <c r="AA830" s="26">
        <f>IF(AC830=21,I830,0)</f>
        <v>0</v>
      </c>
      <c r="AC830" s="12">
        <v>21</v>
      </c>
      <c r="AD830" s="12">
        <f>F830*0.526315789473684</f>
        <v>0</v>
      </c>
      <c r="AE830" s="12">
        <f>F830*(1-0.526315789473684)</f>
        <v>0</v>
      </c>
      <c r="AL830" s="12">
        <f>E830*AD830</f>
        <v>0</v>
      </c>
      <c r="AM830" s="12">
        <f>E830*AE830</f>
        <v>0</v>
      </c>
      <c r="AN830" s="38" t="s">
        <v>2011</v>
      </c>
      <c r="AO830" s="38" t="s">
        <v>2031</v>
      </c>
      <c r="AP830" s="32" t="s">
        <v>2049</v>
      </c>
    </row>
    <row r="831" spans="1:42" ht="12.75">
      <c r="A831" s="50" t="s">
        <v>589</v>
      </c>
      <c r="B831" s="17" t="s">
        <v>1126</v>
      </c>
      <c r="C831" s="17" t="s">
        <v>1850</v>
      </c>
      <c r="D831" s="17" t="s">
        <v>1941</v>
      </c>
      <c r="E831" s="26">
        <v>418.03</v>
      </c>
      <c r="F831" s="26">
        <v>0</v>
      </c>
      <c r="G831" s="26">
        <f>E831*AD831</f>
        <v>0</v>
      </c>
      <c r="H831" s="26">
        <f>I831-G831</f>
        <v>0</v>
      </c>
      <c r="I831" s="26">
        <f>E831*F831</f>
        <v>0</v>
      </c>
      <c r="J831" s="72">
        <v>0.001</v>
      </c>
      <c r="K831" s="72">
        <f>E831*J831</f>
        <v>0.41802999999999996</v>
      </c>
      <c r="L831" s="35" t="s">
        <v>1959</v>
      </c>
      <c r="M831" s="35" t="s">
        <v>122</v>
      </c>
      <c r="N831" s="26">
        <f>IF(M831="5",H831,0)</f>
        <v>0</v>
      </c>
      <c r="Y831" s="26">
        <f>IF(AC831=0,I831,0)</f>
        <v>0</v>
      </c>
      <c r="Z831" s="26">
        <f>IF(AC831=15,I831,0)</f>
        <v>0</v>
      </c>
      <c r="AA831" s="26">
        <f>IF(AC831=21,I831,0)</f>
        <v>0</v>
      </c>
      <c r="AC831" s="12">
        <v>21</v>
      </c>
      <c r="AD831" s="12">
        <f>F831*0</f>
        <v>0</v>
      </c>
      <c r="AE831" s="12">
        <f>F831*(1-0)</f>
        <v>0</v>
      </c>
      <c r="AL831" s="12">
        <f>E831*AD831</f>
        <v>0</v>
      </c>
      <c r="AM831" s="12">
        <f>E831*AE831</f>
        <v>0</v>
      </c>
      <c r="AN831" s="38" t="s">
        <v>2011</v>
      </c>
      <c r="AO831" s="38" t="s">
        <v>2031</v>
      </c>
      <c r="AP831" s="32" t="s">
        <v>2045</v>
      </c>
    </row>
    <row r="832" ht="12.75">
      <c r="C832" s="24" t="s">
        <v>1846</v>
      </c>
    </row>
    <row r="833" spans="1:42" ht="12.75">
      <c r="A833" s="50" t="s">
        <v>590</v>
      </c>
      <c r="B833" s="17" t="s">
        <v>1127</v>
      </c>
      <c r="C833" s="17" t="s">
        <v>1851</v>
      </c>
      <c r="D833" s="17" t="s">
        <v>1942</v>
      </c>
      <c r="E833" s="26">
        <v>45.2</v>
      </c>
      <c r="F833" s="26">
        <v>0</v>
      </c>
      <c r="G833" s="26">
        <f>E833*AD833</f>
        <v>0</v>
      </c>
      <c r="H833" s="26">
        <f>I833-G833</f>
        <v>0</v>
      </c>
      <c r="I833" s="26">
        <f>E833*F833</f>
        <v>0</v>
      </c>
      <c r="J833" s="72">
        <v>0.00037</v>
      </c>
      <c r="K833" s="72">
        <f>E833*J833</f>
        <v>0.016724</v>
      </c>
      <c r="L833" s="35" t="s">
        <v>1959</v>
      </c>
      <c r="M833" s="35" t="s">
        <v>122</v>
      </c>
      <c r="N833" s="26">
        <f>IF(M833="5",H833,0)</f>
        <v>0</v>
      </c>
      <c r="Y833" s="26">
        <f>IF(AC833=0,I833,0)</f>
        <v>0</v>
      </c>
      <c r="Z833" s="26">
        <f>IF(AC833=15,I833,0)</f>
        <v>0</v>
      </c>
      <c r="AA833" s="26">
        <f>IF(AC833=21,I833,0)</f>
        <v>0</v>
      </c>
      <c r="AC833" s="12">
        <v>21</v>
      </c>
      <c r="AD833" s="12">
        <f>F833*0.74077457997056</f>
        <v>0</v>
      </c>
      <c r="AE833" s="12">
        <f>F833*(1-0.74077457997056)</f>
        <v>0</v>
      </c>
      <c r="AL833" s="12">
        <f>E833*AD833</f>
        <v>0</v>
      </c>
      <c r="AM833" s="12">
        <f>E833*AE833</f>
        <v>0</v>
      </c>
      <c r="AN833" s="38" t="s">
        <v>2011</v>
      </c>
      <c r="AO833" s="38" t="s">
        <v>2031</v>
      </c>
      <c r="AP833" s="32" t="s">
        <v>2049</v>
      </c>
    </row>
    <row r="834" ht="12.75">
      <c r="C834" s="24" t="s">
        <v>1852</v>
      </c>
    </row>
    <row r="835" spans="1:36" ht="12.75">
      <c r="A835" s="52"/>
      <c r="B835" s="23" t="s">
        <v>36</v>
      </c>
      <c r="C835" s="121" t="s">
        <v>82</v>
      </c>
      <c r="D835" s="122"/>
      <c r="E835" s="122"/>
      <c r="F835" s="122"/>
      <c r="G835" s="40">
        <f>SUM(G836:G847)</f>
        <v>0</v>
      </c>
      <c r="H835" s="40">
        <f>SUM(H836:H847)</f>
        <v>0</v>
      </c>
      <c r="I835" s="40">
        <f>G835+H835</f>
        <v>0</v>
      </c>
      <c r="J835" s="74"/>
      <c r="K835" s="74">
        <f>SUM(K836:K847)</f>
        <v>18.161445599999997</v>
      </c>
      <c r="L835" s="32"/>
      <c r="O835" s="40">
        <f>IF(P835="PR",I835,SUM(N836:N847))</f>
        <v>0</v>
      </c>
      <c r="P835" s="32" t="s">
        <v>1968</v>
      </c>
      <c r="Q835" s="40">
        <f>IF(P835="HS",G835,0)</f>
        <v>0</v>
      </c>
      <c r="R835" s="40">
        <f>IF(P835="HS",H835-O835,0)</f>
        <v>0</v>
      </c>
      <c r="S835" s="40">
        <f>IF(P835="PS",G835,0)</f>
        <v>0</v>
      </c>
      <c r="T835" s="40">
        <f>IF(P835="PS",H835-O835,0)</f>
        <v>0</v>
      </c>
      <c r="U835" s="40">
        <f>IF(P835="MP",G835,0)</f>
        <v>0</v>
      </c>
      <c r="V835" s="40">
        <f>IF(P835="MP",H835-O835,0)</f>
        <v>0</v>
      </c>
      <c r="W835" s="40">
        <f>IF(P835="OM",G835,0)</f>
        <v>0</v>
      </c>
      <c r="X835" s="32"/>
      <c r="AH835" s="40">
        <f>SUM(Y836:Y847)</f>
        <v>0</v>
      </c>
      <c r="AI835" s="40">
        <f>SUM(Z836:Z847)</f>
        <v>0</v>
      </c>
      <c r="AJ835" s="40">
        <f>SUM(AA836:AA847)</f>
        <v>0</v>
      </c>
    </row>
    <row r="836" spans="1:42" ht="12.75">
      <c r="A836" s="53" t="s">
        <v>591</v>
      </c>
      <c r="B836" s="18" t="s">
        <v>1128</v>
      </c>
      <c r="C836" s="18" t="s">
        <v>1853</v>
      </c>
      <c r="D836" s="18" t="s">
        <v>1941</v>
      </c>
      <c r="E836" s="27">
        <v>275.52</v>
      </c>
      <c r="F836" s="27">
        <v>0</v>
      </c>
      <c r="G836" s="27">
        <f>E836*AD836</f>
        <v>0</v>
      </c>
      <c r="H836" s="27">
        <f>I836-G836</f>
        <v>0</v>
      </c>
      <c r="I836" s="27">
        <f>E836*F836</f>
        <v>0</v>
      </c>
      <c r="J836" s="76">
        <v>0.011</v>
      </c>
      <c r="K836" s="76">
        <f>E836*J836</f>
        <v>3.0307199999999996</v>
      </c>
      <c r="L836" s="36" t="s">
        <v>1959</v>
      </c>
      <c r="M836" s="36" t="s">
        <v>7</v>
      </c>
      <c r="N836" s="27">
        <f>IF(M836="5",H836,0)</f>
        <v>0</v>
      </c>
      <c r="Y836" s="27">
        <f>IF(AC836=0,I836,0)</f>
        <v>0</v>
      </c>
      <c r="Z836" s="27">
        <f>IF(AC836=15,I836,0)</f>
        <v>0</v>
      </c>
      <c r="AA836" s="27">
        <f>IF(AC836=21,I836,0)</f>
        <v>0</v>
      </c>
      <c r="AC836" s="12">
        <v>21</v>
      </c>
      <c r="AD836" s="12">
        <f>F836*1</f>
        <v>0</v>
      </c>
      <c r="AE836" s="12">
        <f>F836*(1-1)</f>
        <v>0</v>
      </c>
      <c r="AL836" s="12">
        <f>E836*AD836</f>
        <v>0</v>
      </c>
      <c r="AM836" s="12">
        <f>E836*AE836</f>
        <v>0</v>
      </c>
      <c r="AN836" s="38" t="s">
        <v>2012</v>
      </c>
      <c r="AO836" s="38" t="s">
        <v>2032</v>
      </c>
      <c r="AP836" s="32" t="s">
        <v>2048</v>
      </c>
    </row>
    <row r="837" spans="1:42" ht="12.75">
      <c r="A837" s="53" t="s">
        <v>592</v>
      </c>
      <c r="B837" s="18" t="s">
        <v>1129</v>
      </c>
      <c r="C837" s="18" t="s">
        <v>1854</v>
      </c>
      <c r="D837" s="18" t="s">
        <v>1941</v>
      </c>
      <c r="E837" s="27">
        <v>585.42</v>
      </c>
      <c r="F837" s="27">
        <v>0</v>
      </c>
      <c r="G837" s="27">
        <f>E837*AD837</f>
        <v>0</v>
      </c>
      <c r="H837" s="27">
        <f>I837-G837</f>
        <v>0</v>
      </c>
      <c r="I837" s="27">
        <f>E837*F837</f>
        <v>0</v>
      </c>
      <c r="J837" s="76">
        <v>0.01943</v>
      </c>
      <c r="K837" s="76">
        <f>E837*J837</f>
        <v>11.374710599999998</v>
      </c>
      <c r="L837" s="36" t="s">
        <v>1961</v>
      </c>
      <c r="M837" s="36" t="s">
        <v>7</v>
      </c>
      <c r="N837" s="27">
        <f>IF(M837="5",H837,0)</f>
        <v>0</v>
      </c>
      <c r="Y837" s="27">
        <f>IF(AC837=0,I837,0)</f>
        <v>0</v>
      </c>
      <c r="Z837" s="27">
        <f>IF(AC837=15,I837,0)</f>
        <v>0</v>
      </c>
      <c r="AA837" s="27">
        <f>IF(AC837=21,I837,0)</f>
        <v>0</v>
      </c>
      <c r="AC837" s="12">
        <v>21</v>
      </c>
      <c r="AD837" s="12">
        <f>F837*1</f>
        <v>0</v>
      </c>
      <c r="AE837" s="12">
        <f>F837*(1-1)</f>
        <v>0</v>
      </c>
      <c r="AL837" s="12">
        <f>E837*AD837</f>
        <v>0</v>
      </c>
      <c r="AM837" s="12">
        <f>E837*AE837</f>
        <v>0</v>
      </c>
      <c r="AN837" s="38" t="s">
        <v>2012</v>
      </c>
      <c r="AO837" s="38" t="s">
        <v>2032</v>
      </c>
      <c r="AP837" s="32" t="s">
        <v>2046</v>
      </c>
    </row>
    <row r="838" spans="1:42" ht="12.75">
      <c r="A838" s="50" t="s">
        <v>593</v>
      </c>
      <c r="B838" s="17" t="s">
        <v>1130</v>
      </c>
      <c r="C838" s="17" t="s">
        <v>1855</v>
      </c>
      <c r="D838" s="17" t="s">
        <v>1942</v>
      </c>
      <c r="E838" s="26">
        <v>70.6</v>
      </c>
      <c r="F838" s="26">
        <v>0</v>
      </c>
      <c r="G838" s="26">
        <f>E838*AD838</f>
        <v>0</v>
      </c>
      <c r="H838" s="26">
        <f>I838-G838</f>
        <v>0</v>
      </c>
      <c r="I838" s="26">
        <f>E838*F838</f>
        <v>0</v>
      </c>
      <c r="J838" s="72">
        <v>0</v>
      </c>
      <c r="K838" s="72">
        <f>E838*J838</f>
        <v>0</v>
      </c>
      <c r="L838" s="35" t="s">
        <v>1961</v>
      </c>
      <c r="M838" s="35" t="s">
        <v>122</v>
      </c>
      <c r="N838" s="26">
        <f>IF(M838="5",H838,0)</f>
        <v>0</v>
      </c>
      <c r="Y838" s="26">
        <f>IF(AC838=0,I838,0)</f>
        <v>0</v>
      </c>
      <c r="Z838" s="26">
        <f>IF(AC838=15,I838,0)</f>
        <v>0</v>
      </c>
      <c r="AA838" s="26">
        <f>IF(AC838=21,I838,0)</f>
        <v>0</v>
      </c>
      <c r="AC838" s="12">
        <v>21</v>
      </c>
      <c r="AD838" s="12">
        <f>F838*0</f>
        <v>0</v>
      </c>
      <c r="AE838" s="12">
        <f>F838*(1-0)</f>
        <v>0</v>
      </c>
      <c r="AL838" s="12">
        <f>E838*AD838</f>
        <v>0</v>
      </c>
      <c r="AM838" s="12">
        <f>E838*AE838</f>
        <v>0</v>
      </c>
      <c r="AN838" s="38" t="s">
        <v>2012</v>
      </c>
      <c r="AO838" s="38" t="s">
        <v>2032</v>
      </c>
      <c r="AP838" s="32" t="s">
        <v>2046</v>
      </c>
    </row>
    <row r="839" spans="1:42" ht="12.75">
      <c r="A839" s="50" t="s">
        <v>594</v>
      </c>
      <c r="B839" s="17" t="s">
        <v>1131</v>
      </c>
      <c r="C839" s="17" t="s">
        <v>1856</v>
      </c>
      <c r="D839" s="17" t="s">
        <v>1941</v>
      </c>
      <c r="E839" s="26">
        <v>525.5</v>
      </c>
      <c r="F839" s="26">
        <v>0</v>
      </c>
      <c r="G839" s="26">
        <f>E839*AD839</f>
        <v>0</v>
      </c>
      <c r="H839" s="26">
        <f>I839-G839</f>
        <v>0</v>
      </c>
      <c r="I839" s="26">
        <f>E839*F839</f>
        <v>0</v>
      </c>
      <c r="J839" s="72">
        <v>0.00504</v>
      </c>
      <c r="K839" s="72">
        <f>E839*J839</f>
        <v>2.64852</v>
      </c>
      <c r="L839" s="35" t="s">
        <v>1959</v>
      </c>
      <c r="M839" s="35" t="s">
        <v>122</v>
      </c>
      <c r="N839" s="26">
        <f>IF(M839="5",H839,0)</f>
        <v>0</v>
      </c>
      <c r="Y839" s="26">
        <f>IF(AC839=0,I839,0)</f>
        <v>0</v>
      </c>
      <c r="Z839" s="26">
        <f>IF(AC839=15,I839,0)</f>
        <v>0</v>
      </c>
      <c r="AA839" s="26">
        <f>IF(AC839=21,I839,0)</f>
        <v>0</v>
      </c>
      <c r="AC839" s="12">
        <v>21</v>
      </c>
      <c r="AD839" s="12">
        <f>F839*0.16218875502008</f>
        <v>0</v>
      </c>
      <c r="AE839" s="12">
        <f>F839*(1-0.16218875502008)</f>
        <v>0</v>
      </c>
      <c r="AL839" s="12">
        <f>E839*AD839</f>
        <v>0</v>
      </c>
      <c r="AM839" s="12">
        <f>E839*AE839</f>
        <v>0</v>
      </c>
      <c r="AN839" s="38" t="s">
        <v>2012</v>
      </c>
      <c r="AO839" s="38" t="s">
        <v>2032</v>
      </c>
      <c r="AP839" s="32" t="s">
        <v>2046</v>
      </c>
    </row>
    <row r="840" ht="12.75">
      <c r="C840" s="24" t="s">
        <v>1834</v>
      </c>
    </row>
    <row r="841" spans="1:42" ht="12.75">
      <c r="A841" s="50" t="s">
        <v>595</v>
      </c>
      <c r="B841" s="17" t="s">
        <v>1132</v>
      </c>
      <c r="C841" s="17" t="s">
        <v>1857</v>
      </c>
      <c r="D841" s="17" t="s">
        <v>1941</v>
      </c>
      <c r="E841" s="26">
        <v>523.5</v>
      </c>
      <c r="F841" s="26">
        <v>0</v>
      </c>
      <c r="G841" s="26">
        <f>E841*AD841</f>
        <v>0</v>
      </c>
      <c r="H841" s="26">
        <f>I841-G841</f>
        <v>0</v>
      </c>
      <c r="I841" s="26">
        <f>E841*F841</f>
        <v>0</v>
      </c>
      <c r="J841" s="72">
        <v>0.0004</v>
      </c>
      <c r="K841" s="72">
        <f>E841*J841</f>
        <v>0.2094</v>
      </c>
      <c r="L841" s="35" t="s">
        <v>1959</v>
      </c>
      <c r="M841" s="35" t="s">
        <v>122</v>
      </c>
      <c r="N841" s="26">
        <f>IF(M841="5",H841,0)</f>
        <v>0</v>
      </c>
      <c r="Y841" s="26">
        <f>IF(AC841=0,I841,0)</f>
        <v>0</v>
      </c>
      <c r="Z841" s="26">
        <f>IF(AC841=15,I841,0)</f>
        <v>0</v>
      </c>
      <c r="AA841" s="26">
        <f>IF(AC841=21,I841,0)</f>
        <v>0</v>
      </c>
      <c r="AC841" s="12">
        <v>21</v>
      </c>
      <c r="AD841" s="12">
        <f>F841*1</f>
        <v>0</v>
      </c>
      <c r="AE841" s="12">
        <f>F841*(1-1)</f>
        <v>0</v>
      </c>
      <c r="AL841" s="12">
        <f>E841*AD841</f>
        <v>0</v>
      </c>
      <c r="AM841" s="12">
        <f>E841*AE841</f>
        <v>0</v>
      </c>
      <c r="AN841" s="38" t="s">
        <v>2012</v>
      </c>
      <c r="AO841" s="38" t="s">
        <v>2032</v>
      </c>
      <c r="AP841" s="32" t="s">
        <v>2046</v>
      </c>
    </row>
    <row r="842" ht="12.75">
      <c r="C842" s="24" t="s">
        <v>1858</v>
      </c>
    </row>
    <row r="843" spans="1:42" ht="12.75">
      <c r="A843" s="50" t="s">
        <v>596</v>
      </c>
      <c r="B843" s="17" t="s">
        <v>1133</v>
      </c>
      <c r="C843" s="17" t="s">
        <v>1859</v>
      </c>
      <c r="D843" s="17" t="s">
        <v>1942</v>
      </c>
      <c r="E843" s="26">
        <v>22.5</v>
      </c>
      <c r="F843" s="26">
        <v>0</v>
      </c>
      <c r="G843" s="26">
        <f>E843*AD843</f>
        <v>0</v>
      </c>
      <c r="H843" s="26">
        <f>I843-G843</f>
        <v>0</v>
      </c>
      <c r="I843" s="26">
        <f>E843*F843</f>
        <v>0</v>
      </c>
      <c r="J843" s="72">
        <v>0.00143</v>
      </c>
      <c r="K843" s="72">
        <f>E843*J843</f>
        <v>0.032175</v>
      </c>
      <c r="L843" s="35" t="s">
        <v>1959</v>
      </c>
      <c r="M843" s="35" t="s">
        <v>122</v>
      </c>
      <c r="N843" s="26">
        <f>IF(M843="5",H843,0)</f>
        <v>0</v>
      </c>
      <c r="Y843" s="26">
        <f>IF(AC843=0,I843,0)</f>
        <v>0</v>
      </c>
      <c r="Z843" s="26">
        <f>IF(AC843=15,I843,0)</f>
        <v>0</v>
      </c>
      <c r="AA843" s="26">
        <f>IF(AC843=21,I843,0)</f>
        <v>0</v>
      </c>
      <c r="AC843" s="12">
        <v>21</v>
      </c>
      <c r="AD843" s="12">
        <f>F843*0.149496762612988</f>
        <v>0</v>
      </c>
      <c r="AE843" s="12">
        <f>F843*(1-0.149496762612988)</f>
        <v>0</v>
      </c>
      <c r="AL843" s="12">
        <f>E843*AD843</f>
        <v>0</v>
      </c>
      <c r="AM843" s="12">
        <f>E843*AE843</f>
        <v>0</v>
      </c>
      <c r="AN843" s="38" t="s">
        <v>2012</v>
      </c>
      <c r="AO843" s="38" t="s">
        <v>2032</v>
      </c>
      <c r="AP843" s="32" t="s">
        <v>2046</v>
      </c>
    </row>
    <row r="844" ht="12.75">
      <c r="C844" s="24" t="s">
        <v>1834</v>
      </c>
    </row>
    <row r="845" spans="1:42" ht="12.75">
      <c r="A845" s="50" t="s">
        <v>597</v>
      </c>
      <c r="B845" s="17" t="s">
        <v>1134</v>
      </c>
      <c r="C845" s="17" t="s">
        <v>1860</v>
      </c>
      <c r="D845" s="17" t="s">
        <v>1941</v>
      </c>
      <c r="E845" s="26">
        <v>262.4</v>
      </c>
      <c r="F845" s="26">
        <v>0</v>
      </c>
      <c r="G845" s="26">
        <f>E845*AD845</f>
        <v>0</v>
      </c>
      <c r="H845" s="26">
        <f>I845-G845</f>
        <v>0</v>
      </c>
      <c r="I845" s="26">
        <f>E845*F845</f>
        <v>0</v>
      </c>
      <c r="J845" s="72">
        <v>0.0021</v>
      </c>
      <c r="K845" s="72">
        <f>E845*J845</f>
        <v>0.5510399999999999</v>
      </c>
      <c r="L845" s="35" t="s">
        <v>1959</v>
      </c>
      <c r="M845" s="35" t="s">
        <v>122</v>
      </c>
      <c r="N845" s="26">
        <f>IF(M845="5",H845,0)</f>
        <v>0</v>
      </c>
      <c r="Y845" s="26">
        <f>IF(AC845=0,I845,0)</f>
        <v>0</v>
      </c>
      <c r="Z845" s="26">
        <f>IF(AC845=15,I845,0)</f>
        <v>0</v>
      </c>
      <c r="AA845" s="26">
        <f>IF(AC845=21,I845,0)</f>
        <v>0</v>
      </c>
      <c r="AC845" s="12">
        <v>21</v>
      </c>
      <c r="AD845" s="12">
        <f>F845*0.233953088721915</f>
        <v>0</v>
      </c>
      <c r="AE845" s="12">
        <f>F845*(1-0.233953088721915)</f>
        <v>0</v>
      </c>
      <c r="AL845" s="12">
        <f>E845*AD845</f>
        <v>0</v>
      </c>
      <c r="AM845" s="12">
        <f>E845*AE845</f>
        <v>0</v>
      </c>
      <c r="AN845" s="38" t="s">
        <v>2012</v>
      </c>
      <c r="AO845" s="38" t="s">
        <v>2032</v>
      </c>
      <c r="AP845" s="32" t="s">
        <v>2048</v>
      </c>
    </row>
    <row r="846" ht="12.75">
      <c r="C846" s="24" t="s">
        <v>1861</v>
      </c>
    </row>
    <row r="847" spans="1:42" ht="12.75">
      <c r="A847" s="50" t="s">
        <v>598</v>
      </c>
      <c r="B847" s="17" t="s">
        <v>1135</v>
      </c>
      <c r="C847" s="17" t="s">
        <v>1862</v>
      </c>
      <c r="D847" s="17" t="s">
        <v>1941</v>
      </c>
      <c r="E847" s="26">
        <v>262.4</v>
      </c>
      <c r="F847" s="26">
        <v>0</v>
      </c>
      <c r="G847" s="26">
        <f>E847*AD847</f>
        <v>0</v>
      </c>
      <c r="H847" s="26">
        <f>I847-G847</f>
        <v>0</v>
      </c>
      <c r="I847" s="26">
        <f>E847*F847</f>
        <v>0</v>
      </c>
      <c r="J847" s="72">
        <v>0.0012</v>
      </c>
      <c r="K847" s="72">
        <f>E847*J847</f>
        <v>0.31487999999999994</v>
      </c>
      <c r="L847" s="35" t="s">
        <v>1959</v>
      </c>
      <c r="M847" s="35" t="s">
        <v>122</v>
      </c>
      <c r="N847" s="26">
        <f>IF(M847="5",H847,0)</f>
        <v>0</v>
      </c>
      <c r="Y847" s="26">
        <f>IF(AC847=0,I847,0)</f>
        <v>0</v>
      </c>
      <c r="Z847" s="26">
        <f>IF(AC847=15,I847,0)</f>
        <v>0</v>
      </c>
      <c r="AA847" s="26">
        <f>IF(AC847=21,I847,0)</f>
        <v>0</v>
      </c>
      <c r="AC847" s="12">
        <v>21</v>
      </c>
      <c r="AD847" s="12">
        <f>F847*1</f>
        <v>0</v>
      </c>
      <c r="AE847" s="12">
        <f>F847*(1-1)</f>
        <v>0</v>
      </c>
      <c r="AL847" s="12">
        <f>E847*AD847</f>
        <v>0</v>
      </c>
      <c r="AM847" s="12">
        <f>E847*AE847</f>
        <v>0</v>
      </c>
      <c r="AN847" s="38" t="s">
        <v>2012</v>
      </c>
      <c r="AO847" s="38" t="s">
        <v>2032</v>
      </c>
      <c r="AP847" s="32" t="s">
        <v>2048</v>
      </c>
    </row>
    <row r="848" spans="1:36" ht="12.75">
      <c r="A848" s="52"/>
      <c r="B848" s="23" t="s">
        <v>37</v>
      </c>
      <c r="C848" s="121" t="s">
        <v>83</v>
      </c>
      <c r="D848" s="122"/>
      <c r="E848" s="122"/>
      <c r="F848" s="122"/>
      <c r="G848" s="40">
        <f>SUM(G849:G850)</f>
        <v>0</v>
      </c>
      <c r="H848" s="40">
        <f>SUM(H849:H850)</f>
        <v>0</v>
      </c>
      <c r="I848" s="40">
        <f>G848+H848</f>
        <v>0</v>
      </c>
      <c r="J848" s="74"/>
      <c r="K848" s="74">
        <f>SUM(K849:K850)</f>
        <v>0.3229</v>
      </c>
      <c r="L848" s="32"/>
      <c r="O848" s="40">
        <f>IF(P848="PR",I848,SUM(N849:N850))</f>
        <v>0</v>
      </c>
      <c r="P848" s="32" t="s">
        <v>1968</v>
      </c>
      <c r="Q848" s="40">
        <f>IF(P848="HS",G848,0)</f>
        <v>0</v>
      </c>
      <c r="R848" s="40">
        <f>IF(P848="HS",H848-O848,0)</f>
        <v>0</v>
      </c>
      <c r="S848" s="40">
        <f>IF(P848="PS",G848,0)</f>
        <v>0</v>
      </c>
      <c r="T848" s="40">
        <f>IF(P848="PS",H848-O848,0)</f>
        <v>0</v>
      </c>
      <c r="U848" s="40">
        <f>IF(P848="MP",G848,0)</f>
        <v>0</v>
      </c>
      <c r="V848" s="40">
        <f>IF(P848="MP",H848-O848,0)</f>
        <v>0</v>
      </c>
      <c r="W848" s="40">
        <f>IF(P848="OM",G848,0)</f>
        <v>0</v>
      </c>
      <c r="X848" s="32"/>
      <c r="AH848" s="40">
        <f>SUM(Y849:Y850)</f>
        <v>0</v>
      </c>
      <c r="AI848" s="40">
        <f>SUM(Z849:Z850)</f>
        <v>0</v>
      </c>
      <c r="AJ848" s="40">
        <f>SUM(AA849:AA850)</f>
        <v>0</v>
      </c>
    </row>
    <row r="849" spans="1:42" ht="12.75">
      <c r="A849" s="53" t="s">
        <v>599</v>
      </c>
      <c r="B849" s="18" t="s">
        <v>1136</v>
      </c>
      <c r="C849" s="18" t="s">
        <v>1863</v>
      </c>
      <c r="D849" s="18" t="s">
        <v>1941</v>
      </c>
      <c r="E849" s="27">
        <v>2</v>
      </c>
      <c r="F849" s="27">
        <v>0</v>
      </c>
      <c r="G849" s="27">
        <f>E849*AD849</f>
        <v>0</v>
      </c>
      <c r="H849" s="27">
        <f>I849-G849</f>
        <v>0</v>
      </c>
      <c r="I849" s="27">
        <f>E849*F849</f>
        <v>0</v>
      </c>
      <c r="J849" s="76">
        <v>0.082</v>
      </c>
      <c r="K849" s="76">
        <f>E849*J849</f>
        <v>0.164</v>
      </c>
      <c r="L849" s="36" t="s">
        <v>1959</v>
      </c>
      <c r="M849" s="36" t="s">
        <v>7</v>
      </c>
      <c r="N849" s="27">
        <f>IF(M849="5",H849,0)</f>
        <v>0</v>
      </c>
      <c r="Y849" s="27">
        <f>IF(AC849=0,I849,0)</f>
        <v>0</v>
      </c>
      <c r="Z849" s="27">
        <f>IF(AC849=15,I849,0)</f>
        <v>0</v>
      </c>
      <c r="AA849" s="27">
        <f>IF(AC849=21,I849,0)</f>
        <v>0</v>
      </c>
      <c r="AC849" s="12">
        <v>21</v>
      </c>
      <c r="AD849" s="12">
        <f>F849*1</f>
        <v>0</v>
      </c>
      <c r="AE849" s="12">
        <f>F849*(1-1)</f>
        <v>0</v>
      </c>
      <c r="AL849" s="12">
        <f>E849*AD849</f>
        <v>0</v>
      </c>
      <c r="AM849" s="12">
        <f>E849*AE849</f>
        <v>0</v>
      </c>
      <c r="AN849" s="38" t="s">
        <v>2013</v>
      </c>
      <c r="AO849" s="38" t="s">
        <v>2032</v>
      </c>
      <c r="AP849" s="32" t="s">
        <v>2042</v>
      </c>
    </row>
    <row r="850" spans="1:42" ht="12.75">
      <c r="A850" s="50" t="s">
        <v>600</v>
      </c>
      <c r="B850" s="17" t="s">
        <v>1137</v>
      </c>
      <c r="C850" s="17" t="s">
        <v>1864</v>
      </c>
      <c r="D850" s="17" t="s">
        <v>1941</v>
      </c>
      <c r="E850" s="26">
        <v>5</v>
      </c>
      <c r="F850" s="26">
        <v>0</v>
      </c>
      <c r="G850" s="26">
        <f>E850*AD850</f>
        <v>0</v>
      </c>
      <c r="H850" s="26">
        <f>I850-G850</f>
        <v>0</v>
      </c>
      <c r="I850" s="26">
        <f>E850*F850</f>
        <v>0</v>
      </c>
      <c r="J850" s="72">
        <v>0.03178</v>
      </c>
      <c r="K850" s="72">
        <f>E850*J850</f>
        <v>0.1589</v>
      </c>
      <c r="L850" s="35" t="s">
        <v>1961</v>
      </c>
      <c r="M850" s="35" t="s">
        <v>122</v>
      </c>
      <c r="N850" s="26">
        <f>IF(M850="5",H850,0)</f>
        <v>0</v>
      </c>
      <c r="Y850" s="26">
        <f>IF(AC850=0,I850,0)</f>
        <v>0</v>
      </c>
      <c r="Z850" s="26">
        <f>IF(AC850=15,I850,0)</f>
        <v>0</v>
      </c>
      <c r="AA850" s="26">
        <f>IF(AC850=21,I850,0)</f>
        <v>0</v>
      </c>
      <c r="AC850" s="12">
        <v>21</v>
      </c>
      <c r="AD850" s="12">
        <f>F850*0.281731983445135</f>
        <v>0</v>
      </c>
      <c r="AE850" s="12">
        <f>F850*(1-0.281731983445135)</f>
        <v>0</v>
      </c>
      <c r="AL850" s="12">
        <f>E850*AD850</f>
        <v>0</v>
      </c>
      <c r="AM850" s="12">
        <f>E850*AE850</f>
        <v>0</v>
      </c>
      <c r="AN850" s="38" t="s">
        <v>2013</v>
      </c>
      <c r="AO850" s="38" t="s">
        <v>2032</v>
      </c>
      <c r="AP850" s="32" t="s">
        <v>2042</v>
      </c>
    </row>
    <row r="851" ht="12.75">
      <c r="C851" s="24" t="s">
        <v>1865</v>
      </c>
    </row>
    <row r="852" spans="1:36" ht="12.75">
      <c r="A852" s="52"/>
      <c r="B852" s="23" t="s">
        <v>38</v>
      </c>
      <c r="C852" s="121" t="s">
        <v>84</v>
      </c>
      <c r="D852" s="122"/>
      <c r="E852" s="122"/>
      <c r="F852" s="122"/>
      <c r="G852" s="40">
        <f>SUM(G853:G873)</f>
        <v>0</v>
      </c>
      <c r="H852" s="40">
        <f>SUM(H853:H873)</f>
        <v>0</v>
      </c>
      <c r="I852" s="40">
        <f>G852+H852</f>
        <v>0</v>
      </c>
      <c r="J852" s="74"/>
      <c r="K852" s="74">
        <f>SUM(K853:K873)</f>
        <v>1.6841704</v>
      </c>
      <c r="L852" s="32"/>
      <c r="O852" s="40">
        <f>IF(P852="PR",I852,SUM(N853:N873))</f>
        <v>0</v>
      </c>
      <c r="P852" s="32" t="s">
        <v>1968</v>
      </c>
      <c r="Q852" s="40">
        <f>IF(P852="HS",G852,0)</f>
        <v>0</v>
      </c>
      <c r="R852" s="40">
        <f>IF(P852="HS",H852-O852,0)</f>
        <v>0</v>
      </c>
      <c r="S852" s="40">
        <f>IF(P852="PS",G852,0)</f>
        <v>0</v>
      </c>
      <c r="T852" s="40">
        <f>IF(P852="PS",H852-O852,0)</f>
        <v>0</v>
      </c>
      <c r="U852" s="40">
        <f>IF(P852="MP",G852,0)</f>
        <v>0</v>
      </c>
      <c r="V852" s="40">
        <f>IF(P852="MP",H852-O852,0)</f>
        <v>0</v>
      </c>
      <c r="W852" s="40">
        <f>IF(P852="OM",G852,0)</f>
        <v>0</v>
      </c>
      <c r="X852" s="32"/>
      <c r="AH852" s="40">
        <f>SUM(Y853:Y873)</f>
        <v>0</v>
      </c>
      <c r="AI852" s="40">
        <f>SUM(Z853:Z873)</f>
        <v>0</v>
      </c>
      <c r="AJ852" s="40">
        <f>SUM(AA853:AA873)</f>
        <v>0</v>
      </c>
    </row>
    <row r="853" spans="1:42" ht="12.75">
      <c r="A853" s="50" t="s">
        <v>601</v>
      </c>
      <c r="B853" s="17" t="s">
        <v>1138</v>
      </c>
      <c r="C853" s="17" t="s">
        <v>1866</v>
      </c>
      <c r="D853" s="17" t="s">
        <v>1941</v>
      </c>
      <c r="E853" s="26">
        <v>9.2</v>
      </c>
      <c r="F853" s="26">
        <v>0</v>
      </c>
      <c r="G853" s="26">
        <f>E853*AD853</f>
        <v>0</v>
      </c>
      <c r="H853" s="26">
        <f>I853-G853</f>
        <v>0</v>
      </c>
      <c r="I853" s="26">
        <f>E853*F853</f>
        <v>0</v>
      </c>
      <c r="J853" s="72">
        <v>0.00171</v>
      </c>
      <c r="K853" s="72">
        <f>E853*J853</f>
        <v>0.015732</v>
      </c>
      <c r="L853" s="35" t="s">
        <v>1961</v>
      </c>
      <c r="M853" s="35" t="s">
        <v>122</v>
      </c>
      <c r="N853" s="26">
        <f>IF(M853="5",H853,0)</f>
        <v>0</v>
      </c>
      <c r="Y853" s="26">
        <f>IF(AC853=0,I853,0)</f>
        <v>0</v>
      </c>
      <c r="Z853" s="26">
        <f>IF(AC853=15,I853,0)</f>
        <v>0</v>
      </c>
      <c r="AA853" s="26">
        <f>IF(AC853=21,I853,0)</f>
        <v>0</v>
      </c>
      <c r="AC853" s="12">
        <v>21</v>
      </c>
      <c r="AD853" s="12">
        <f>F853*0.58665625</f>
        <v>0</v>
      </c>
      <c r="AE853" s="12">
        <f>F853*(1-0.58665625)</f>
        <v>0</v>
      </c>
      <c r="AL853" s="12">
        <f>E853*AD853</f>
        <v>0</v>
      </c>
      <c r="AM853" s="12">
        <f>E853*AE853</f>
        <v>0</v>
      </c>
      <c r="AN853" s="38" t="s">
        <v>2014</v>
      </c>
      <c r="AO853" s="38" t="s">
        <v>2032</v>
      </c>
      <c r="AP853" s="32" t="s">
        <v>2047</v>
      </c>
    </row>
    <row r="854" spans="1:42" ht="12.75">
      <c r="A854" s="50" t="s">
        <v>602</v>
      </c>
      <c r="B854" s="17" t="s">
        <v>1139</v>
      </c>
      <c r="C854" s="17" t="s">
        <v>1867</v>
      </c>
      <c r="D854" s="17" t="s">
        <v>1941</v>
      </c>
      <c r="E854" s="26">
        <v>56.6</v>
      </c>
      <c r="F854" s="26">
        <v>0</v>
      </c>
      <c r="G854" s="26">
        <f>E854*AD854</f>
        <v>0</v>
      </c>
      <c r="H854" s="26">
        <f>I854-G854</f>
        <v>0</v>
      </c>
      <c r="I854" s="26">
        <f>E854*F854</f>
        <v>0</v>
      </c>
      <c r="J854" s="72">
        <v>0.00166</v>
      </c>
      <c r="K854" s="72">
        <f>E854*J854</f>
        <v>0.093956</v>
      </c>
      <c r="L854" s="35" t="s">
        <v>1961</v>
      </c>
      <c r="M854" s="35" t="s">
        <v>122</v>
      </c>
      <c r="N854" s="26">
        <f>IF(M854="5",H854,0)</f>
        <v>0</v>
      </c>
      <c r="Y854" s="26">
        <f>IF(AC854=0,I854,0)</f>
        <v>0</v>
      </c>
      <c r="Z854" s="26">
        <f>IF(AC854=15,I854,0)</f>
        <v>0</v>
      </c>
      <c r="AA854" s="26">
        <f>IF(AC854=21,I854,0)</f>
        <v>0</v>
      </c>
      <c r="AC854" s="12">
        <v>21</v>
      </c>
      <c r="AD854" s="12">
        <f>F854*0.68552371541502</f>
        <v>0</v>
      </c>
      <c r="AE854" s="12">
        <f>F854*(1-0.68552371541502)</f>
        <v>0</v>
      </c>
      <c r="AL854" s="12">
        <f>E854*AD854</f>
        <v>0</v>
      </c>
      <c r="AM854" s="12">
        <f>E854*AE854</f>
        <v>0</v>
      </c>
      <c r="AN854" s="38" t="s">
        <v>2014</v>
      </c>
      <c r="AO854" s="38" t="s">
        <v>2032</v>
      </c>
      <c r="AP854" s="32" t="s">
        <v>2047</v>
      </c>
    </row>
    <row r="855" spans="1:42" ht="12.75">
      <c r="A855" s="50" t="s">
        <v>603</v>
      </c>
      <c r="B855" s="17" t="s">
        <v>1140</v>
      </c>
      <c r="C855" s="17" t="s">
        <v>1868</v>
      </c>
      <c r="D855" s="17" t="s">
        <v>1941</v>
      </c>
      <c r="E855" s="26">
        <v>11.5</v>
      </c>
      <c r="F855" s="26">
        <v>0</v>
      </c>
      <c r="G855" s="26">
        <f>E855*AD855</f>
        <v>0</v>
      </c>
      <c r="H855" s="26">
        <f>I855-G855</f>
        <v>0</v>
      </c>
      <c r="I855" s="26">
        <f>E855*F855</f>
        <v>0</v>
      </c>
      <c r="J855" s="72">
        <v>0.00166</v>
      </c>
      <c r="K855" s="72">
        <f>E855*J855</f>
        <v>0.01909</v>
      </c>
      <c r="L855" s="35" t="s">
        <v>1961</v>
      </c>
      <c r="M855" s="35" t="s">
        <v>122</v>
      </c>
      <c r="N855" s="26">
        <f>IF(M855="5",H855,0)</f>
        <v>0</v>
      </c>
      <c r="Y855" s="26">
        <f>IF(AC855=0,I855,0)</f>
        <v>0</v>
      </c>
      <c r="Z855" s="26">
        <f>IF(AC855=15,I855,0)</f>
        <v>0</v>
      </c>
      <c r="AA855" s="26">
        <f>IF(AC855=21,I855,0)</f>
        <v>0</v>
      </c>
      <c r="AC855" s="12">
        <v>21</v>
      </c>
      <c r="AD855" s="12">
        <f>F855*0.666666666666667</f>
        <v>0</v>
      </c>
      <c r="AE855" s="12">
        <f>F855*(1-0.666666666666667)</f>
        <v>0</v>
      </c>
      <c r="AL855" s="12">
        <f>E855*AD855</f>
        <v>0</v>
      </c>
      <c r="AM855" s="12">
        <f>E855*AE855</f>
        <v>0</v>
      </c>
      <c r="AN855" s="38" t="s">
        <v>2014</v>
      </c>
      <c r="AO855" s="38" t="s">
        <v>2032</v>
      </c>
      <c r="AP855" s="32" t="s">
        <v>2047</v>
      </c>
    </row>
    <row r="856" spans="1:42" ht="12.75">
      <c r="A856" s="50" t="s">
        <v>604</v>
      </c>
      <c r="B856" s="17" t="s">
        <v>1141</v>
      </c>
      <c r="C856" s="17" t="s">
        <v>1869</v>
      </c>
      <c r="D856" s="17" t="s">
        <v>1941</v>
      </c>
      <c r="E856" s="26">
        <v>703.15</v>
      </c>
      <c r="F856" s="26">
        <v>0</v>
      </c>
      <c r="G856" s="26">
        <f>E856*AD856</f>
        <v>0</v>
      </c>
      <c r="H856" s="26">
        <f>I856-G856</f>
        <v>0</v>
      </c>
      <c r="I856" s="26">
        <f>E856*F856</f>
        <v>0</v>
      </c>
      <c r="J856" s="72">
        <v>0.00039</v>
      </c>
      <c r="K856" s="72">
        <f>E856*J856</f>
        <v>0.2742285</v>
      </c>
      <c r="L856" s="35" t="s">
        <v>1959</v>
      </c>
      <c r="M856" s="35" t="s">
        <v>122</v>
      </c>
      <c r="N856" s="26">
        <f>IF(M856="5",H856,0)</f>
        <v>0</v>
      </c>
      <c r="Y856" s="26">
        <f>IF(AC856=0,I856,0)</f>
        <v>0</v>
      </c>
      <c r="Z856" s="26">
        <f>IF(AC856=15,I856,0)</f>
        <v>0</v>
      </c>
      <c r="AA856" s="26">
        <f>IF(AC856=21,I856,0)</f>
        <v>0</v>
      </c>
      <c r="AC856" s="12">
        <v>21</v>
      </c>
      <c r="AD856" s="12">
        <f>F856*0.464765957446808</f>
        <v>0</v>
      </c>
      <c r="AE856" s="12">
        <f>F856*(1-0.464765957446808)</f>
        <v>0</v>
      </c>
      <c r="AL856" s="12">
        <f>E856*AD856</f>
        <v>0</v>
      </c>
      <c r="AM856" s="12">
        <f>E856*AE856</f>
        <v>0</v>
      </c>
      <c r="AN856" s="38" t="s">
        <v>2014</v>
      </c>
      <c r="AO856" s="38" t="s">
        <v>2032</v>
      </c>
      <c r="AP856" s="32" t="s">
        <v>2046</v>
      </c>
    </row>
    <row r="857" ht="12.75">
      <c r="C857" s="24" t="s">
        <v>1870</v>
      </c>
    </row>
    <row r="858" spans="1:42" ht="12.75">
      <c r="A858" s="50" t="s">
        <v>605</v>
      </c>
      <c r="B858" s="17" t="s">
        <v>1142</v>
      </c>
      <c r="C858" s="17" t="s">
        <v>1871</v>
      </c>
      <c r="D858" s="17" t="s">
        <v>1941</v>
      </c>
      <c r="E858" s="26">
        <v>46.8</v>
      </c>
      <c r="F858" s="26">
        <v>0</v>
      </c>
      <c r="G858" s="26">
        <f>E858*AD858</f>
        <v>0</v>
      </c>
      <c r="H858" s="26">
        <f>I858-G858</f>
        <v>0</v>
      </c>
      <c r="I858" s="26">
        <f>E858*F858</f>
        <v>0</v>
      </c>
      <c r="J858" s="72">
        <v>0.00015</v>
      </c>
      <c r="K858" s="72">
        <f>E858*J858</f>
        <v>0.007019999999999999</v>
      </c>
      <c r="L858" s="35" t="s">
        <v>1961</v>
      </c>
      <c r="M858" s="35" t="s">
        <v>122</v>
      </c>
      <c r="N858" s="26">
        <f>IF(M858="5",H858,0)</f>
        <v>0</v>
      </c>
      <c r="Y858" s="26">
        <f>IF(AC858=0,I858,0)</f>
        <v>0</v>
      </c>
      <c r="Z858" s="26">
        <f>IF(AC858=15,I858,0)</f>
        <v>0</v>
      </c>
      <c r="AA858" s="26">
        <f>IF(AC858=21,I858,0)</f>
        <v>0</v>
      </c>
      <c r="AC858" s="12">
        <v>21</v>
      </c>
      <c r="AD858" s="12">
        <f>F858*0.435127040865617</f>
        <v>0</v>
      </c>
      <c r="AE858" s="12">
        <f>F858*(1-0.435127040865617)</f>
        <v>0</v>
      </c>
      <c r="AL858" s="12">
        <f>E858*AD858</f>
        <v>0</v>
      </c>
      <c r="AM858" s="12">
        <f>E858*AE858</f>
        <v>0</v>
      </c>
      <c r="AN858" s="38" t="s">
        <v>2014</v>
      </c>
      <c r="AO858" s="38" t="s">
        <v>2032</v>
      </c>
      <c r="AP858" s="32" t="s">
        <v>2042</v>
      </c>
    </row>
    <row r="859" ht="12.75">
      <c r="C859" s="24" t="s">
        <v>1872</v>
      </c>
    </row>
    <row r="860" spans="1:42" ht="12.75">
      <c r="A860" s="50" t="s">
        <v>606</v>
      </c>
      <c r="B860" s="17" t="s">
        <v>1143</v>
      </c>
      <c r="C860" s="17" t="s">
        <v>1873</v>
      </c>
      <c r="D860" s="17" t="s">
        <v>1941</v>
      </c>
      <c r="E860" s="26">
        <v>46.8</v>
      </c>
      <c r="F860" s="26">
        <v>0</v>
      </c>
      <c r="G860" s="26">
        <f>E860*AD860</f>
        <v>0</v>
      </c>
      <c r="H860" s="26">
        <f>I860-G860</f>
        <v>0</v>
      </c>
      <c r="I860" s="26">
        <f>E860*F860</f>
        <v>0</v>
      </c>
      <c r="J860" s="72">
        <v>0.00024</v>
      </c>
      <c r="K860" s="72">
        <f>E860*J860</f>
        <v>0.011231999999999999</v>
      </c>
      <c r="L860" s="35" t="s">
        <v>1961</v>
      </c>
      <c r="M860" s="35" t="s">
        <v>122</v>
      </c>
      <c r="N860" s="26">
        <f>IF(M860="5",H860,0)</f>
        <v>0</v>
      </c>
      <c r="Y860" s="26">
        <f>IF(AC860=0,I860,0)</f>
        <v>0</v>
      </c>
      <c r="Z860" s="26">
        <f>IF(AC860=15,I860,0)</f>
        <v>0</v>
      </c>
      <c r="AA860" s="26">
        <f>IF(AC860=21,I860,0)</f>
        <v>0</v>
      </c>
      <c r="AC860" s="12">
        <v>21</v>
      </c>
      <c r="AD860" s="12">
        <f>F860*0.209032258064516</f>
        <v>0</v>
      </c>
      <c r="AE860" s="12">
        <f>F860*(1-0.209032258064516)</f>
        <v>0</v>
      </c>
      <c r="AL860" s="12">
        <f>E860*AD860</f>
        <v>0</v>
      </c>
      <c r="AM860" s="12">
        <f>E860*AE860</f>
        <v>0</v>
      </c>
      <c r="AN860" s="38" t="s">
        <v>2014</v>
      </c>
      <c r="AO860" s="38" t="s">
        <v>2032</v>
      </c>
      <c r="AP860" s="32" t="s">
        <v>2042</v>
      </c>
    </row>
    <row r="861" ht="12.75">
      <c r="C861" s="24" t="s">
        <v>1874</v>
      </c>
    </row>
    <row r="862" spans="1:42" ht="12.75">
      <c r="A862" s="50" t="s">
        <v>607</v>
      </c>
      <c r="B862" s="17" t="s">
        <v>1144</v>
      </c>
      <c r="C862" s="17" t="s">
        <v>1875</v>
      </c>
      <c r="D862" s="17" t="s">
        <v>1941</v>
      </c>
      <c r="E862" s="26">
        <v>1355.3</v>
      </c>
      <c r="F862" s="26">
        <v>0</v>
      </c>
      <c r="G862" s="26">
        <f>E862*AD862</f>
        <v>0</v>
      </c>
      <c r="H862" s="26">
        <f>I862-G862</f>
        <v>0</v>
      </c>
      <c r="I862" s="26">
        <f>E862*F862</f>
        <v>0</v>
      </c>
      <c r="J862" s="72">
        <v>0.00051</v>
      </c>
      <c r="K862" s="72">
        <f>E862*J862</f>
        <v>0.691203</v>
      </c>
      <c r="L862" s="35" t="s">
        <v>1959</v>
      </c>
      <c r="M862" s="35" t="s">
        <v>122</v>
      </c>
      <c r="N862" s="26">
        <f>IF(M862="5",H862,0)</f>
        <v>0</v>
      </c>
      <c r="Y862" s="26">
        <f>IF(AC862=0,I862,0)</f>
        <v>0</v>
      </c>
      <c r="Z862" s="26">
        <f>IF(AC862=15,I862,0)</f>
        <v>0</v>
      </c>
      <c r="AA862" s="26">
        <f>IF(AC862=21,I862,0)</f>
        <v>0</v>
      </c>
      <c r="AC862" s="12">
        <v>21</v>
      </c>
      <c r="AD862" s="12">
        <f>F862*0.474925967279965</f>
        <v>0</v>
      </c>
      <c r="AE862" s="12">
        <f>F862*(1-0.474925967279965)</f>
        <v>0</v>
      </c>
      <c r="AL862" s="12">
        <f>E862*AD862</f>
        <v>0</v>
      </c>
      <c r="AM862" s="12">
        <f>E862*AE862</f>
        <v>0</v>
      </c>
      <c r="AN862" s="38" t="s">
        <v>2014</v>
      </c>
      <c r="AO862" s="38" t="s">
        <v>2032</v>
      </c>
      <c r="AP862" s="32" t="s">
        <v>2046</v>
      </c>
    </row>
    <row r="863" ht="12.75">
      <c r="C863" s="24" t="s">
        <v>1876</v>
      </c>
    </row>
    <row r="864" spans="1:42" ht="12.75">
      <c r="A864" s="50" t="s">
        <v>608</v>
      </c>
      <c r="B864" s="17" t="s">
        <v>1145</v>
      </c>
      <c r="C864" s="17" t="s">
        <v>1877</v>
      </c>
      <c r="D864" s="17" t="s">
        <v>1941</v>
      </c>
      <c r="E864" s="26">
        <v>23.51</v>
      </c>
      <c r="F864" s="26">
        <v>0</v>
      </c>
      <c r="G864" s="26">
        <f aca="true" t="shared" si="134" ref="G864:G869">E864*AD864</f>
        <v>0</v>
      </c>
      <c r="H864" s="26">
        <f aca="true" t="shared" si="135" ref="H864:H869">I864-G864</f>
        <v>0</v>
      </c>
      <c r="I864" s="26">
        <f aca="true" t="shared" si="136" ref="I864:I869">E864*F864</f>
        <v>0</v>
      </c>
      <c r="J864" s="72">
        <v>1E-05</v>
      </c>
      <c r="K864" s="72">
        <f aca="true" t="shared" si="137" ref="K864:K869">E864*J864</f>
        <v>0.00023510000000000002</v>
      </c>
      <c r="L864" s="35" t="s">
        <v>1959</v>
      </c>
      <c r="M864" s="35" t="s">
        <v>122</v>
      </c>
      <c r="N864" s="26">
        <f aca="true" t="shared" si="138" ref="N864:N869">IF(M864="5",H864,0)</f>
        <v>0</v>
      </c>
      <c r="Y864" s="26">
        <f aca="true" t="shared" si="139" ref="Y864:Y869">IF(AC864=0,I864,0)</f>
        <v>0</v>
      </c>
      <c r="Z864" s="26">
        <f aca="true" t="shared" si="140" ref="Z864:Z869">IF(AC864=15,I864,0)</f>
        <v>0</v>
      </c>
      <c r="AA864" s="26">
        <f aca="true" t="shared" si="141" ref="AA864:AA869">IF(AC864=21,I864,0)</f>
        <v>0</v>
      </c>
      <c r="AC864" s="12">
        <v>21</v>
      </c>
      <c r="AD864" s="12">
        <f>F864*0.0345070422535211</f>
        <v>0</v>
      </c>
      <c r="AE864" s="12">
        <f>F864*(1-0.0345070422535211)</f>
        <v>0</v>
      </c>
      <c r="AL864" s="12">
        <f aca="true" t="shared" si="142" ref="AL864:AL869">E864*AD864</f>
        <v>0</v>
      </c>
      <c r="AM864" s="12">
        <f aca="true" t="shared" si="143" ref="AM864:AM869">E864*AE864</f>
        <v>0</v>
      </c>
      <c r="AN864" s="38" t="s">
        <v>2014</v>
      </c>
      <c r="AO864" s="38" t="s">
        <v>2032</v>
      </c>
      <c r="AP864" s="32" t="s">
        <v>2046</v>
      </c>
    </row>
    <row r="865" spans="1:42" ht="12.75">
      <c r="A865" s="50" t="s">
        <v>609</v>
      </c>
      <c r="B865" s="17" t="s">
        <v>1146</v>
      </c>
      <c r="C865" s="17" t="s">
        <v>1878</v>
      </c>
      <c r="D865" s="17" t="s">
        <v>1941</v>
      </c>
      <c r="E865" s="26">
        <v>94.2</v>
      </c>
      <c r="F865" s="26">
        <v>0</v>
      </c>
      <c r="G865" s="26">
        <f t="shared" si="134"/>
        <v>0</v>
      </c>
      <c r="H865" s="26">
        <f t="shared" si="135"/>
        <v>0</v>
      </c>
      <c r="I865" s="26">
        <f t="shared" si="136"/>
        <v>0</v>
      </c>
      <c r="J865" s="72">
        <v>0.0002</v>
      </c>
      <c r="K865" s="72">
        <f t="shared" si="137"/>
        <v>0.018840000000000003</v>
      </c>
      <c r="L865" s="35" t="s">
        <v>1961</v>
      </c>
      <c r="M865" s="35" t="s">
        <v>122</v>
      </c>
      <c r="N865" s="26">
        <f t="shared" si="138"/>
        <v>0</v>
      </c>
      <c r="Y865" s="26">
        <f t="shared" si="139"/>
        <v>0</v>
      </c>
      <c r="Z865" s="26">
        <f t="shared" si="140"/>
        <v>0</v>
      </c>
      <c r="AA865" s="26">
        <f t="shared" si="141"/>
        <v>0</v>
      </c>
      <c r="AC865" s="12">
        <v>21</v>
      </c>
      <c r="AD865" s="12">
        <f>F865*0.443134328358209</f>
        <v>0</v>
      </c>
      <c r="AE865" s="12">
        <f>F865*(1-0.443134328358209)</f>
        <v>0</v>
      </c>
      <c r="AL865" s="12">
        <f t="shared" si="142"/>
        <v>0</v>
      </c>
      <c r="AM865" s="12">
        <f t="shared" si="143"/>
        <v>0</v>
      </c>
      <c r="AN865" s="38" t="s">
        <v>2014</v>
      </c>
      <c r="AO865" s="38" t="s">
        <v>2032</v>
      </c>
      <c r="AP865" s="32" t="s">
        <v>2042</v>
      </c>
    </row>
    <row r="866" spans="1:42" ht="12.75">
      <c r="A866" s="50" t="s">
        <v>610</v>
      </c>
      <c r="B866" s="17" t="s">
        <v>1147</v>
      </c>
      <c r="C866" s="17" t="s">
        <v>1879</v>
      </c>
      <c r="D866" s="17" t="s">
        <v>1941</v>
      </c>
      <c r="E866" s="26">
        <v>23.51</v>
      </c>
      <c r="F866" s="26">
        <v>0</v>
      </c>
      <c r="G866" s="26">
        <f t="shared" si="134"/>
        <v>0</v>
      </c>
      <c r="H866" s="26">
        <f t="shared" si="135"/>
        <v>0</v>
      </c>
      <c r="I866" s="26">
        <f t="shared" si="136"/>
        <v>0</v>
      </c>
      <c r="J866" s="72">
        <v>0.00032</v>
      </c>
      <c r="K866" s="72">
        <f t="shared" si="137"/>
        <v>0.007523200000000001</v>
      </c>
      <c r="L866" s="35" t="s">
        <v>1959</v>
      </c>
      <c r="M866" s="35" t="s">
        <v>122</v>
      </c>
      <c r="N866" s="26">
        <f t="shared" si="138"/>
        <v>0</v>
      </c>
      <c r="Y866" s="26">
        <f t="shared" si="139"/>
        <v>0</v>
      </c>
      <c r="Z866" s="26">
        <f t="shared" si="140"/>
        <v>0</v>
      </c>
      <c r="AA866" s="26">
        <f t="shared" si="141"/>
        <v>0</v>
      </c>
      <c r="AC866" s="12">
        <v>21</v>
      </c>
      <c r="AD866" s="12">
        <f>F866*0.384722222222222</f>
        <v>0</v>
      </c>
      <c r="AE866" s="12">
        <f>F866*(1-0.384722222222222)</f>
        <v>0</v>
      </c>
      <c r="AL866" s="12">
        <f t="shared" si="142"/>
        <v>0</v>
      </c>
      <c r="AM866" s="12">
        <f t="shared" si="143"/>
        <v>0</v>
      </c>
      <c r="AN866" s="38" t="s">
        <v>2014</v>
      </c>
      <c r="AO866" s="38" t="s">
        <v>2032</v>
      </c>
      <c r="AP866" s="32" t="s">
        <v>2046</v>
      </c>
    </row>
    <row r="867" spans="1:42" s="60" customFormat="1" ht="26.25">
      <c r="A867" s="56" t="s">
        <v>611</v>
      </c>
      <c r="B867" s="57" t="s">
        <v>1148</v>
      </c>
      <c r="C867" s="57" t="s">
        <v>1880</v>
      </c>
      <c r="D867" s="57" t="s">
        <v>1941</v>
      </c>
      <c r="E867" s="58">
        <v>94.2</v>
      </c>
      <c r="F867" s="58">
        <v>0</v>
      </c>
      <c r="G867" s="58">
        <f t="shared" si="134"/>
        <v>0</v>
      </c>
      <c r="H867" s="58">
        <f t="shared" si="135"/>
        <v>0</v>
      </c>
      <c r="I867" s="58">
        <f t="shared" si="136"/>
        <v>0</v>
      </c>
      <c r="J867" s="77">
        <v>8E-05</v>
      </c>
      <c r="K867" s="77">
        <f t="shared" si="137"/>
        <v>0.007536000000000001</v>
      </c>
      <c r="L867" s="59" t="s">
        <v>1961</v>
      </c>
      <c r="M867" s="59" t="s">
        <v>122</v>
      </c>
      <c r="N867" s="58">
        <f t="shared" si="138"/>
        <v>0</v>
      </c>
      <c r="Y867" s="58">
        <f t="shared" si="139"/>
        <v>0</v>
      </c>
      <c r="Z867" s="58">
        <f t="shared" si="140"/>
        <v>0</v>
      </c>
      <c r="AA867" s="58">
        <f t="shared" si="141"/>
        <v>0</v>
      </c>
      <c r="AC867" s="61">
        <v>21</v>
      </c>
      <c r="AD867" s="61">
        <f>F867*0.398936170212766</f>
        <v>0</v>
      </c>
      <c r="AE867" s="61">
        <f>F867*(1-0.398936170212766)</f>
        <v>0</v>
      </c>
      <c r="AL867" s="61">
        <f t="shared" si="142"/>
        <v>0</v>
      </c>
      <c r="AM867" s="61">
        <f t="shared" si="143"/>
        <v>0</v>
      </c>
      <c r="AN867" s="62" t="s">
        <v>2014</v>
      </c>
      <c r="AO867" s="62" t="s">
        <v>2032</v>
      </c>
      <c r="AP867" s="63" t="s">
        <v>2042</v>
      </c>
    </row>
    <row r="868" spans="1:42" s="60" customFormat="1" ht="26.25">
      <c r="A868" s="56" t="s">
        <v>612</v>
      </c>
      <c r="B868" s="57" t="s">
        <v>1149</v>
      </c>
      <c r="C868" s="57" t="s">
        <v>1881</v>
      </c>
      <c r="D868" s="57" t="s">
        <v>1941</v>
      </c>
      <c r="E868" s="58">
        <v>337.52</v>
      </c>
      <c r="F868" s="58">
        <v>0</v>
      </c>
      <c r="G868" s="58">
        <f t="shared" si="134"/>
        <v>0</v>
      </c>
      <c r="H868" s="58">
        <f t="shared" si="135"/>
        <v>0</v>
      </c>
      <c r="I868" s="58">
        <f t="shared" si="136"/>
        <v>0</v>
      </c>
      <c r="J868" s="77">
        <v>0.00018</v>
      </c>
      <c r="K868" s="77">
        <f t="shared" si="137"/>
        <v>0.0607536</v>
      </c>
      <c r="L868" s="59" t="s">
        <v>1959</v>
      </c>
      <c r="M868" s="59" t="s">
        <v>124</v>
      </c>
      <c r="N868" s="58">
        <f t="shared" si="138"/>
        <v>0</v>
      </c>
      <c r="Y868" s="58">
        <f t="shared" si="139"/>
        <v>0</v>
      </c>
      <c r="Z868" s="58">
        <f t="shared" si="140"/>
        <v>0</v>
      </c>
      <c r="AA868" s="58">
        <f t="shared" si="141"/>
        <v>0</v>
      </c>
      <c r="AC868" s="61">
        <v>21</v>
      </c>
      <c r="AD868" s="61">
        <f>F868*0.172104926423544</f>
        <v>0</v>
      </c>
      <c r="AE868" s="61">
        <f>F868*(1-0.172104926423544)</f>
        <v>0</v>
      </c>
      <c r="AL868" s="61">
        <f t="shared" si="142"/>
        <v>0</v>
      </c>
      <c r="AM868" s="61">
        <f t="shared" si="143"/>
        <v>0</v>
      </c>
      <c r="AN868" s="62" t="s">
        <v>2014</v>
      </c>
      <c r="AO868" s="62" t="s">
        <v>2032</v>
      </c>
      <c r="AP868" s="63" t="s">
        <v>2051</v>
      </c>
    </row>
    <row r="869" spans="1:42" ht="12.75">
      <c r="A869" s="50" t="s">
        <v>613</v>
      </c>
      <c r="B869" s="17" t="s">
        <v>1150</v>
      </c>
      <c r="C869" s="17" t="s">
        <v>1882</v>
      </c>
      <c r="D869" s="17" t="s">
        <v>1941</v>
      </c>
      <c r="E869" s="26">
        <v>1650</v>
      </c>
      <c r="F869" s="26">
        <v>0</v>
      </c>
      <c r="G869" s="26">
        <f t="shared" si="134"/>
        <v>0</v>
      </c>
      <c r="H869" s="26">
        <f t="shared" si="135"/>
        <v>0</v>
      </c>
      <c r="I869" s="26">
        <f t="shared" si="136"/>
        <v>0</v>
      </c>
      <c r="J869" s="72">
        <v>0.00016</v>
      </c>
      <c r="K869" s="72">
        <f t="shared" si="137"/>
        <v>0.264</v>
      </c>
      <c r="L869" s="35" t="s">
        <v>1959</v>
      </c>
      <c r="M869" s="35" t="s">
        <v>122</v>
      </c>
      <c r="N869" s="26">
        <f t="shared" si="138"/>
        <v>0</v>
      </c>
      <c r="Y869" s="26">
        <f t="shared" si="139"/>
        <v>0</v>
      </c>
      <c r="Z869" s="26">
        <f t="shared" si="140"/>
        <v>0</v>
      </c>
      <c r="AA869" s="26">
        <f t="shared" si="141"/>
        <v>0</v>
      </c>
      <c r="AC869" s="12">
        <v>21</v>
      </c>
      <c r="AD869" s="12">
        <f>F869*0.172104926423544</f>
        <v>0</v>
      </c>
      <c r="AE869" s="12">
        <f>F869*(1-0.172104926423544)</f>
        <v>0</v>
      </c>
      <c r="AL869" s="12">
        <f t="shared" si="142"/>
        <v>0</v>
      </c>
      <c r="AM869" s="12">
        <f t="shared" si="143"/>
        <v>0</v>
      </c>
      <c r="AN869" s="38" t="s">
        <v>2014</v>
      </c>
      <c r="AO869" s="38" t="s">
        <v>2032</v>
      </c>
      <c r="AP869" s="32" t="s">
        <v>2046</v>
      </c>
    </row>
    <row r="870" ht="12.75">
      <c r="C870" s="24" t="s">
        <v>1883</v>
      </c>
    </row>
    <row r="871" spans="1:42" ht="12.75">
      <c r="A871" s="50" t="s">
        <v>614</v>
      </c>
      <c r="B871" s="17" t="s">
        <v>1151</v>
      </c>
      <c r="C871" s="17" t="s">
        <v>1884</v>
      </c>
      <c r="D871" s="17" t="s">
        <v>1941</v>
      </c>
      <c r="E871" s="26">
        <v>273.3</v>
      </c>
      <c r="F871" s="26">
        <v>0</v>
      </c>
      <c r="G871" s="26">
        <f>E871*AD871</f>
        <v>0</v>
      </c>
      <c r="H871" s="26">
        <f>I871-G871</f>
        <v>0</v>
      </c>
      <c r="I871" s="26">
        <f>E871*F871</f>
        <v>0</v>
      </c>
      <c r="J871" s="72">
        <v>0.00025</v>
      </c>
      <c r="K871" s="72">
        <f>E871*J871</f>
        <v>0.06832500000000001</v>
      </c>
      <c r="L871" s="35" t="s">
        <v>1959</v>
      </c>
      <c r="M871" s="35" t="s">
        <v>122</v>
      </c>
      <c r="N871" s="26">
        <f>IF(M871="5",H871,0)</f>
        <v>0</v>
      </c>
      <c r="Y871" s="26">
        <f>IF(AC871=0,I871,0)</f>
        <v>0</v>
      </c>
      <c r="Z871" s="26">
        <f>IF(AC871=15,I871,0)</f>
        <v>0</v>
      </c>
      <c r="AA871" s="26">
        <f>IF(AC871=21,I871,0)</f>
        <v>0</v>
      </c>
      <c r="AC871" s="12">
        <v>21</v>
      </c>
      <c r="AD871" s="12">
        <f>F871*0.565481049562682</f>
        <v>0</v>
      </c>
      <c r="AE871" s="12">
        <f>F871*(1-0.565481049562682)</f>
        <v>0</v>
      </c>
      <c r="AL871" s="12">
        <f>E871*AD871</f>
        <v>0</v>
      </c>
      <c r="AM871" s="12">
        <f>E871*AE871</f>
        <v>0</v>
      </c>
      <c r="AN871" s="38" t="s">
        <v>2014</v>
      </c>
      <c r="AO871" s="38" t="s">
        <v>2032</v>
      </c>
      <c r="AP871" s="32" t="s">
        <v>2046</v>
      </c>
    </row>
    <row r="872" spans="1:42" ht="12.75">
      <c r="A872" s="50" t="s">
        <v>615</v>
      </c>
      <c r="B872" s="17" t="s">
        <v>1152</v>
      </c>
      <c r="C872" s="17" t="s">
        <v>1885</v>
      </c>
      <c r="D872" s="17" t="s">
        <v>1941</v>
      </c>
      <c r="E872" s="26">
        <v>198.5</v>
      </c>
      <c r="F872" s="26">
        <v>0</v>
      </c>
      <c r="G872" s="26">
        <f>E872*AD872</f>
        <v>0</v>
      </c>
      <c r="H872" s="26">
        <f>I872-G872</f>
        <v>0</v>
      </c>
      <c r="I872" s="26">
        <f>E872*F872</f>
        <v>0</v>
      </c>
      <c r="J872" s="72">
        <v>0.00025</v>
      </c>
      <c r="K872" s="72">
        <f>E872*J872</f>
        <v>0.049625</v>
      </c>
      <c r="L872" s="35" t="s">
        <v>1961</v>
      </c>
      <c r="M872" s="35" t="s">
        <v>122</v>
      </c>
      <c r="N872" s="26">
        <f>IF(M872="5",H872,0)</f>
        <v>0</v>
      </c>
      <c r="Y872" s="26">
        <f>IF(AC872=0,I872,0)</f>
        <v>0</v>
      </c>
      <c r="Z872" s="26">
        <f>IF(AC872=15,I872,0)</f>
        <v>0</v>
      </c>
      <c r="AA872" s="26">
        <f>IF(AC872=21,I872,0)</f>
        <v>0</v>
      </c>
      <c r="AC872" s="12">
        <v>21</v>
      </c>
      <c r="AD872" s="12">
        <f>F872*0.555555555555556</f>
        <v>0</v>
      </c>
      <c r="AE872" s="12">
        <f>F872*(1-0.555555555555556)</f>
        <v>0</v>
      </c>
      <c r="AL872" s="12">
        <f>E872*AD872</f>
        <v>0</v>
      </c>
      <c r="AM872" s="12">
        <f>E872*AE872</f>
        <v>0</v>
      </c>
      <c r="AN872" s="38" t="s">
        <v>2014</v>
      </c>
      <c r="AO872" s="38" t="s">
        <v>2032</v>
      </c>
      <c r="AP872" s="32" t="s">
        <v>2046</v>
      </c>
    </row>
    <row r="873" spans="1:42" ht="12.75">
      <c r="A873" s="50" t="s">
        <v>616</v>
      </c>
      <c r="B873" s="17" t="s">
        <v>1153</v>
      </c>
      <c r="C873" s="17" t="s">
        <v>1886</v>
      </c>
      <c r="D873" s="17" t="s">
        <v>1941</v>
      </c>
      <c r="E873" s="26">
        <v>1355.3</v>
      </c>
      <c r="F873" s="26">
        <v>0</v>
      </c>
      <c r="G873" s="26">
        <f>E873*AD873</f>
        <v>0</v>
      </c>
      <c r="H873" s="26">
        <f>I873-G873</f>
        <v>0</v>
      </c>
      <c r="I873" s="26">
        <f>E873*F873</f>
        <v>0</v>
      </c>
      <c r="J873" s="72">
        <v>7E-05</v>
      </c>
      <c r="K873" s="72">
        <f>E873*J873</f>
        <v>0.09487099999999998</v>
      </c>
      <c r="L873" s="35" t="s">
        <v>1959</v>
      </c>
      <c r="M873" s="35" t="s">
        <v>122</v>
      </c>
      <c r="N873" s="26">
        <f>IF(M873="5",H873,0)</f>
        <v>0</v>
      </c>
      <c r="Y873" s="26">
        <f>IF(AC873=0,I873,0)</f>
        <v>0</v>
      </c>
      <c r="Z873" s="26">
        <f>IF(AC873=15,I873,0)</f>
        <v>0</v>
      </c>
      <c r="AA873" s="26">
        <f>IF(AC873=21,I873,0)</f>
        <v>0</v>
      </c>
      <c r="AC873" s="12">
        <v>21</v>
      </c>
      <c r="AD873" s="12">
        <f>F873*0.0963235294117647</f>
        <v>0</v>
      </c>
      <c r="AE873" s="12">
        <f>F873*(1-0.0963235294117647)</f>
        <v>0</v>
      </c>
      <c r="AL873" s="12">
        <f>E873*AD873</f>
        <v>0</v>
      </c>
      <c r="AM873" s="12">
        <f>E873*AE873</f>
        <v>0</v>
      </c>
      <c r="AN873" s="38" t="s">
        <v>2014</v>
      </c>
      <c r="AO873" s="38" t="s">
        <v>2032</v>
      </c>
      <c r="AP873" s="32" t="s">
        <v>2046</v>
      </c>
    </row>
    <row r="874" ht="12.75">
      <c r="C874" s="24" t="s">
        <v>1876</v>
      </c>
    </row>
    <row r="875" spans="1:36" ht="12.75">
      <c r="A875" s="52"/>
      <c r="B875" s="23" t="s">
        <v>39</v>
      </c>
      <c r="C875" s="121" t="s">
        <v>85</v>
      </c>
      <c r="D875" s="122"/>
      <c r="E875" s="122"/>
      <c r="F875" s="122"/>
      <c r="G875" s="40">
        <f>SUM(G876:G881)</f>
        <v>0</v>
      </c>
      <c r="H875" s="40">
        <f>SUM(H876:H881)</f>
        <v>0</v>
      </c>
      <c r="I875" s="40">
        <f>G875+H875</f>
        <v>0</v>
      </c>
      <c r="J875" s="74"/>
      <c r="K875" s="74">
        <f>SUM(K876:K881)</f>
        <v>1.6414355</v>
      </c>
      <c r="L875" s="32"/>
      <c r="O875" s="40">
        <f>IF(P875="PR",I875,SUM(N876:N881))</f>
        <v>0</v>
      </c>
      <c r="P875" s="32" t="s">
        <v>1968</v>
      </c>
      <c r="Q875" s="40">
        <f>IF(P875="HS",G875,0)</f>
        <v>0</v>
      </c>
      <c r="R875" s="40">
        <f>IF(P875="HS",H875-O875,0)</f>
        <v>0</v>
      </c>
      <c r="S875" s="40">
        <f>IF(P875="PS",G875,0)</f>
        <v>0</v>
      </c>
      <c r="T875" s="40">
        <f>IF(P875="PS",H875-O875,0)</f>
        <v>0</v>
      </c>
      <c r="U875" s="40">
        <f>IF(P875="MP",G875,0)</f>
        <v>0</v>
      </c>
      <c r="V875" s="40">
        <f>IF(P875="MP",H875-O875,0)</f>
        <v>0</v>
      </c>
      <c r="W875" s="40">
        <f>IF(P875="OM",G875,0)</f>
        <v>0</v>
      </c>
      <c r="X875" s="32"/>
      <c r="AH875" s="40">
        <f>SUM(Y876:Y881)</f>
        <v>0</v>
      </c>
      <c r="AI875" s="40">
        <f>SUM(Z876:Z881)</f>
        <v>0</v>
      </c>
      <c r="AJ875" s="40">
        <f>SUM(AA876:AA881)</f>
        <v>0</v>
      </c>
    </row>
    <row r="876" spans="1:42" ht="12.75">
      <c r="A876" s="50" t="s">
        <v>617</v>
      </c>
      <c r="B876" s="17" t="s">
        <v>1154</v>
      </c>
      <c r="C876" s="17" t="s">
        <v>1887</v>
      </c>
      <c r="D876" s="17" t="s">
        <v>1941</v>
      </c>
      <c r="E876" s="26">
        <v>8009.9</v>
      </c>
      <c r="F876" s="26">
        <v>0</v>
      </c>
      <c r="G876" s="26">
        <f>E876*AD876</f>
        <v>0</v>
      </c>
      <c r="H876" s="26">
        <f>I876-G876</f>
        <v>0</v>
      </c>
      <c r="I876" s="26">
        <f>E876*F876</f>
        <v>0</v>
      </c>
      <c r="J876" s="72">
        <v>5E-05</v>
      </c>
      <c r="K876" s="72">
        <f>E876*J876</f>
        <v>0.400495</v>
      </c>
      <c r="L876" s="35" t="s">
        <v>1959</v>
      </c>
      <c r="M876" s="35" t="s">
        <v>122</v>
      </c>
      <c r="N876" s="26">
        <f>IF(M876="5",H876,0)</f>
        <v>0</v>
      </c>
      <c r="Y876" s="26">
        <f>IF(AC876=0,I876,0)</f>
        <v>0</v>
      </c>
      <c r="Z876" s="26">
        <f>IF(AC876=15,I876,0)</f>
        <v>0</v>
      </c>
      <c r="AA876" s="26">
        <f>IF(AC876=21,I876,0)</f>
        <v>0</v>
      </c>
      <c r="AC876" s="12">
        <v>21</v>
      </c>
      <c r="AD876" s="12">
        <f>F876*0.185748598879103</f>
        <v>0</v>
      </c>
      <c r="AE876" s="12">
        <f>F876*(1-0.185748598879103)</f>
        <v>0</v>
      </c>
      <c r="AL876" s="12">
        <f>E876*AD876</f>
        <v>0</v>
      </c>
      <c r="AM876" s="12">
        <f>E876*AE876</f>
        <v>0</v>
      </c>
      <c r="AN876" s="38" t="s">
        <v>2015</v>
      </c>
      <c r="AO876" s="38" t="s">
        <v>2032</v>
      </c>
      <c r="AP876" s="32" t="s">
        <v>2046</v>
      </c>
    </row>
    <row r="877" spans="1:42" ht="12.75">
      <c r="A877" s="50" t="s">
        <v>618</v>
      </c>
      <c r="B877" s="17" t="s">
        <v>1155</v>
      </c>
      <c r="C877" s="17" t="s">
        <v>1888</v>
      </c>
      <c r="D877" s="17" t="s">
        <v>1941</v>
      </c>
      <c r="E877" s="26">
        <v>4064.35</v>
      </c>
      <c r="F877" s="26">
        <v>0</v>
      </c>
      <c r="G877" s="26">
        <f>E877*AD877</f>
        <v>0</v>
      </c>
      <c r="H877" s="26">
        <f>I877-G877</f>
        <v>0</v>
      </c>
      <c r="I877" s="26">
        <f>E877*F877</f>
        <v>0</v>
      </c>
      <c r="J877" s="72">
        <v>0.00015</v>
      </c>
      <c r="K877" s="72">
        <f>E877*J877</f>
        <v>0.6096524999999999</v>
      </c>
      <c r="L877" s="35" t="s">
        <v>1959</v>
      </c>
      <c r="M877" s="35" t="s">
        <v>122</v>
      </c>
      <c r="N877" s="26">
        <f>IF(M877="5",H877,0)</f>
        <v>0</v>
      </c>
      <c r="Y877" s="26">
        <f>IF(AC877=0,I877,0)</f>
        <v>0</v>
      </c>
      <c r="Z877" s="26">
        <f>IF(AC877=15,I877,0)</f>
        <v>0</v>
      </c>
      <c r="AA877" s="26">
        <f>IF(AC877=21,I877,0)</f>
        <v>0</v>
      </c>
      <c r="AC877" s="12">
        <v>21</v>
      </c>
      <c r="AD877" s="12">
        <f>F877*0.11191135734072</f>
        <v>0</v>
      </c>
      <c r="AE877" s="12">
        <f>F877*(1-0.11191135734072)</f>
        <v>0</v>
      </c>
      <c r="AL877" s="12">
        <f>E877*AD877</f>
        <v>0</v>
      </c>
      <c r="AM877" s="12">
        <f>E877*AE877</f>
        <v>0</v>
      </c>
      <c r="AN877" s="38" t="s">
        <v>2015</v>
      </c>
      <c r="AO877" s="38" t="s">
        <v>2032</v>
      </c>
      <c r="AP877" s="32" t="s">
        <v>2046</v>
      </c>
    </row>
    <row r="878" ht="30" customHeight="1">
      <c r="C878" s="24" t="s">
        <v>1889</v>
      </c>
    </row>
    <row r="879" spans="1:42" ht="12.75">
      <c r="A879" s="50" t="s">
        <v>619</v>
      </c>
      <c r="B879" s="17" t="s">
        <v>1156</v>
      </c>
      <c r="C879" s="17" t="s">
        <v>1890</v>
      </c>
      <c r="D879" s="17" t="s">
        <v>1941</v>
      </c>
      <c r="E879" s="26">
        <v>3945.55</v>
      </c>
      <c r="F879" s="26">
        <v>0</v>
      </c>
      <c r="G879" s="26">
        <f>E879*AD879</f>
        <v>0</v>
      </c>
      <c r="H879" s="26">
        <f>I879-G879</f>
        <v>0</v>
      </c>
      <c r="I879" s="26">
        <f>E879*F879</f>
        <v>0</v>
      </c>
      <c r="J879" s="72">
        <v>0.00016</v>
      </c>
      <c r="K879" s="72">
        <f>E879*J879</f>
        <v>0.6312880000000001</v>
      </c>
      <c r="L879" s="35" t="s">
        <v>1959</v>
      </c>
      <c r="M879" s="35" t="s">
        <v>122</v>
      </c>
      <c r="N879" s="26">
        <f>IF(M879="5",H879,0)</f>
        <v>0</v>
      </c>
      <c r="Y879" s="26">
        <f>IF(AC879=0,I879,0)</f>
        <v>0</v>
      </c>
      <c r="Z879" s="26">
        <f>IF(AC879=15,I879,0)</f>
        <v>0</v>
      </c>
      <c r="AA879" s="26">
        <f>IF(AC879=21,I879,0)</f>
        <v>0</v>
      </c>
      <c r="AC879" s="12">
        <v>21</v>
      </c>
      <c r="AD879" s="12">
        <f>F879*0.138407435317759</f>
        <v>0</v>
      </c>
      <c r="AE879" s="12">
        <f>F879*(1-0.138407435317759)</f>
        <v>0</v>
      </c>
      <c r="AL879" s="12">
        <f>E879*AD879</f>
        <v>0</v>
      </c>
      <c r="AM879" s="12">
        <f>E879*AE879</f>
        <v>0</v>
      </c>
      <c r="AN879" s="38" t="s">
        <v>2015</v>
      </c>
      <c r="AO879" s="38" t="s">
        <v>2032</v>
      </c>
      <c r="AP879" s="32" t="s">
        <v>2046</v>
      </c>
    </row>
    <row r="880" ht="24" customHeight="1">
      <c r="C880" s="24" t="s">
        <v>2072</v>
      </c>
    </row>
    <row r="881" spans="1:42" ht="12.75">
      <c r="A881" s="50" t="s">
        <v>620</v>
      </c>
      <c r="B881" s="17" t="s">
        <v>1157</v>
      </c>
      <c r="C881" s="17" t="s">
        <v>1891</v>
      </c>
      <c r="D881" s="17" t="s">
        <v>1941</v>
      </c>
      <c r="E881" s="26">
        <v>2366.45</v>
      </c>
      <c r="F881" s="26">
        <v>0</v>
      </c>
      <c r="G881" s="26">
        <f>E881*AD881</f>
        <v>0</v>
      </c>
      <c r="H881" s="26">
        <f>I881-G881</f>
        <v>0</v>
      </c>
      <c r="I881" s="26">
        <f>E881*F881</f>
        <v>0</v>
      </c>
      <c r="J881" s="72">
        <v>0</v>
      </c>
      <c r="K881" s="72">
        <f>E881*J881</f>
        <v>0</v>
      </c>
      <c r="L881" s="35" t="s">
        <v>1959</v>
      </c>
      <c r="M881" s="35" t="s">
        <v>122</v>
      </c>
      <c r="N881" s="26">
        <f>IF(M881="5",H881,0)</f>
        <v>0</v>
      </c>
      <c r="Y881" s="26">
        <f>IF(AC881=0,I881,0)</f>
        <v>0</v>
      </c>
      <c r="Z881" s="26">
        <f>IF(AC881=15,I881,0)</f>
        <v>0</v>
      </c>
      <c r="AA881" s="26">
        <f>IF(AC881=21,I881,0)</f>
        <v>0</v>
      </c>
      <c r="AC881" s="12">
        <v>21</v>
      </c>
      <c r="AD881" s="12">
        <f>F881*0.00409090909090909</f>
        <v>0</v>
      </c>
      <c r="AE881" s="12">
        <f>F881*(1-0.00409090909090909)</f>
        <v>0</v>
      </c>
      <c r="AL881" s="12">
        <f>E881*AD881</f>
        <v>0</v>
      </c>
      <c r="AM881" s="12">
        <f>E881*AE881</f>
        <v>0</v>
      </c>
      <c r="AN881" s="38" t="s">
        <v>2015</v>
      </c>
      <c r="AO881" s="38" t="s">
        <v>2032</v>
      </c>
      <c r="AP881" s="32" t="s">
        <v>2045</v>
      </c>
    </row>
    <row r="882" spans="1:36" ht="12.75">
      <c r="A882" s="52"/>
      <c r="B882" s="23" t="s">
        <v>40</v>
      </c>
      <c r="C882" s="121" t="s">
        <v>86</v>
      </c>
      <c r="D882" s="122"/>
      <c r="E882" s="122"/>
      <c r="F882" s="122"/>
      <c r="G882" s="40">
        <f>SUM(G883:G883)</f>
        <v>0</v>
      </c>
      <c r="H882" s="40">
        <f>SUM(H883:H883)</f>
        <v>0</v>
      </c>
      <c r="I882" s="40">
        <f>G882+H882</f>
        <v>0</v>
      </c>
      <c r="J882" s="74"/>
      <c r="K882" s="74">
        <f>SUM(K883:K883)</f>
        <v>0.630531</v>
      </c>
      <c r="L882" s="32"/>
      <c r="O882" s="40">
        <f>IF(P882="PR",I882,SUM(N883:N883))</f>
        <v>0</v>
      </c>
      <c r="P882" s="32" t="s">
        <v>1968</v>
      </c>
      <c r="Q882" s="40">
        <f>IF(P882="HS",G882,0)</f>
        <v>0</v>
      </c>
      <c r="R882" s="40">
        <f>IF(P882="HS",H882-O882,0)</f>
        <v>0</v>
      </c>
      <c r="S882" s="40">
        <f>IF(P882="PS",G882,0)</f>
        <v>0</v>
      </c>
      <c r="T882" s="40">
        <f>IF(P882="PS",H882-O882,0)</f>
        <v>0</v>
      </c>
      <c r="U882" s="40">
        <f>IF(P882="MP",G882,0)</f>
        <v>0</v>
      </c>
      <c r="V882" s="40">
        <f>IF(P882="MP",H882-O882,0)</f>
        <v>0</v>
      </c>
      <c r="W882" s="40">
        <f>IF(P882="OM",G882,0)</f>
        <v>0</v>
      </c>
      <c r="X882" s="32"/>
      <c r="AH882" s="40">
        <f>SUM(Y883:Y883)</f>
        <v>0</v>
      </c>
      <c r="AI882" s="40">
        <f>SUM(Z883:Z883)</f>
        <v>0</v>
      </c>
      <c r="AJ882" s="40">
        <f>SUM(AA883:AA883)</f>
        <v>0</v>
      </c>
    </row>
    <row r="883" spans="1:42" ht="12.75">
      <c r="A883" s="50" t="s">
        <v>621</v>
      </c>
      <c r="B883" s="17" t="s">
        <v>1158</v>
      </c>
      <c r="C883" s="17" t="s">
        <v>1892</v>
      </c>
      <c r="D883" s="17" t="s">
        <v>1941</v>
      </c>
      <c r="E883" s="26">
        <v>29.7</v>
      </c>
      <c r="F883" s="26">
        <v>0</v>
      </c>
      <c r="G883" s="26">
        <f>E883*AD883</f>
        <v>0</v>
      </c>
      <c r="H883" s="26">
        <f>I883-G883</f>
        <v>0</v>
      </c>
      <c r="I883" s="26">
        <f>E883*F883</f>
        <v>0</v>
      </c>
      <c r="J883" s="72">
        <v>0.02123</v>
      </c>
      <c r="K883" s="72">
        <f>E883*J883</f>
        <v>0.630531</v>
      </c>
      <c r="L883" s="35" t="s">
        <v>1961</v>
      </c>
      <c r="M883" s="35" t="s">
        <v>122</v>
      </c>
      <c r="N883" s="26">
        <f>IF(M883="5",H883,0)</f>
        <v>0</v>
      </c>
      <c r="Y883" s="26">
        <f>IF(AC883=0,I883,0)</f>
        <v>0</v>
      </c>
      <c r="Z883" s="26">
        <f>IF(AC883=15,I883,0)</f>
        <v>0</v>
      </c>
      <c r="AA883" s="26">
        <f>IF(AC883=21,I883,0)</f>
        <v>0</v>
      </c>
      <c r="AC883" s="12">
        <v>21</v>
      </c>
      <c r="AD883" s="12">
        <f>F883*0.931314285126242</f>
        <v>0</v>
      </c>
      <c r="AE883" s="12">
        <f>F883*(1-0.931314285126242)</f>
        <v>0</v>
      </c>
      <c r="AL883" s="12">
        <f>E883*AD883</f>
        <v>0</v>
      </c>
      <c r="AM883" s="12">
        <f>E883*AE883</f>
        <v>0</v>
      </c>
      <c r="AN883" s="38" t="s">
        <v>2016</v>
      </c>
      <c r="AO883" s="38" t="s">
        <v>2032</v>
      </c>
      <c r="AP883" s="32" t="s">
        <v>2050</v>
      </c>
    </row>
    <row r="884" ht="12.75">
      <c r="C884" s="24" t="s">
        <v>1893</v>
      </c>
    </row>
    <row r="885" spans="1:36" ht="12.75">
      <c r="A885" s="52"/>
      <c r="B885" s="23" t="s">
        <v>41</v>
      </c>
      <c r="C885" s="121" t="s">
        <v>87</v>
      </c>
      <c r="D885" s="122"/>
      <c r="E885" s="122"/>
      <c r="F885" s="122"/>
      <c r="G885" s="40">
        <f>SUM(G886:G903)</f>
        <v>0</v>
      </c>
      <c r="H885" s="40">
        <f>SUM(H886:H903)</f>
        <v>0</v>
      </c>
      <c r="I885" s="40">
        <f>G885+H885</f>
        <v>0</v>
      </c>
      <c r="J885" s="74"/>
      <c r="K885" s="74">
        <f>SUM(K886:K903)</f>
        <v>0.38</v>
      </c>
      <c r="L885" s="32"/>
      <c r="O885" s="40">
        <f>IF(P885="PR",I885,SUM(N886:N903))</f>
        <v>0</v>
      </c>
      <c r="P885" s="32" t="s">
        <v>1967</v>
      </c>
      <c r="Q885" s="40">
        <f>IF(P885="HS",G885,0)</f>
        <v>0</v>
      </c>
      <c r="R885" s="40">
        <f>IF(P885="HS",H885-O885,0)</f>
        <v>0</v>
      </c>
      <c r="S885" s="40">
        <f>IF(P885="PS",G885,0)</f>
        <v>0</v>
      </c>
      <c r="T885" s="40">
        <f>IF(P885="PS",H885-O885,0)</f>
        <v>0</v>
      </c>
      <c r="U885" s="40">
        <f>IF(P885="MP",G885,0)</f>
        <v>0</v>
      </c>
      <c r="V885" s="40">
        <f>IF(P885="MP",H885-O885,0)</f>
        <v>0</v>
      </c>
      <c r="W885" s="40">
        <f>IF(P885="OM",G885,0)</f>
        <v>0</v>
      </c>
      <c r="X885" s="32"/>
      <c r="AH885" s="40">
        <f>SUM(Y886:Y903)</f>
        <v>0</v>
      </c>
      <c r="AI885" s="40">
        <f>SUM(Z886:Z903)</f>
        <v>0</v>
      </c>
      <c r="AJ885" s="40">
        <f>SUM(AA886:AA903)</f>
        <v>0</v>
      </c>
    </row>
    <row r="886" spans="1:42" ht="12.75">
      <c r="A886" s="53" t="s">
        <v>622</v>
      </c>
      <c r="B886" s="18" t="s">
        <v>1159</v>
      </c>
      <c r="C886" s="18" t="s">
        <v>1894</v>
      </c>
      <c r="D886" s="18" t="s">
        <v>1944</v>
      </c>
      <c r="E886" s="27">
        <v>20</v>
      </c>
      <c r="F886" s="27">
        <v>0</v>
      </c>
      <c r="G886" s="27">
        <f>E886*AD886</f>
        <v>0</v>
      </c>
      <c r="H886" s="27">
        <f>I886-G886</f>
        <v>0</v>
      </c>
      <c r="I886" s="27">
        <f>E886*F886</f>
        <v>0</v>
      </c>
      <c r="J886" s="76">
        <v>0.0166</v>
      </c>
      <c r="K886" s="76">
        <f>E886*J886</f>
        <v>0.332</v>
      </c>
      <c r="L886" s="36" t="s">
        <v>1959</v>
      </c>
      <c r="M886" s="36" t="s">
        <v>7</v>
      </c>
      <c r="N886" s="27">
        <f>IF(M886="5",H886,0)</f>
        <v>0</v>
      </c>
      <c r="Y886" s="27">
        <f>IF(AC886=0,I886,0)</f>
        <v>0</v>
      </c>
      <c r="Z886" s="27">
        <f>IF(AC886=15,I886,0)</f>
        <v>0</v>
      </c>
      <c r="AA886" s="27">
        <f>IF(AC886=21,I886,0)</f>
        <v>0</v>
      </c>
      <c r="AC886" s="12">
        <v>21</v>
      </c>
      <c r="AD886" s="12">
        <f>F886*1</f>
        <v>0</v>
      </c>
      <c r="AE886" s="12">
        <f>F886*(1-1)</f>
        <v>0</v>
      </c>
      <c r="AL886" s="12">
        <f>E886*AD886</f>
        <v>0</v>
      </c>
      <c r="AM886" s="12">
        <f>E886*AE886</f>
        <v>0</v>
      </c>
      <c r="AN886" s="38" t="s">
        <v>2017</v>
      </c>
      <c r="AO886" s="38" t="s">
        <v>2033</v>
      </c>
      <c r="AP886" s="32" t="s">
        <v>2047</v>
      </c>
    </row>
    <row r="887" spans="1:42" ht="12.75">
      <c r="A887" s="53" t="s">
        <v>623</v>
      </c>
      <c r="B887" s="18" t="s">
        <v>1160</v>
      </c>
      <c r="C887" s="18" t="s">
        <v>1895</v>
      </c>
      <c r="D887" s="18" t="s">
        <v>1944</v>
      </c>
      <c r="E887" s="27">
        <v>2</v>
      </c>
      <c r="F887" s="27">
        <v>0</v>
      </c>
      <c r="G887" s="27">
        <f>E887*AD887</f>
        <v>0</v>
      </c>
      <c r="H887" s="27">
        <f>I887-G887</f>
        <v>0</v>
      </c>
      <c r="I887" s="27">
        <f>E887*F887</f>
        <v>0</v>
      </c>
      <c r="J887" s="76">
        <v>0.024</v>
      </c>
      <c r="K887" s="76">
        <f>E887*J887</f>
        <v>0.048</v>
      </c>
      <c r="L887" s="36" t="s">
        <v>1959</v>
      </c>
      <c r="M887" s="36" t="s">
        <v>7</v>
      </c>
      <c r="N887" s="27">
        <f>IF(M887="5",H887,0)</f>
        <v>0</v>
      </c>
      <c r="Y887" s="27">
        <f>IF(AC887=0,I887,0)</f>
        <v>0</v>
      </c>
      <c r="Z887" s="27">
        <f>IF(AC887=15,I887,0)</f>
        <v>0</v>
      </c>
      <c r="AA887" s="27">
        <f>IF(AC887=21,I887,0)</f>
        <v>0</v>
      </c>
      <c r="AC887" s="12">
        <v>21</v>
      </c>
      <c r="AD887" s="12">
        <f>F887*1</f>
        <v>0</v>
      </c>
      <c r="AE887" s="12">
        <f>F887*(1-1)</f>
        <v>0</v>
      </c>
      <c r="AL887" s="12">
        <f>E887*AD887</f>
        <v>0</v>
      </c>
      <c r="AM887" s="12">
        <f>E887*AE887</f>
        <v>0</v>
      </c>
      <c r="AN887" s="38" t="s">
        <v>2017</v>
      </c>
      <c r="AO887" s="38" t="s">
        <v>2033</v>
      </c>
      <c r="AP887" s="32" t="s">
        <v>2047</v>
      </c>
    </row>
    <row r="888" spans="1:42" ht="12.75">
      <c r="A888" s="50" t="s">
        <v>624</v>
      </c>
      <c r="B888" s="17" t="s">
        <v>1161</v>
      </c>
      <c r="C888" s="17" t="s">
        <v>1896</v>
      </c>
      <c r="D888" s="17" t="s">
        <v>1947</v>
      </c>
      <c r="E888" s="26">
        <v>1</v>
      </c>
      <c r="F888" s="26">
        <v>0</v>
      </c>
      <c r="G888" s="26">
        <f>E888*AD888</f>
        <v>0</v>
      </c>
      <c r="H888" s="26">
        <f>I888-G888</f>
        <v>0</v>
      </c>
      <c r="I888" s="26">
        <f>E888*F888</f>
        <v>0</v>
      </c>
      <c r="J888" s="72">
        <v>0</v>
      </c>
      <c r="K888" s="72">
        <f>E888*J888</f>
        <v>0</v>
      </c>
      <c r="L888" s="35" t="s">
        <v>1961</v>
      </c>
      <c r="M888" s="35" t="s">
        <v>122</v>
      </c>
      <c r="N888" s="26">
        <f>IF(M888="5",H888,0)</f>
        <v>0</v>
      </c>
      <c r="Y888" s="26">
        <f>IF(AC888=0,I888,0)</f>
        <v>0</v>
      </c>
      <c r="Z888" s="26">
        <f>IF(AC888=15,I888,0)</f>
        <v>0</v>
      </c>
      <c r="AA888" s="26">
        <f>IF(AC888=21,I888,0)</f>
        <v>0</v>
      </c>
      <c r="AC888" s="12">
        <v>21</v>
      </c>
      <c r="AD888" s="12">
        <f>F888*0</f>
        <v>0</v>
      </c>
      <c r="AE888" s="12">
        <f>F888*(1-0)</f>
        <v>0</v>
      </c>
      <c r="AL888" s="12">
        <f>E888*AD888</f>
        <v>0</v>
      </c>
      <c r="AM888" s="12">
        <f>E888*AE888</f>
        <v>0</v>
      </c>
      <c r="AN888" s="38" t="s">
        <v>2017</v>
      </c>
      <c r="AO888" s="38" t="s">
        <v>2033</v>
      </c>
      <c r="AP888" s="32" t="s">
        <v>2047</v>
      </c>
    </row>
    <row r="889" ht="12.75">
      <c r="C889" s="24" t="s">
        <v>1897</v>
      </c>
    </row>
    <row r="890" spans="1:42" ht="12.75">
      <c r="A890" s="50" t="s">
        <v>625</v>
      </c>
      <c r="B890" s="17" t="s">
        <v>1162</v>
      </c>
      <c r="C890" s="17" t="s">
        <v>1898</v>
      </c>
      <c r="D890" s="17" t="s">
        <v>1951</v>
      </c>
      <c r="E890" s="26">
        <v>32</v>
      </c>
      <c r="F890" s="26">
        <v>0</v>
      </c>
      <c r="G890" s="26">
        <f>E890*AD890</f>
        <v>0</v>
      </c>
      <c r="H890" s="26">
        <f>I890-G890</f>
        <v>0</v>
      </c>
      <c r="I890" s="26">
        <f>E890*F890</f>
        <v>0</v>
      </c>
      <c r="J890" s="72">
        <v>0</v>
      </c>
      <c r="K890" s="72">
        <f>E890*J890</f>
        <v>0</v>
      </c>
      <c r="L890" s="35" t="s">
        <v>1961</v>
      </c>
      <c r="M890" s="35" t="s">
        <v>122</v>
      </c>
      <c r="N890" s="26">
        <f>IF(M890="5",H890,0)</f>
        <v>0</v>
      </c>
      <c r="Y890" s="26">
        <f>IF(AC890=0,I890,0)</f>
        <v>0</v>
      </c>
      <c r="Z890" s="26">
        <f>IF(AC890=15,I890,0)</f>
        <v>0</v>
      </c>
      <c r="AA890" s="26">
        <f>IF(AC890=21,I890,0)</f>
        <v>0</v>
      </c>
      <c r="AC890" s="12">
        <v>21</v>
      </c>
      <c r="AD890" s="12">
        <f>F890*1</f>
        <v>0</v>
      </c>
      <c r="AE890" s="12">
        <f>F890*(1-1)</f>
        <v>0</v>
      </c>
      <c r="AL890" s="12">
        <f>E890*AD890</f>
        <v>0</v>
      </c>
      <c r="AM890" s="12">
        <f>E890*AE890</f>
        <v>0</v>
      </c>
      <c r="AN890" s="38" t="s">
        <v>2017</v>
      </c>
      <c r="AO890" s="38" t="s">
        <v>2033</v>
      </c>
      <c r="AP890" s="32" t="s">
        <v>2047</v>
      </c>
    </row>
    <row r="891" ht="12.75">
      <c r="C891" s="24" t="s">
        <v>1899</v>
      </c>
    </row>
    <row r="892" spans="1:42" ht="12.75">
      <c r="A892" s="50" t="s">
        <v>626</v>
      </c>
      <c r="B892" s="17" t="s">
        <v>1163</v>
      </c>
      <c r="C892" s="17" t="s">
        <v>1900</v>
      </c>
      <c r="D892" s="17" t="s">
        <v>1951</v>
      </c>
      <c r="E892" s="26">
        <v>8</v>
      </c>
      <c r="F892" s="26">
        <v>0</v>
      </c>
      <c r="G892" s="26">
        <f aca="true" t="shared" si="144" ref="G892:G903">E892*AD892</f>
        <v>0</v>
      </c>
      <c r="H892" s="26">
        <f aca="true" t="shared" si="145" ref="H892:H903">I892-G892</f>
        <v>0</v>
      </c>
      <c r="I892" s="26">
        <f aca="true" t="shared" si="146" ref="I892:I903">E892*F892</f>
        <v>0</v>
      </c>
      <c r="J892" s="72">
        <v>0</v>
      </c>
      <c r="K892" s="72">
        <f aca="true" t="shared" si="147" ref="K892:K903">E892*J892</f>
        <v>0</v>
      </c>
      <c r="L892" s="35" t="s">
        <v>1961</v>
      </c>
      <c r="M892" s="35" t="s">
        <v>122</v>
      </c>
      <c r="N892" s="26">
        <f aca="true" t="shared" si="148" ref="N892:N903">IF(M892="5",H892,0)</f>
        <v>0</v>
      </c>
      <c r="Y892" s="26">
        <f aca="true" t="shared" si="149" ref="Y892:Y903">IF(AC892=0,I892,0)</f>
        <v>0</v>
      </c>
      <c r="Z892" s="26">
        <f aca="true" t="shared" si="150" ref="Z892:Z903">IF(AC892=15,I892,0)</f>
        <v>0</v>
      </c>
      <c r="AA892" s="26">
        <f aca="true" t="shared" si="151" ref="AA892:AA903">IF(AC892=21,I892,0)</f>
        <v>0</v>
      </c>
      <c r="AC892" s="12">
        <v>21</v>
      </c>
      <c r="AD892" s="12">
        <f aca="true" t="shared" si="152" ref="AD892:AD903">F892*1</f>
        <v>0</v>
      </c>
      <c r="AE892" s="12">
        <f aca="true" t="shared" si="153" ref="AE892:AE903">F892*(1-1)</f>
        <v>0</v>
      </c>
      <c r="AL892" s="12">
        <f aca="true" t="shared" si="154" ref="AL892:AL903">E892*AD892</f>
        <v>0</v>
      </c>
      <c r="AM892" s="12">
        <f aca="true" t="shared" si="155" ref="AM892:AM903">E892*AE892</f>
        <v>0</v>
      </c>
      <c r="AN892" s="38" t="s">
        <v>2017</v>
      </c>
      <c r="AO892" s="38" t="s">
        <v>2033</v>
      </c>
      <c r="AP892" s="32" t="s">
        <v>2047</v>
      </c>
    </row>
    <row r="893" spans="1:42" ht="12.75">
      <c r="A893" s="50" t="s">
        <v>627</v>
      </c>
      <c r="B893" s="17" t="s">
        <v>1164</v>
      </c>
      <c r="C893" s="17" t="s">
        <v>1901</v>
      </c>
      <c r="D893" s="17" t="s">
        <v>1951</v>
      </c>
      <c r="E893" s="26">
        <v>2</v>
      </c>
      <c r="F893" s="26">
        <v>0</v>
      </c>
      <c r="G893" s="26">
        <f t="shared" si="144"/>
        <v>0</v>
      </c>
      <c r="H893" s="26">
        <f t="shared" si="145"/>
        <v>0</v>
      </c>
      <c r="I893" s="26">
        <f t="shared" si="146"/>
        <v>0</v>
      </c>
      <c r="J893" s="72">
        <v>0</v>
      </c>
      <c r="K893" s="72">
        <f t="shared" si="147"/>
        <v>0</v>
      </c>
      <c r="L893" s="35" t="s">
        <v>1961</v>
      </c>
      <c r="M893" s="35" t="s">
        <v>122</v>
      </c>
      <c r="N893" s="26">
        <f t="shared" si="148"/>
        <v>0</v>
      </c>
      <c r="Y893" s="26">
        <f t="shared" si="149"/>
        <v>0</v>
      </c>
      <c r="Z893" s="26">
        <f t="shared" si="150"/>
        <v>0</v>
      </c>
      <c r="AA893" s="26">
        <f t="shared" si="151"/>
        <v>0</v>
      </c>
      <c r="AC893" s="12">
        <v>21</v>
      </c>
      <c r="AD893" s="12">
        <f t="shared" si="152"/>
        <v>0</v>
      </c>
      <c r="AE893" s="12">
        <f t="shared" si="153"/>
        <v>0</v>
      </c>
      <c r="AL893" s="12">
        <f t="shared" si="154"/>
        <v>0</v>
      </c>
      <c r="AM893" s="12">
        <f t="shared" si="155"/>
        <v>0</v>
      </c>
      <c r="AN893" s="38" t="s">
        <v>2017</v>
      </c>
      <c r="AO893" s="38" t="s">
        <v>2033</v>
      </c>
      <c r="AP893" s="32" t="s">
        <v>2047</v>
      </c>
    </row>
    <row r="894" spans="1:42" ht="12.75">
      <c r="A894" s="50" t="s">
        <v>628</v>
      </c>
      <c r="B894" s="17" t="s">
        <v>1165</v>
      </c>
      <c r="C894" s="17" t="s">
        <v>1902</v>
      </c>
      <c r="D894" s="17" t="s">
        <v>1951</v>
      </c>
      <c r="E894" s="26">
        <v>20</v>
      </c>
      <c r="F894" s="26">
        <v>0</v>
      </c>
      <c r="G894" s="26">
        <f t="shared" si="144"/>
        <v>0</v>
      </c>
      <c r="H894" s="26">
        <f t="shared" si="145"/>
        <v>0</v>
      </c>
      <c r="I894" s="26">
        <f t="shared" si="146"/>
        <v>0</v>
      </c>
      <c r="J894" s="72">
        <v>0</v>
      </c>
      <c r="K894" s="72">
        <f t="shared" si="147"/>
        <v>0</v>
      </c>
      <c r="L894" s="35" t="s">
        <v>1961</v>
      </c>
      <c r="M894" s="35" t="s">
        <v>122</v>
      </c>
      <c r="N894" s="26">
        <f t="shared" si="148"/>
        <v>0</v>
      </c>
      <c r="Y894" s="26">
        <f t="shared" si="149"/>
        <v>0</v>
      </c>
      <c r="Z894" s="26">
        <f t="shared" si="150"/>
        <v>0</v>
      </c>
      <c r="AA894" s="26">
        <f t="shared" si="151"/>
        <v>0</v>
      </c>
      <c r="AC894" s="12">
        <v>21</v>
      </c>
      <c r="AD894" s="12">
        <f t="shared" si="152"/>
        <v>0</v>
      </c>
      <c r="AE894" s="12">
        <f t="shared" si="153"/>
        <v>0</v>
      </c>
      <c r="AL894" s="12">
        <f t="shared" si="154"/>
        <v>0</v>
      </c>
      <c r="AM894" s="12">
        <f t="shared" si="155"/>
        <v>0</v>
      </c>
      <c r="AN894" s="38" t="s">
        <v>2017</v>
      </c>
      <c r="AO894" s="38" t="s">
        <v>2033</v>
      </c>
      <c r="AP894" s="32" t="s">
        <v>2047</v>
      </c>
    </row>
    <row r="895" spans="1:42" ht="12.75">
      <c r="A895" s="50" t="s">
        <v>629</v>
      </c>
      <c r="B895" s="17" t="s">
        <v>1166</v>
      </c>
      <c r="C895" s="17" t="s">
        <v>1903</v>
      </c>
      <c r="D895" s="17" t="s">
        <v>1951</v>
      </c>
      <c r="E895" s="26">
        <v>12</v>
      </c>
      <c r="F895" s="26">
        <v>0</v>
      </c>
      <c r="G895" s="26">
        <f t="shared" si="144"/>
        <v>0</v>
      </c>
      <c r="H895" s="26">
        <f t="shared" si="145"/>
        <v>0</v>
      </c>
      <c r="I895" s="26">
        <f t="shared" si="146"/>
        <v>0</v>
      </c>
      <c r="J895" s="72">
        <v>0</v>
      </c>
      <c r="K895" s="72">
        <f t="shared" si="147"/>
        <v>0</v>
      </c>
      <c r="L895" s="35" t="s">
        <v>1961</v>
      </c>
      <c r="M895" s="35" t="s">
        <v>122</v>
      </c>
      <c r="N895" s="26">
        <f t="shared" si="148"/>
        <v>0</v>
      </c>
      <c r="Y895" s="26">
        <f t="shared" si="149"/>
        <v>0</v>
      </c>
      <c r="Z895" s="26">
        <f t="shared" si="150"/>
        <v>0</v>
      </c>
      <c r="AA895" s="26">
        <f t="shared" si="151"/>
        <v>0</v>
      </c>
      <c r="AC895" s="12">
        <v>21</v>
      </c>
      <c r="AD895" s="12">
        <f t="shared" si="152"/>
        <v>0</v>
      </c>
      <c r="AE895" s="12">
        <f t="shared" si="153"/>
        <v>0</v>
      </c>
      <c r="AL895" s="12">
        <f t="shared" si="154"/>
        <v>0</v>
      </c>
      <c r="AM895" s="12">
        <f t="shared" si="155"/>
        <v>0</v>
      </c>
      <c r="AN895" s="38" t="s">
        <v>2017</v>
      </c>
      <c r="AO895" s="38" t="s">
        <v>2033</v>
      </c>
      <c r="AP895" s="32" t="s">
        <v>2047</v>
      </c>
    </row>
    <row r="896" spans="1:42" ht="12.75">
      <c r="A896" s="50" t="s">
        <v>630</v>
      </c>
      <c r="B896" s="17" t="s">
        <v>1167</v>
      </c>
      <c r="C896" s="17" t="s">
        <v>1904</v>
      </c>
      <c r="D896" s="17" t="s">
        <v>1951</v>
      </c>
      <c r="E896" s="26">
        <v>2</v>
      </c>
      <c r="F896" s="26">
        <v>0</v>
      </c>
      <c r="G896" s="26">
        <f t="shared" si="144"/>
        <v>0</v>
      </c>
      <c r="H896" s="26">
        <f t="shared" si="145"/>
        <v>0</v>
      </c>
      <c r="I896" s="26">
        <f t="shared" si="146"/>
        <v>0</v>
      </c>
      <c r="J896" s="72">
        <v>0</v>
      </c>
      <c r="K896" s="72">
        <f t="shared" si="147"/>
        <v>0</v>
      </c>
      <c r="L896" s="35" t="s">
        <v>1961</v>
      </c>
      <c r="M896" s="35" t="s">
        <v>122</v>
      </c>
      <c r="N896" s="26">
        <f t="shared" si="148"/>
        <v>0</v>
      </c>
      <c r="Y896" s="26">
        <f t="shared" si="149"/>
        <v>0</v>
      </c>
      <c r="Z896" s="26">
        <f t="shared" si="150"/>
        <v>0</v>
      </c>
      <c r="AA896" s="26">
        <f t="shared" si="151"/>
        <v>0</v>
      </c>
      <c r="AC896" s="12">
        <v>21</v>
      </c>
      <c r="AD896" s="12">
        <f t="shared" si="152"/>
        <v>0</v>
      </c>
      <c r="AE896" s="12">
        <f t="shared" si="153"/>
        <v>0</v>
      </c>
      <c r="AL896" s="12">
        <f t="shared" si="154"/>
        <v>0</v>
      </c>
      <c r="AM896" s="12">
        <f t="shared" si="155"/>
        <v>0</v>
      </c>
      <c r="AN896" s="38" t="s">
        <v>2017</v>
      </c>
      <c r="AO896" s="38" t="s">
        <v>2033</v>
      </c>
      <c r="AP896" s="32" t="s">
        <v>2047</v>
      </c>
    </row>
    <row r="897" spans="1:42" ht="12.75">
      <c r="A897" s="50" t="s">
        <v>631</v>
      </c>
      <c r="B897" s="17" t="s">
        <v>1168</v>
      </c>
      <c r="C897" s="17" t="s">
        <v>1905</v>
      </c>
      <c r="D897" s="17" t="s">
        <v>1951</v>
      </c>
      <c r="E897" s="26">
        <v>1</v>
      </c>
      <c r="F897" s="26">
        <v>0</v>
      </c>
      <c r="G897" s="26">
        <f t="shared" si="144"/>
        <v>0</v>
      </c>
      <c r="H897" s="26">
        <f t="shared" si="145"/>
        <v>0</v>
      </c>
      <c r="I897" s="26">
        <f t="shared" si="146"/>
        <v>0</v>
      </c>
      <c r="J897" s="72">
        <v>0</v>
      </c>
      <c r="K897" s="72">
        <f t="shared" si="147"/>
        <v>0</v>
      </c>
      <c r="L897" s="35" t="s">
        <v>1961</v>
      </c>
      <c r="M897" s="35" t="s">
        <v>122</v>
      </c>
      <c r="N897" s="26">
        <f t="shared" si="148"/>
        <v>0</v>
      </c>
      <c r="Y897" s="26">
        <f t="shared" si="149"/>
        <v>0</v>
      </c>
      <c r="Z897" s="26">
        <f t="shared" si="150"/>
        <v>0</v>
      </c>
      <c r="AA897" s="26">
        <f t="shared" si="151"/>
        <v>0</v>
      </c>
      <c r="AC897" s="12">
        <v>21</v>
      </c>
      <c r="AD897" s="12">
        <f t="shared" si="152"/>
        <v>0</v>
      </c>
      <c r="AE897" s="12">
        <f t="shared" si="153"/>
        <v>0</v>
      </c>
      <c r="AL897" s="12">
        <f t="shared" si="154"/>
        <v>0</v>
      </c>
      <c r="AM897" s="12">
        <f t="shared" si="155"/>
        <v>0</v>
      </c>
      <c r="AN897" s="38" t="s">
        <v>2017</v>
      </c>
      <c r="AO897" s="38" t="s">
        <v>2033</v>
      </c>
      <c r="AP897" s="32" t="s">
        <v>2047</v>
      </c>
    </row>
    <row r="898" spans="1:42" ht="12.75">
      <c r="A898" s="50" t="s">
        <v>632</v>
      </c>
      <c r="B898" s="17" t="s">
        <v>1169</v>
      </c>
      <c r="C898" s="17" t="s">
        <v>1906</v>
      </c>
      <c r="D898" s="17" t="s">
        <v>1951</v>
      </c>
      <c r="E898" s="26">
        <v>5</v>
      </c>
      <c r="F898" s="26">
        <v>0</v>
      </c>
      <c r="G898" s="26">
        <f t="shared" si="144"/>
        <v>0</v>
      </c>
      <c r="H898" s="26">
        <f t="shared" si="145"/>
        <v>0</v>
      </c>
      <c r="I898" s="26">
        <f t="shared" si="146"/>
        <v>0</v>
      </c>
      <c r="J898" s="72">
        <v>0</v>
      </c>
      <c r="K898" s="72">
        <f t="shared" si="147"/>
        <v>0</v>
      </c>
      <c r="L898" s="35" t="s">
        <v>1961</v>
      </c>
      <c r="M898" s="35" t="s">
        <v>122</v>
      </c>
      <c r="N898" s="26">
        <f t="shared" si="148"/>
        <v>0</v>
      </c>
      <c r="Y898" s="26">
        <f t="shared" si="149"/>
        <v>0</v>
      </c>
      <c r="Z898" s="26">
        <f t="shared" si="150"/>
        <v>0</v>
      </c>
      <c r="AA898" s="26">
        <f t="shared" si="151"/>
        <v>0</v>
      </c>
      <c r="AC898" s="12">
        <v>21</v>
      </c>
      <c r="AD898" s="12">
        <f t="shared" si="152"/>
        <v>0</v>
      </c>
      <c r="AE898" s="12">
        <f t="shared" si="153"/>
        <v>0</v>
      </c>
      <c r="AL898" s="12">
        <f t="shared" si="154"/>
        <v>0</v>
      </c>
      <c r="AM898" s="12">
        <f t="shared" si="155"/>
        <v>0</v>
      </c>
      <c r="AN898" s="38" t="s">
        <v>2017</v>
      </c>
      <c r="AO898" s="38" t="s">
        <v>2033</v>
      </c>
      <c r="AP898" s="32" t="s">
        <v>2047</v>
      </c>
    </row>
    <row r="899" spans="1:42" ht="12.75">
      <c r="A899" s="50" t="s">
        <v>633</v>
      </c>
      <c r="B899" s="17" t="s">
        <v>1170</v>
      </c>
      <c r="C899" s="17" t="s">
        <v>1907</v>
      </c>
      <c r="D899" s="17" t="s">
        <v>1951</v>
      </c>
      <c r="E899" s="26">
        <v>22</v>
      </c>
      <c r="F899" s="26">
        <v>0</v>
      </c>
      <c r="G899" s="26">
        <f t="shared" si="144"/>
        <v>0</v>
      </c>
      <c r="H899" s="26">
        <f t="shared" si="145"/>
        <v>0</v>
      </c>
      <c r="I899" s="26">
        <f t="shared" si="146"/>
        <v>0</v>
      </c>
      <c r="J899" s="72">
        <v>0</v>
      </c>
      <c r="K899" s="72">
        <f t="shared" si="147"/>
        <v>0</v>
      </c>
      <c r="L899" s="35" t="s">
        <v>1961</v>
      </c>
      <c r="M899" s="35" t="s">
        <v>122</v>
      </c>
      <c r="N899" s="26">
        <f t="shared" si="148"/>
        <v>0</v>
      </c>
      <c r="Y899" s="26">
        <f t="shared" si="149"/>
        <v>0</v>
      </c>
      <c r="Z899" s="26">
        <f t="shared" si="150"/>
        <v>0</v>
      </c>
      <c r="AA899" s="26">
        <f t="shared" si="151"/>
        <v>0</v>
      </c>
      <c r="AC899" s="12">
        <v>21</v>
      </c>
      <c r="AD899" s="12">
        <f t="shared" si="152"/>
        <v>0</v>
      </c>
      <c r="AE899" s="12">
        <f t="shared" si="153"/>
        <v>0</v>
      </c>
      <c r="AL899" s="12">
        <f t="shared" si="154"/>
        <v>0</v>
      </c>
      <c r="AM899" s="12">
        <f t="shared" si="155"/>
        <v>0</v>
      </c>
      <c r="AN899" s="38" t="s">
        <v>2017</v>
      </c>
      <c r="AO899" s="38" t="s">
        <v>2033</v>
      </c>
      <c r="AP899" s="32" t="s">
        <v>2047</v>
      </c>
    </row>
    <row r="900" spans="1:42" ht="12.75">
      <c r="A900" s="50" t="s">
        <v>634</v>
      </c>
      <c r="B900" s="17" t="s">
        <v>1171</v>
      </c>
      <c r="C900" s="17" t="s">
        <v>1908</v>
      </c>
      <c r="D900" s="17" t="s">
        <v>1951</v>
      </c>
      <c r="E900" s="26">
        <v>30</v>
      </c>
      <c r="F900" s="26">
        <v>0</v>
      </c>
      <c r="G900" s="26">
        <f t="shared" si="144"/>
        <v>0</v>
      </c>
      <c r="H900" s="26">
        <f t="shared" si="145"/>
        <v>0</v>
      </c>
      <c r="I900" s="26">
        <f t="shared" si="146"/>
        <v>0</v>
      </c>
      <c r="J900" s="72">
        <v>0</v>
      </c>
      <c r="K900" s="72">
        <f t="shared" si="147"/>
        <v>0</v>
      </c>
      <c r="L900" s="35" t="s">
        <v>1961</v>
      </c>
      <c r="M900" s="35" t="s">
        <v>122</v>
      </c>
      <c r="N900" s="26">
        <f t="shared" si="148"/>
        <v>0</v>
      </c>
      <c r="Y900" s="26">
        <f t="shared" si="149"/>
        <v>0</v>
      </c>
      <c r="Z900" s="26">
        <f t="shared" si="150"/>
        <v>0</v>
      </c>
      <c r="AA900" s="26">
        <f t="shared" si="151"/>
        <v>0</v>
      </c>
      <c r="AC900" s="12">
        <v>21</v>
      </c>
      <c r="AD900" s="12">
        <f t="shared" si="152"/>
        <v>0</v>
      </c>
      <c r="AE900" s="12">
        <f t="shared" si="153"/>
        <v>0</v>
      </c>
      <c r="AL900" s="12">
        <f t="shared" si="154"/>
        <v>0</v>
      </c>
      <c r="AM900" s="12">
        <f t="shared" si="155"/>
        <v>0</v>
      </c>
      <c r="AN900" s="38" t="s">
        <v>2017</v>
      </c>
      <c r="AO900" s="38" t="s">
        <v>2033</v>
      </c>
      <c r="AP900" s="32" t="s">
        <v>2047</v>
      </c>
    </row>
    <row r="901" spans="1:42" ht="12.75">
      <c r="A901" s="50" t="s">
        <v>635</v>
      </c>
      <c r="B901" s="17" t="s">
        <v>1172</v>
      </c>
      <c r="C901" s="17" t="s">
        <v>1909</v>
      </c>
      <c r="D901" s="17" t="s">
        <v>1951</v>
      </c>
      <c r="E901" s="26">
        <v>10</v>
      </c>
      <c r="F901" s="26">
        <v>0</v>
      </c>
      <c r="G901" s="26">
        <f t="shared" si="144"/>
        <v>0</v>
      </c>
      <c r="H901" s="26">
        <f t="shared" si="145"/>
        <v>0</v>
      </c>
      <c r="I901" s="26">
        <f t="shared" si="146"/>
        <v>0</v>
      </c>
      <c r="J901" s="72">
        <v>0</v>
      </c>
      <c r="K901" s="72">
        <f t="shared" si="147"/>
        <v>0</v>
      </c>
      <c r="L901" s="35" t="s">
        <v>1961</v>
      </c>
      <c r="M901" s="35" t="s">
        <v>122</v>
      </c>
      <c r="N901" s="26">
        <f t="shared" si="148"/>
        <v>0</v>
      </c>
      <c r="Y901" s="26">
        <f t="shared" si="149"/>
        <v>0</v>
      </c>
      <c r="Z901" s="26">
        <f t="shared" si="150"/>
        <v>0</v>
      </c>
      <c r="AA901" s="26">
        <f t="shared" si="151"/>
        <v>0</v>
      </c>
      <c r="AC901" s="12">
        <v>21</v>
      </c>
      <c r="AD901" s="12">
        <f t="shared" si="152"/>
        <v>0</v>
      </c>
      <c r="AE901" s="12">
        <f t="shared" si="153"/>
        <v>0</v>
      </c>
      <c r="AL901" s="12">
        <f t="shared" si="154"/>
        <v>0</v>
      </c>
      <c r="AM901" s="12">
        <f t="shared" si="155"/>
        <v>0</v>
      </c>
      <c r="AN901" s="38" t="s">
        <v>2017</v>
      </c>
      <c r="AO901" s="38" t="s">
        <v>2033</v>
      </c>
      <c r="AP901" s="32" t="s">
        <v>2047</v>
      </c>
    </row>
    <row r="902" spans="1:42" ht="12.75">
      <c r="A902" s="50" t="s">
        <v>636</v>
      </c>
      <c r="B902" s="17" t="s">
        <v>1173</v>
      </c>
      <c r="C902" s="17" t="s">
        <v>1910</v>
      </c>
      <c r="D902" s="17" t="s">
        <v>1951</v>
      </c>
      <c r="E902" s="26">
        <v>10</v>
      </c>
      <c r="F902" s="26">
        <v>0</v>
      </c>
      <c r="G902" s="26">
        <f t="shared" si="144"/>
        <v>0</v>
      </c>
      <c r="H902" s="26">
        <f t="shared" si="145"/>
        <v>0</v>
      </c>
      <c r="I902" s="26">
        <f t="shared" si="146"/>
        <v>0</v>
      </c>
      <c r="J902" s="72">
        <v>0</v>
      </c>
      <c r="K902" s="72">
        <f t="shared" si="147"/>
        <v>0</v>
      </c>
      <c r="L902" s="35" t="s">
        <v>1961</v>
      </c>
      <c r="M902" s="35" t="s">
        <v>122</v>
      </c>
      <c r="N902" s="26">
        <f t="shared" si="148"/>
        <v>0</v>
      </c>
      <c r="Y902" s="26">
        <f t="shared" si="149"/>
        <v>0</v>
      </c>
      <c r="Z902" s="26">
        <f t="shared" si="150"/>
        <v>0</v>
      </c>
      <c r="AA902" s="26">
        <f t="shared" si="151"/>
        <v>0</v>
      </c>
      <c r="AC902" s="12">
        <v>21</v>
      </c>
      <c r="AD902" s="12">
        <f t="shared" si="152"/>
        <v>0</v>
      </c>
      <c r="AE902" s="12">
        <f t="shared" si="153"/>
        <v>0</v>
      </c>
      <c r="AL902" s="12">
        <f t="shared" si="154"/>
        <v>0</v>
      </c>
      <c r="AM902" s="12">
        <f t="shared" si="155"/>
        <v>0</v>
      </c>
      <c r="AN902" s="38" t="s">
        <v>2017</v>
      </c>
      <c r="AO902" s="38" t="s">
        <v>2033</v>
      </c>
      <c r="AP902" s="32" t="s">
        <v>2047</v>
      </c>
    </row>
    <row r="903" spans="1:42" ht="12.75">
      <c r="A903" s="50" t="s">
        <v>637</v>
      </c>
      <c r="B903" s="17" t="s">
        <v>1174</v>
      </c>
      <c r="C903" s="17" t="s">
        <v>1911</v>
      </c>
      <c r="D903" s="17" t="s">
        <v>1951</v>
      </c>
      <c r="E903" s="26">
        <v>5</v>
      </c>
      <c r="F903" s="26">
        <v>0</v>
      </c>
      <c r="G903" s="26">
        <f t="shared" si="144"/>
        <v>0</v>
      </c>
      <c r="H903" s="26">
        <f t="shared" si="145"/>
        <v>0</v>
      </c>
      <c r="I903" s="26">
        <f t="shared" si="146"/>
        <v>0</v>
      </c>
      <c r="J903" s="72">
        <v>0</v>
      </c>
      <c r="K903" s="72">
        <f t="shared" si="147"/>
        <v>0</v>
      </c>
      <c r="L903" s="35" t="s">
        <v>1961</v>
      </c>
      <c r="M903" s="35" t="s">
        <v>122</v>
      </c>
      <c r="N903" s="26">
        <f t="shared" si="148"/>
        <v>0</v>
      </c>
      <c r="Y903" s="26">
        <f t="shared" si="149"/>
        <v>0</v>
      </c>
      <c r="Z903" s="26">
        <f t="shared" si="150"/>
        <v>0</v>
      </c>
      <c r="AA903" s="26">
        <f t="shared" si="151"/>
        <v>0</v>
      </c>
      <c r="AC903" s="12">
        <v>21</v>
      </c>
      <c r="AD903" s="12">
        <f t="shared" si="152"/>
        <v>0</v>
      </c>
      <c r="AE903" s="12">
        <f t="shared" si="153"/>
        <v>0</v>
      </c>
      <c r="AL903" s="12">
        <f t="shared" si="154"/>
        <v>0</v>
      </c>
      <c r="AM903" s="12">
        <f t="shared" si="155"/>
        <v>0</v>
      </c>
      <c r="AN903" s="38" t="s">
        <v>2017</v>
      </c>
      <c r="AO903" s="38" t="s">
        <v>2033</v>
      </c>
      <c r="AP903" s="32" t="s">
        <v>2047</v>
      </c>
    </row>
    <row r="904" spans="1:36" ht="12.75">
      <c r="A904" s="52"/>
      <c r="B904" s="23" t="s">
        <v>48</v>
      </c>
      <c r="C904" s="121" t="s">
        <v>94</v>
      </c>
      <c r="D904" s="122"/>
      <c r="E904" s="122"/>
      <c r="F904" s="122"/>
      <c r="G904" s="40">
        <f>SUM(G905:G924)</f>
        <v>0</v>
      </c>
      <c r="H904" s="40">
        <f>SUM(H905:H924)</f>
        <v>0</v>
      </c>
      <c r="I904" s="40">
        <f>G904+H904</f>
        <v>0</v>
      </c>
      <c r="J904" s="74"/>
      <c r="K904" s="74">
        <f>SUM(K905:K924)</f>
        <v>0</v>
      </c>
      <c r="L904" s="32"/>
      <c r="O904" s="40">
        <f>IF(P904="PR",I904,SUM(N905:N924))</f>
        <v>0</v>
      </c>
      <c r="P904" s="32" t="s">
        <v>1969</v>
      </c>
      <c r="Q904" s="40">
        <f>IF(P904="HS",G904,0)</f>
        <v>0</v>
      </c>
      <c r="R904" s="40">
        <f>IF(P904="HS",H904-O904,0)</f>
        <v>0</v>
      </c>
      <c r="S904" s="40">
        <f>IF(P904="PS",G904,0)</f>
        <v>0</v>
      </c>
      <c r="T904" s="40">
        <f>IF(P904="PS",H904-O904,0)</f>
        <v>0</v>
      </c>
      <c r="U904" s="40">
        <f>IF(P904="MP",G904,0)</f>
        <v>0</v>
      </c>
      <c r="V904" s="40">
        <f>IF(P904="MP",H904-O904,0)</f>
        <v>0</v>
      </c>
      <c r="W904" s="40">
        <f>IF(P904="OM",G904,0)</f>
        <v>0</v>
      </c>
      <c r="X904" s="32"/>
      <c r="AH904" s="40">
        <f>SUM(Y905:Y924)</f>
        <v>0</v>
      </c>
      <c r="AI904" s="40">
        <f>SUM(Z905:Z924)</f>
        <v>0</v>
      </c>
      <c r="AJ904" s="40">
        <f>SUM(AA905:AA924)</f>
        <v>0</v>
      </c>
    </row>
    <row r="905" spans="1:42" s="60" customFormat="1" ht="26.25">
      <c r="A905" s="56" t="s">
        <v>638</v>
      </c>
      <c r="B905" s="57" t="s">
        <v>1175</v>
      </c>
      <c r="C905" s="57" t="s">
        <v>1912</v>
      </c>
      <c r="D905" s="57" t="s">
        <v>1953</v>
      </c>
      <c r="E905" s="58">
        <v>1</v>
      </c>
      <c r="F905" s="58">
        <v>0</v>
      </c>
      <c r="G905" s="58">
        <f>E905*AD905</f>
        <v>0</v>
      </c>
      <c r="H905" s="58">
        <f>I905-G905</f>
        <v>0</v>
      </c>
      <c r="I905" s="58">
        <f>E905*F905</f>
        <v>0</v>
      </c>
      <c r="J905" s="77">
        <v>0</v>
      </c>
      <c r="K905" s="77">
        <f>E905*J905</f>
        <v>0</v>
      </c>
      <c r="L905" s="59" t="s">
        <v>1961</v>
      </c>
      <c r="M905" s="59" t="s">
        <v>123</v>
      </c>
      <c r="N905" s="58">
        <f>IF(M905="5",H905,0)</f>
        <v>0</v>
      </c>
      <c r="Y905" s="58">
        <f>IF(AC905=0,I905,0)</f>
        <v>0</v>
      </c>
      <c r="Z905" s="58">
        <f>IF(AC905=15,I905,0)</f>
        <v>0</v>
      </c>
      <c r="AA905" s="58">
        <f>IF(AC905=21,I905,0)</f>
        <v>0</v>
      </c>
      <c r="AC905" s="61">
        <v>21</v>
      </c>
      <c r="AD905" s="61">
        <f>F905*0</f>
        <v>0</v>
      </c>
      <c r="AE905" s="61">
        <f>F905*(1-0)</f>
        <v>0</v>
      </c>
      <c r="AL905" s="61">
        <f>E905*AD905</f>
        <v>0</v>
      </c>
      <c r="AM905" s="61">
        <f>E905*AE905</f>
        <v>0</v>
      </c>
      <c r="AN905" s="62" t="s">
        <v>2018</v>
      </c>
      <c r="AO905" s="62" t="s">
        <v>2028</v>
      </c>
      <c r="AP905" s="63" t="s">
        <v>2054</v>
      </c>
    </row>
    <row r="906" spans="1:42" s="60" customFormat="1" ht="14.25">
      <c r="A906" s="56"/>
      <c r="B906" s="57"/>
      <c r="C906" s="83" t="s">
        <v>2079</v>
      </c>
      <c r="D906" s="57"/>
      <c r="E906" s="58"/>
      <c r="F906" s="58"/>
      <c r="G906" s="58"/>
      <c r="H906" s="58"/>
      <c r="I906" s="58"/>
      <c r="J906" s="77"/>
      <c r="K906" s="77"/>
      <c r="L906" s="59"/>
      <c r="M906" s="59"/>
      <c r="N906" s="58"/>
      <c r="Y906" s="58"/>
      <c r="Z906" s="58"/>
      <c r="AA906" s="58"/>
      <c r="AC906" s="61"/>
      <c r="AD906" s="61"/>
      <c r="AE906" s="61"/>
      <c r="AL906" s="61"/>
      <c r="AM906" s="61"/>
      <c r="AN906" s="62"/>
      <c r="AO906" s="62"/>
      <c r="AP906" s="63"/>
    </row>
    <row r="907" spans="1:42" s="60" customFormat="1" ht="14.25">
      <c r="A907" s="56"/>
      <c r="B907" s="57"/>
      <c r="C907" s="83" t="s">
        <v>2080</v>
      </c>
      <c r="D907" s="57"/>
      <c r="E907" s="58"/>
      <c r="F907" s="58"/>
      <c r="G907" s="58"/>
      <c r="H907" s="58"/>
      <c r="I907" s="58"/>
      <c r="J907" s="77"/>
      <c r="K907" s="77"/>
      <c r="L907" s="59"/>
      <c r="M907" s="59"/>
      <c r="N907" s="58"/>
      <c r="Y907" s="58"/>
      <c r="Z907" s="58"/>
      <c r="AA907" s="58"/>
      <c r="AC907" s="61"/>
      <c r="AD907" s="61"/>
      <c r="AE907" s="61"/>
      <c r="AL907" s="61"/>
      <c r="AM907" s="61"/>
      <c r="AN907" s="62"/>
      <c r="AO907" s="62"/>
      <c r="AP907" s="63"/>
    </row>
    <row r="908" spans="1:42" s="60" customFormat="1" ht="14.25">
      <c r="A908" s="56"/>
      <c r="B908" s="57"/>
      <c r="C908" s="83" t="s">
        <v>2086</v>
      </c>
      <c r="D908" s="57"/>
      <c r="E908" s="58"/>
      <c r="F908" s="58"/>
      <c r="G908" s="58"/>
      <c r="H908" s="58"/>
      <c r="I908" s="58"/>
      <c r="J908" s="77"/>
      <c r="K908" s="77"/>
      <c r="L908" s="59"/>
      <c r="M908" s="59"/>
      <c r="N908" s="58"/>
      <c r="Y908" s="58"/>
      <c r="Z908" s="58"/>
      <c r="AA908" s="58"/>
      <c r="AC908" s="61"/>
      <c r="AD908" s="61"/>
      <c r="AE908" s="61"/>
      <c r="AL908" s="61"/>
      <c r="AM908" s="61"/>
      <c r="AN908" s="62"/>
      <c r="AO908" s="62"/>
      <c r="AP908" s="63"/>
    </row>
    <row r="909" spans="1:42" s="86" customFormat="1" ht="27" customHeight="1">
      <c r="A909" s="57"/>
      <c r="B909" s="57"/>
      <c r="C909" s="90" t="s">
        <v>2081</v>
      </c>
      <c r="D909" s="57"/>
      <c r="E909" s="84"/>
      <c r="F909" s="84"/>
      <c r="G909" s="84"/>
      <c r="H909" s="84"/>
      <c r="I909" s="84"/>
      <c r="J909" s="85"/>
      <c r="K909" s="85"/>
      <c r="L909" s="57"/>
      <c r="M909" s="57"/>
      <c r="N909" s="84"/>
      <c r="Y909" s="84"/>
      <c r="Z909" s="84"/>
      <c r="AA909" s="84"/>
      <c r="AC909" s="87"/>
      <c r="AD909" s="87"/>
      <c r="AE909" s="87"/>
      <c r="AL909" s="87"/>
      <c r="AM909" s="87"/>
      <c r="AN909" s="88"/>
      <c r="AO909" s="88"/>
      <c r="AP909" s="89"/>
    </row>
    <row r="910" spans="1:42" s="86" customFormat="1" ht="15.75" customHeight="1">
      <c r="A910" s="57"/>
      <c r="B910" s="57"/>
      <c r="C910" s="91" t="s">
        <v>2092</v>
      </c>
      <c r="D910" s="57"/>
      <c r="E910" s="84"/>
      <c r="F910" s="84"/>
      <c r="G910" s="84"/>
      <c r="H910" s="84"/>
      <c r="I910" s="84"/>
      <c r="J910" s="85"/>
      <c r="K910" s="85"/>
      <c r="L910" s="57"/>
      <c r="M910" s="57"/>
      <c r="N910" s="84"/>
      <c r="Y910" s="84"/>
      <c r="Z910" s="84"/>
      <c r="AA910" s="84"/>
      <c r="AC910" s="87"/>
      <c r="AD910" s="87"/>
      <c r="AE910" s="87"/>
      <c r="AL910" s="87"/>
      <c r="AM910" s="87"/>
      <c r="AN910" s="88"/>
      <c r="AO910" s="88"/>
      <c r="AP910" s="89"/>
    </row>
    <row r="911" ht="26.25">
      <c r="C911" s="24" t="s">
        <v>1913</v>
      </c>
    </row>
    <row r="912" spans="1:42" s="60" customFormat="1" ht="26.25">
      <c r="A912" s="56" t="s">
        <v>639</v>
      </c>
      <c r="B912" s="57" t="s">
        <v>1176</v>
      </c>
      <c r="C912" s="57" t="s">
        <v>1914</v>
      </c>
      <c r="D912" s="57" t="s">
        <v>1953</v>
      </c>
      <c r="E912" s="58">
        <v>1</v>
      </c>
      <c r="F912" s="58">
        <v>0</v>
      </c>
      <c r="G912" s="58">
        <f>E912*AD912</f>
        <v>0</v>
      </c>
      <c r="H912" s="58">
        <f>I912-G912</f>
        <v>0</v>
      </c>
      <c r="I912" s="58">
        <f>E912*F912</f>
        <v>0</v>
      </c>
      <c r="J912" s="77">
        <v>0</v>
      </c>
      <c r="K912" s="77">
        <f>E912*J912</f>
        <v>0</v>
      </c>
      <c r="L912" s="59" t="s">
        <v>1961</v>
      </c>
      <c r="M912" s="59" t="s">
        <v>123</v>
      </c>
      <c r="N912" s="58">
        <f>IF(M912="5",H912,0)</f>
        <v>0</v>
      </c>
      <c r="Y912" s="58">
        <f>IF(AC912=0,I912,0)</f>
        <v>0</v>
      </c>
      <c r="Z912" s="58">
        <f>IF(AC912=15,I912,0)</f>
        <v>0</v>
      </c>
      <c r="AA912" s="58">
        <f>IF(AC912=21,I912,0)</f>
        <v>0</v>
      </c>
      <c r="AC912" s="61">
        <v>21</v>
      </c>
      <c r="AD912" s="61">
        <f>F912*0</f>
        <v>0</v>
      </c>
      <c r="AE912" s="61">
        <f>F912*(1-0)</f>
        <v>0</v>
      </c>
      <c r="AL912" s="61">
        <f>E912*AD912</f>
        <v>0</v>
      </c>
      <c r="AM912" s="61">
        <f>E912*AE912</f>
        <v>0</v>
      </c>
      <c r="AN912" s="62" t="s">
        <v>2018</v>
      </c>
      <c r="AO912" s="62" t="s">
        <v>2028</v>
      </c>
      <c r="AP912" s="63" t="s">
        <v>2054</v>
      </c>
    </row>
    <row r="913" spans="1:42" s="60" customFormat="1" ht="28.5">
      <c r="A913" s="56"/>
      <c r="B913" s="57"/>
      <c r="C913" s="90" t="s">
        <v>2082</v>
      </c>
      <c r="D913" s="57"/>
      <c r="E913" s="58"/>
      <c r="F913" s="58"/>
      <c r="G913" s="58"/>
      <c r="H913" s="58"/>
      <c r="I913" s="58"/>
      <c r="J913" s="77"/>
      <c r="K913" s="77"/>
      <c r="L913" s="59"/>
      <c r="M913" s="59"/>
      <c r="N913" s="58"/>
      <c r="Y913" s="58"/>
      <c r="Z913" s="58"/>
      <c r="AA913" s="58"/>
      <c r="AC913" s="61"/>
      <c r="AD913" s="61"/>
      <c r="AE913" s="61"/>
      <c r="AL913" s="61"/>
      <c r="AM913" s="61"/>
      <c r="AN913" s="62"/>
      <c r="AO913" s="62"/>
      <c r="AP913" s="63"/>
    </row>
    <row r="914" ht="26.25">
      <c r="C914" s="24" t="s">
        <v>1913</v>
      </c>
    </row>
    <row r="915" spans="1:42" s="60" customFormat="1" ht="26.25">
      <c r="A915" s="56" t="s">
        <v>640</v>
      </c>
      <c r="B915" s="57" t="s">
        <v>1177</v>
      </c>
      <c r="C915" s="57" t="s">
        <v>1915</v>
      </c>
      <c r="D915" s="57" t="s">
        <v>1953</v>
      </c>
      <c r="E915" s="58">
        <v>1</v>
      </c>
      <c r="F915" s="58">
        <v>0</v>
      </c>
      <c r="G915" s="58">
        <f>E915*AD915</f>
        <v>0</v>
      </c>
      <c r="H915" s="58">
        <f>I915-G915</f>
        <v>0</v>
      </c>
      <c r="I915" s="58">
        <f>E915*F915</f>
        <v>0</v>
      </c>
      <c r="J915" s="77">
        <v>0</v>
      </c>
      <c r="K915" s="77">
        <f>E915*J915</f>
        <v>0</v>
      </c>
      <c r="L915" s="59" t="s">
        <v>1961</v>
      </c>
      <c r="M915" s="59" t="s">
        <v>123</v>
      </c>
      <c r="N915" s="58">
        <f>IF(M915="5",H915,0)</f>
        <v>0</v>
      </c>
      <c r="Y915" s="58">
        <f>IF(AC915=0,I915,0)</f>
        <v>0</v>
      </c>
      <c r="Z915" s="58">
        <f>IF(AC915=15,I915,0)</f>
        <v>0</v>
      </c>
      <c r="AA915" s="58">
        <f>IF(AC915=21,I915,0)</f>
        <v>0</v>
      </c>
      <c r="AC915" s="61">
        <v>21</v>
      </c>
      <c r="AD915" s="61">
        <f>F915*0</f>
        <v>0</v>
      </c>
      <c r="AE915" s="61">
        <f>F915*(1-0)</f>
        <v>0</v>
      </c>
      <c r="AL915" s="61">
        <f>E915*AD915</f>
        <v>0</v>
      </c>
      <c r="AM915" s="61">
        <f>E915*AE915</f>
        <v>0</v>
      </c>
      <c r="AN915" s="62" t="s">
        <v>2018</v>
      </c>
      <c r="AO915" s="62" t="s">
        <v>2028</v>
      </c>
      <c r="AP915" s="63" t="s">
        <v>2054</v>
      </c>
    </row>
    <row r="916" spans="1:42" s="60" customFormat="1" ht="14.25">
      <c r="A916" s="56"/>
      <c r="B916" s="57"/>
      <c r="C916" s="83" t="s">
        <v>2083</v>
      </c>
      <c r="D916" s="57"/>
      <c r="E916" s="58"/>
      <c r="F916" s="58"/>
      <c r="G916" s="58"/>
      <c r="H916" s="58"/>
      <c r="I916" s="58"/>
      <c r="J916" s="77"/>
      <c r="K916" s="77"/>
      <c r="L916" s="59"/>
      <c r="M916" s="59"/>
      <c r="N916" s="58"/>
      <c r="Y916" s="58"/>
      <c r="Z916" s="58"/>
      <c r="AA916" s="58"/>
      <c r="AC916" s="61"/>
      <c r="AD916" s="61"/>
      <c r="AE916" s="61"/>
      <c r="AL916" s="61"/>
      <c r="AM916" s="61"/>
      <c r="AN916" s="62"/>
      <c r="AO916" s="62"/>
      <c r="AP916" s="63"/>
    </row>
    <row r="917" spans="1:42" s="60" customFormat="1" ht="28.5">
      <c r="A917" s="56"/>
      <c r="B917" s="57"/>
      <c r="C917" s="90" t="s">
        <v>2084</v>
      </c>
      <c r="D917" s="57"/>
      <c r="E917" s="58"/>
      <c r="F917" s="58"/>
      <c r="G917" s="58"/>
      <c r="H917" s="58"/>
      <c r="I917" s="58"/>
      <c r="J917" s="77"/>
      <c r="K917" s="77"/>
      <c r="L917" s="59"/>
      <c r="M917" s="59"/>
      <c r="N917" s="58"/>
      <c r="Y917" s="58"/>
      <c r="Z917" s="58"/>
      <c r="AA917" s="58"/>
      <c r="AC917" s="61"/>
      <c r="AD917" s="61"/>
      <c r="AE917" s="61"/>
      <c r="AL917" s="61"/>
      <c r="AM917" s="61"/>
      <c r="AN917" s="62"/>
      <c r="AO917" s="62"/>
      <c r="AP917" s="63"/>
    </row>
    <row r="918" spans="1:42" s="60" customFormat="1" ht="14.25">
      <c r="A918" s="56"/>
      <c r="B918" s="57"/>
      <c r="C918" s="83" t="s">
        <v>2085</v>
      </c>
      <c r="D918" s="57"/>
      <c r="E918" s="58"/>
      <c r="F918" s="58"/>
      <c r="G918" s="58"/>
      <c r="H918" s="58"/>
      <c r="I918" s="58"/>
      <c r="J918" s="77"/>
      <c r="K918" s="77"/>
      <c r="L918" s="59"/>
      <c r="M918" s="59"/>
      <c r="N918" s="58"/>
      <c r="Y918" s="58"/>
      <c r="Z918" s="58"/>
      <c r="AA918" s="58"/>
      <c r="AC918" s="61"/>
      <c r="AD918" s="61"/>
      <c r="AE918" s="61"/>
      <c r="AL918" s="61"/>
      <c r="AM918" s="61"/>
      <c r="AN918" s="62"/>
      <c r="AO918" s="62"/>
      <c r="AP918" s="63"/>
    </row>
    <row r="919" ht="26.25">
      <c r="C919" s="24" t="s">
        <v>1913</v>
      </c>
    </row>
    <row r="920" spans="1:42" s="60" customFormat="1" ht="26.25">
      <c r="A920" s="56" t="s">
        <v>641</v>
      </c>
      <c r="B920" s="57" t="s">
        <v>1178</v>
      </c>
      <c r="C920" s="57" t="s">
        <v>1916</v>
      </c>
      <c r="D920" s="57" t="s">
        <v>1953</v>
      </c>
      <c r="E920" s="58">
        <v>1</v>
      </c>
      <c r="F920" s="58">
        <v>0</v>
      </c>
      <c r="G920" s="58">
        <f>E920*AD920</f>
        <v>0</v>
      </c>
      <c r="H920" s="58">
        <f>I920-G920</f>
        <v>0</v>
      </c>
      <c r="I920" s="58">
        <f>E920*F920</f>
        <v>0</v>
      </c>
      <c r="J920" s="77">
        <v>0</v>
      </c>
      <c r="K920" s="77">
        <f>E920*J920</f>
        <v>0</v>
      </c>
      <c r="L920" s="59" t="s">
        <v>1961</v>
      </c>
      <c r="M920" s="59" t="s">
        <v>123</v>
      </c>
      <c r="N920" s="58">
        <f>IF(M920="5",H920,0)</f>
        <v>0</v>
      </c>
      <c r="Y920" s="58">
        <f>IF(AC920=0,I920,0)</f>
        <v>0</v>
      </c>
      <c r="Z920" s="58">
        <f>IF(AC920=15,I920,0)</f>
        <v>0</v>
      </c>
      <c r="AA920" s="58">
        <f>IF(AC920=21,I920,0)</f>
        <v>0</v>
      </c>
      <c r="AC920" s="61">
        <v>21</v>
      </c>
      <c r="AD920" s="61">
        <f>F920*0</f>
        <v>0</v>
      </c>
      <c r="AE920" s="61">
        <f>F920*(1-0)</f>
        <v>0</v>
      </c>
      <c r="AL920" s="61">
        <f>E920*AD920</f>
        <v>0</v>
      </c>
      <c r="AM920" s="61">
        <f>E920*AE920</f>
        <v>0</v>
      </c>
      <c r="AN920" s="62" t="s">
        <v>2018</v>
      </c>
      <c r="AO920" s="62" t="s">
        <v>2028</v>
      </c>
      <c r="AP920" s="63" t="s">
        <v>2054</v>
      </c>
    </row>
    <row r="921" spans="1:42" s="60" customFormat="1" ht="14.25">
      <c r="A921" s="56"/>
      <c r="B921" s="57"/>
      <c r="C921" s="83" t="s">
        <v>2087</v>
      </c>
      <c r="D921" s="57"/>
      <c r="E921" s="58"/>
      <c r="F921" s="58"/>
      <c r="G921" s="58"/>
      <c r="H921" s="58"/>
      <c r="I921" s="58"/>
      <c r="J921" s="77"/>
      <c r="K921" s="77"/>
      <c r="L921" s="59"/>
      <c r="M921" s="59"/>
      <c r="N921" s="58"/>
      <c r="Y921" s="58"/>
      <c r="Z921" s="58"/>
      <c r="AA921" s="58"/>
      <c r="AC921" s="61"/>
      <c r="AD921" s="61"/>
      <c r="AE921" s="61"/>
      <c r="AL921" s="61"/>
      <c r="AM921" s="61"/>
      <c r="AN921" s="62"/>
      <c r="AO921" s="62"/>
      <c r="AP921" s="63"/>
    </row>
    <row r="922" spans="1:42" s="60" customFormat="1" ht="28.5">
      <c r="A922" s="56"/>
      <c r="B922" s="57"/>
      <c r="C922" s="90" t="s">
        <v>2088</v>
      </c>
      <c r="D922" s="57"/>
      <c r="E922" s="58"/>
      <c r="F922" s="58"/>
      <c r="G922" s="58"/>
      <c r="H922" s="58"/>
      <c r="I922" s="58"/>
      <c r="J922" s="77"/>
      <c r="K922" s="77"/>
      <c r="L922" s="59"/>
      <c r="M922" s="59"/>
      <c r="N922" s="58"/>
      <c r="Y922" s="58"/>
      <c r="Z922" s="58"/>
      <c r="AA922" s="58"/>
      <c r="AC922" s="61"/>
      <c r="AD922" s="61"/>
      <c r="AE922" s="61"/>
      <c r="AL922" s="61"/>
      <c r="AM922" s="61"/>
      <c r="AN922" s="62"/>
      <c r="AO922" s="62"/>
      <c r="AP922" s="63"/>
    </row>
    <row r="923" ht="26.25">
      <c r="C923" s="24" t="s">
        <v>1913</v>
      </c>
    </row>
    <row r="924" spans="1:42" s="60" customFormat="1" ht="26.25">
      <c r="A924" s="56" t="s">
        <v>642</v>
      </c>
      <c r="B924" s="57" t="s">
        <v>1179</v>
      </c>
      <c r="C924" s="57" t="s">
        <v>2071</v>
      </c>
      <c r="D924" s="57" t="s">
        <v>1953</v>
      </c>
      <c r="E924" s="58">
        <v>1</v>
      </c>
      <c r="F924" s="58">
        <v>0</v>
      </c>
      <c r="G924" s="58">
        <f>E924*AD924</f>
        <v>0</v>
      </c>
      <c r="H924" s="58">
        <f>I924-G924</f>
        <v>0</v>
      </c>
      <c r="I924" s="58">
        <f>E924*F924</f>
        <v>0</v>
      </c>
      <c r="J924" s="77">
        <v>0</v>
      </c>
      <c r="K924" s="77">
        <f>E924*J924</f>
        <v>0</v>
      </c>
      <c r="L924" s="59" t="s">
        <v>1961</v>
      </c>
      <c r="M924" s="59" t="s">
        <v>123</v>
      </c>
      <c r="N924" s="58">
        <f>IF(M924="5",H924,0)</f>
        <v>0</v>
      </c>
      <c r="Y924" s="58">
        <f>IF(AC924=0,I924,0)</f>
        <v>0</v>
      </c>
      <c r="Z924" s="58">
        <f>IF(AC924=15,I924,0)</f>
        <v>0</v>
      </c>
      <c r="AA924" s="58">
        <f>IF(AC924=21,I924,0)</f>
        <v>0</v>
      </c>
      <c r="AC924" s="61">
        <v>21</v>
      </c>
      <c r="AD924" s="61">
        <f>F924*0</f>
        <v>0</v>
      </c>
      <c r="AE924" s="61">
        <f>F924*(1-0)</f>
        <v>0</v>
      </c>
      <c r="AL924" s="61">
        <f>E924*AD924</f>
        <v>0</v>
      </c>
      <c r="AM924" s="61">
        <f>E924*AE924</f>
        <v>0</v>
      </c>
      <c r="AN924" s="62" t="s">
        <v>2018</v>
      </c>
      <c r="AO924" s="62" t="s">
        <v>2028</v>
      </c>
      <c r="AP924" s="63" t="s">
        <v>2054</v>
      </c>
    </row>
    <row r="925" spans="1:42" s="60" customFormat="1" ht="14.25">
      <c r="A925" s="56"/>
      <c r="B925" s="57"/>
      <c r="C925" s="83" t="s">
        <v>2089</v>
      </c>
      <c r="D925" s="57"/>
      <c r="E925" s="58"/>
      <c r="F925" s="58"/>
      <c r="G925" s="58"/>
      <c r="H925" s="58"/>
      <c r="I925" s="58"/>
      <c r="J925" s="77"/>
      <c r="K925" s="77"/>
      <c r="L925" s="59"/>
      <c r="M925" s="59"/>
      <c r="N925" s="58"/>
      <c r="Y925" s="58"/>
      <c r="Z925" s="58"/>
      <c r="AA925" s="58"/>
      <c r="AC925" s="61"/>
      <c r="AD925" s="61"/>
      <c r="AE925" s="61"/>
      <c r="AL925" s="61"/>
      <c r="AM925" s="61"/>
      <c r="AN925" s="62"/>
      <c r="AO925" s="62"/>
      <c r="AP925" s="63"/>
    </row>
    <row r="926" spans="1:42" s="60" customFormat="1" ht="14.25">
      <c r="A926" s="56"/>
      <c r="B926" s="57"/>
      <c r="C926" s="83" t="s">
        <v>2090</v>
      </c>
      <c r="D926" s="57"/>
      <c r="E926" s="58"/>
      <c r="F926" s="58"/>
      <c r="G926" s="58"/>
      <c r="H926" s="58"/>
      <c r="I926" s="58"/>
      <c r="J926" s="77"/>
      <c r="K926" s="77"/>
      <c r="L926" s="59"/>
      <c r="M926" s="59"/>
      <c r="N926" s="58"/>
      <c r="Y926" s="58"/>
      <c r="Z926" s="58"/>
      <c r="AA926" s="58"/>
      <c r="AC926" s="61"/>
      <c r="AD926" s="61"/>
      <c r="AE926" s="61"/>
      <c r="AL926" s="61"/>
      <c r="AM926" s="61"/>
      <c r="AN926" s="62"/>
      <c r="AO926" s="62"/>
      <c r="AP926" s="63"/>
    </row>
    <row r="927" spans="1:42" s="60" customFormat="1" ht="14.25">
      <c r="A927" s="56"/>
      <c r="B927" s="57"/>
      <c r="C927" s="83" t="s">
        <v>2091</v>
      </c>
      <c r="D927" s="57"/>
      <c r="E927" s="58"/>
      <c r="F927" s="58"/>
      <c r="G927" s="58"/>
      <c r="H927" s="58"/>
      <c r="I927" s="58"/>
      <c r="J927" s="77"/>
      <c r="K927" s="77"/>
      <c r="L927" s="59"/>
      <c r="M927" s="59"/>
      <c r="N927" s="58"/>
      <c r="Y927" s="58"/>
      <c r="Z927" s="58"/>
      <c r="AA927" s="58"/>
      <c r="AC927" s="61"/>
      <c r="AD927" s="61"/>
      <c r="AE927" s="61"/>
      <c r="AL927" s="61"/>
      <c r="AM927" s="61"/>
      <c r="AN927" s="62"/>
      <c r="AO927" s="62"/>
      <c r="AP927" s="63"/>
    </row>
    <row r="928" spans="1:42" s="60" customFormat="1" ht="28.5">
      <c r="A928" s="56"/>
      <c r="B928" s="57"/>
      <c r="C928" s="90" t="s">
        <v>2093</v>
      </c>
      <c r="D928" s="57"/>
      <c r="E928" s="58"/>
      <c r="F928" s="58"/>
      <c r="G928" s="58"/>
      <c r="H928" s="58"/>
      <c r="I928" s="58"/>
      <c r="J928" s="77"/>
      <c r="K928" s="77"/>
      <c r="L928" s="59"/>
      <c r="M928" s="59"/>
      <c r="N928" s="58"/>
      <c r="Y928" s="58"/>
      <c r="Z928" s="58"/>
      <c r="AA928" s="58"/>
      <c r="AC928" s="61"/>
      <c r="AD928" s="61"/>
      <c r="AE928" s="61"/>
      <c r="AL928" s="61"/>
      <c r="AM928" s="61"/>
      <c r="AN928" s="62"/>
      <c r="AO928" s="62"/>
      <c r="AP928" s="63"/>
    </row>
    <row r="929" ht="26.25">
      <c r="C929" s="24" t="s">
        <v>1913</v>
      </c>
    </row>
    <row r="930" spans="1:36" ht="12.75">
      <c r="A930" s="52"/>
      <c r="B930" s="23" t="s">
        <v>49</v>
      </c>
      <c r="C930" s="121" t="s">
        <v>95</v>
      </c>
      <c r="D930" s="122"/>
      <c r="E930" s="122"/>
      <c r="F930" s="122"/>
      <c r="G930" s="40">
        <f>SUM(G931:G932)</f>
        <v>0</v>
      </c>
      <c r="H930" s="40">
        <f>SUM(H931:H932)</f>
        <v>0</v>
      </c>
      <c r="I930" s="40">
        <f>G930+H930</f>
        <v>0</v>
      </c>
      <c r="J930" s="74"/>
      <c r="K930" s="74">
        <f>SUM(K931:K932)</f>
        <v>3.35</v>
      </c>
      <c r="L930" s="32"/>
      <c r="O930" s="40">
        <f>IF(P930="PR",I930,SUM(N931:N932))</f>
        <v>0</v>
      </c>
      <c r="P930" s="32" t="s">
        <v>1969</v>
      </c>
      <c r="Q930" s="40">
        <f>IF(P930="HS",G930,0)</f>
        <v>0</v>
      </c>
      <c r="R930" s="40">
        <f>IF(P930="HS",H930-O930,0)</f>
        <v>0</v>
      </c>
      <c r="S930" s="40">
        <f>IF(P930="PS",G930,0)</f>
        <v>0</v>
      </c>
      <c r="T930" s="40">
        <f>IF(P930="PS",H930-O930,0)</f>
        <v>0</v>
      </c>
      <c r="U930" s="40">
        <f>IF(P930="MP",G930,0)</f>
        <v>0</v>
      </c>
      <c r="V930" s="40">
        <f>IF(P930="MP",H930-O930,0)</f>
        <v>0</v>
      </c>
      <c r="W930" s="40">
        <f>IF(P930="OM",G930,0)</f>
        <v>0</v>
      </c>
      <c r="X930" s="32"/>
      <c r="AH930" s="40">
        <f>SUM(Y931:Y932)</f>
        <v>0</v>
      </c>
      <c r="AI930" s="40">
        <f>SUM(Z931:Z932)</f>
        <v>0</v>
      </c>
      <c r="AJ930" s="40">
        <f>SUM(AA931:AA932)</f>
        <v>0</v>
      </c>
    </row>
    <row r="931" spans="1:42" ht="12.75">
      <c r="A931" s="50" t="s">
        <v>643</v>
      </c>
      <c r="B931" s="17" t="s">
        <v>1180</v>
      </c>
      <c r="C931" s="17" t="s">
        <v>1917</v>
      </c>
      <c r="D931" s="17" t="s">
        <v>1948</v>
      </c>
      <c r="E931" s="26">
        <v>1</v>
      </c>
      <c r="F931" s="26">
        <v>0</v>
      </c>
      <c r="G931" s="26">
        <f>E931*AD931</f>
        <v>0</v>
      </c>
      <c r="H931" s="26">
        <f>I931-G931</f>
        <v>0</v>
      </c>
      <c r="I931" s="26">
        <f>E931*F931</f>
        <v>0</v>
      </c>
      <c r="J931" s="72">
        <v>0</v>
      </c>
      <c r="K931" s="72">
        <f>E931*J931</f>
        <v>0</v>
      </c>
      <c r="L931" s="35" t="s">
        <v>1961</v>
      </c>
      <c r="M931" s="35" t="s">
        <v>122</v>
      </c>
      <c r="N931" s="26">
        <f>IF(M931="5",H931,0)</f>
        <v>0</v>
      </c>
      <c r="Y931" s="26">
        <f>IF(AC931=0,I931,0)</f>
        <v>0</v>
      </c>
      <c r="Z931" s="26">
        <f>IF(AC931=15,I931,0)</f>
        <v>0</v>
      </c>
      <c r="AA931" s="26">
        <f>IF(AC931=21,I931,0)</f>
        <v>0</v>
      </c>
      <c r="AC931" s="12">
        <v>21</v>
      </c>
      <c r="AD931" s="12">
        <f>F931*0</f>
        <v>0</v>
      </c>
      <c r="AE931" s="12">
        <f>F931*(1-0)</f>
        <v>0</v>
      </c>
      <c r="AL931" s="12">
        <f>E931*AD931</f>
        <v>0</v>
      </c>
      <c r="AM931" s="12">
        <f>E931*AE931</f>
        <v>0</v>
      </c>
      <c r="AN931" s="38" t="s">
        <v>2019</v>
      </c>
      <c r="AO931" s="38" t="s">
        <v>2028</v>
      </c>
      <c r="AP931" s="32" t="s">
        <v>2050</v>
      </c>
    </row>
    <row r="932" spans="1:42" s="60" customFormat="1" ht="26.25">
      <c r="A932" s="56" t="s">
        <v>644</v>
      </c>
      <c r="B932" s="57" t="s">
        <v>1181</v>
      </c>
      <c r="C932" s="57" t="s">
        <v>1918</v>
      </c>
      <c r="D932" s="57" t="s">
        <v>1944</v>
      </c>
      <c r="E932" s="58">
        <v>1</v>
      </c>
      <c r="F932" s="58">
        <v>0</v>
      </c>
      <c r="G932" s="58">
        <f>E932*AD932</f>
        <v>0</v>
      </c>
      <c r="H932" s="58">
        <f>I932-G932</f>
        <v>0</v>
      </c>
      <c r="I932" s="58">
        <f>E932*F932</f>
        <v>0</v>
      </c>
      <c r="J932" s="77">
        <v>3.35</v>
      </c>
      <c r="K932" s="77">
        <f>E932*J932</f>
        <v>3.35</v>
      </c>
      <c r="L932" s="59" t="s">
        <v>1961</v>
      </c>
      <c r="M932" s="59" t="s">
        <v>124</v>
      </c>
      <c r="N932" s="58">
        <f>IF(M932="5",H932,0)</f>
        <v>0</v>
      </c>
      <c r="Y932" s="58">
        <f>IF(AC932=0,I932,0)</f>
        <v>0</v>
      </c>
      <c r="Z932" s="58">
        <f>IF(AC932=15,I932,0)</f>
        <v>0</v>
      </c>
      <c r="AA932" s="58">
        <f>IF(AC932=21,I932,0)</f>
        <v>0</v>
      </c>
      <c r="AC932" s="61">
        <v>21</v>
      </c>
      <c r="AD932" s="61">
        <f>F932*0.894139204525317</f>
        <v>0</v>
      </c>
      <c r="AE932" s="61">
        <f>F932*(1-0.894139204525317)</f>
        <v>0</v>
      </c>
      <c r="AL932" s="61">
        <f>E932*AD932</f>
        <v>0</v>
      </c>
      <c r="AM932" s="61">
        <f>E932*AE932</f>
        <v>0</v>
      </c>
      <c r="AN932" s="62" t="s">
        <v>2019</v>
      </c>
      <c r="AO932" s="62" t="s">
        <v>2028</v>
      </c>
      <c r="AP932" s="63" t="s">
        <v>2050</v>
      </c>
    </row>
    <row r="933" ht="46.5" customHeight="1">
      <c r="C933" s="81" t="s">
        <v>1919</v>
      </c>
    </row>
    <row r="934" spans="1:36" ht="12.75">
      <c r="A934" s="52"/>
      <c r="B934" s="23" t="s">
        <v>50</v>
      </c>
      <c r="C934" s="121" t="s">
        <v>96</v>
      </c>
      <c r="D934" s="122"/>
      <c r="E934" s="122"/>
      <c r="F934" s="122"/>
      <c r="G934" s="40">
        <f>SUM(G935:G949)</f>
        <v>0</v>
      </c>
      <c r="H934" s="40">
        <f>SUM(H935:H949)</f>
        <v>0</v>
      </c>
      <c r="I934" s="40">
        <f>G934+H934</f>
        <v>0</v>
      </c>
      <c r="J934" s="74"/>
      <c r="K934" s="74">
        <f>SUM(K935:K949)</f>
        <v>0.24070000000000003</v>
      </c>
      <c r="L934" s="32"/>
      <c r="O934" s="40">
        <f>IF(P934="PR",I934,SUM(N935:N949))</f>
        <v>0</v>
      </c>
      <c r="P934" s="32" t="s">
        <v>1969</v>
      </c>
      <c r="Q934" s="40">
        <f>IF(P934="HS",G934,0)</f>
        <v>0</v>
      </c>
      <c r="R934" s="40">
        <f>IF(P934="HS",H934-O934,0)</f>
        <v>0</v>
      </c>
      <c r="S934" s="40">
        <f>IF(P934="PS",G934,0)</f>
        <v>0</v>
      </c>
      <c r="T934" s="40">
        <f>IF(P934="PS",H934-O934,0)</f>
        <v>0</v>
      </c>
      <c r="U934" s="40">
        <f>IF(P934="MP",G934,0)</f>
        <v>0</v>
      </c>
      <c r="V934" s="40">
        <f>IF(P934="MP",H934-O934,0)</f>
        <v>0</v>
      </c>
      <c r="W934" s="40">
        <f>IF(P934="OM",G934,0)</f>
        <v>0</v>
      </c>
      <c r="X934" s="32"/>
      <c r="AH934" s="40">
        <f>SUM(Y935:Y949)</f>
        <v>0</v>
      </c>
      <c r="AI934" s="40">
        <f>SUM(Z935:Z949)</f>
        <v>0</v>
      </c>
      <c r="AJ934" s="40">
        <f>SUM(AA935:AA949)</f>
        <v>0</v>
      </c>
    </row>
    <row r="935" spans="1:42" s="60" customFormat="1" ht="26.25">
      <c r="A935" s="64" t="s">
        <v>645</v>
      </c>
      <c r="B935" s="65" t="s">
        <v>1182</v>
      </c>
      <c r="C935" s="65" t="s">
        <v>1920</v>
      </c>
      <c r="D935" s="65" t="s">
        <v>1952</v>
      </c>
      <c r="E935" s="66">
        <v>0.2</v>
      </c>
      <c r="F935" s="66">
        <v>0</v>
      </c>
      <c r="G935" s="66">
        <f>E935*AD935</f>
        <v>0</v>
      </c>
      <c r="H935" s="66">
        <f>I935-G935</f>
        <v>0</v>
      </c>
      <c r="I935" s="66">
        <f>E935*F935</f>
        <v>0</v>
      </c>
      <c r="J935" s="75">
        <v>1</v>
      </c>
      <c r="K935" s="75">
        <f>E935*J935</f>
        <v>0.2</v>
      </c>
      <c r="L935" s="67" t="s">
        <v>1959</v>
      </c>
      <c r="M935" s="67" t="s">
        <v>7</v>
      </c>
      <c r="N935" s="66">
        <f>IF(M935="5",H935,0)</f>
        <v>0</v>
      </c>
      <c r="Y935" s="66">
        <f>IF(AC935=0,I935,0)</f>
        <v>0</v>
      </c>
      <c r="Z935" s="66">
        <f>IF(AC935=15,I935,0)</f>
        <v>0</v>
      </c>
      <c r="AA935" s="66">
        <f>IF(AC935=21,I935,0)</f>
        <v>0</v>
      </c>
      <c r="AC935" s="61">
        <v>21</v>
      </c>
      <c r="AD935" s="61">
        <f>F935*1</f>
        <v>0</v>
      </c>
      <c r="AE935" s="61">
        <f>F935*(1-1)</f>
        <v>0</v>
      </c>
      <c r="AL935" s="61">
        <f>E935*AD935</f>
        <v>0</v>
      </c>
      <c r="AM935" s="61">
        <f>E935*AE935</f>
        <v>0</v>
      </c>
      <c r="AN935" s="62" t="s">
        <v>2020</v>
      </c>
      <c r="AO935" s="62" t="s">
        <v>2028</v>
      </c>
      <c r="AP935" s="63" t="s">
        <v>2055</v>
      </c>
    </row>
    <row r="936" spans="1:42" ht="12.75">
      <c r="A936" s="53" t="s">
        <v>646</v>
      </c>
      <c r="B936" s="18" t="s">
        <v>1183</v>
      </c>
      <c r="C936" s="18" t="s">
        <v>1921</v>
      </c>
      <c r="D936" s="18" t="s">
        <v>1941</v>
      </c>
      <c r="E936" s="27">
        <v>20.35</v>
      </c>
      <c r="F936" s="27">
        <v>0</v>
      </c>
      <c r="G936" s="27">
        <f>E936*AD936</f>
        <v>0</v>
      </c>
      <c r="H936" s="27">
        <f>I936-G936</f>
        <v>0</v>
      </c>
      <c r="I936" s="27">
        <f>E936*F936</f>
        <v>0</v>
      </c>
      <c r="J936" s="76">
        <v>0.002</v>
      </c>
      <c r="K936" s="76">
        <f>E936*J936</f>
        <v>0.04070000000000001</v>
      </c>
      <c r="L936" s="36" t="s">
        <v>1959</v>
      </c>
      <c r="M936" s="36" t="s">
        <v>7</v>
      </c>
      <c r="N936" s="27">
        <f>IF(M936="5",H936,0)</f>
        <v>0</v>
      </c>
      <c r="Y936" s="27">
        <f>IF(AC936=0,I936,0)</f>
        <v>0</v>
      </c>
      <c r="Z936" s="27">
        <f>IF(AC936=15,I936,0)</f>
        <v>0</v>
      </c>
      <c r="AA936" s="27">
        <f>IF(AC936=21,I936,0)</f>
        <v>0</v>
      </c>
      <c r="AC936" s="12">
        <v>21</v>
      </c>
      <c r="AD936" s="12">
        <f>F936*1</f>
        <v>0</v>
      </c>
      <c r="AE936" s="12">
        <f>F936*(1-1)</f>
        <v>0</v>
      </c>
      <c r="AL936" s="12">
        <f>E936*AD936</f>
        <v>0</v>
      </c>
      <c r="AM936" s="12">
        <f>E936*AE936</f>
        <v>0</v>
      </c>
      <c r="AN936" s="38" t="s">
        <v>2020</v>
      </c>
      <c r="AO936" s="38" t="s">
        <v>2028</v>
      </c>
      <c r="AP936" s="32" t="s">
        <v>2055</v>
      </c>
    </row>
    <row r="937" spans="1:42" ht="12.75">
      <c r="A937" s="50" t="s">
        <v>647</v>
      </c>
      <c r="B937" s="17" t="s">
        <v>1184</v>
      </c>
      <c r="C937" s="17" t="s">
        <v>1922</v>
      </c>
      <c r="D937" s="17" t="s">
        <v>1949</v>
      </c>
      <c r="E937" s="26">
        <v>42282</v>
      </c>
      <c r="F937" s="26">
        <v>0</v>
      </c>
      <c r="G937" s="26">
        <f>E937*AD937</f>
        <v>0</v>
      </c>
      <c r="H937" s="26">
        <f>I937-G937</f>
        <v>0</v>
      </c>
      <c r="I937" s="26">
        <f>E937*F937</f>
        <v>0</v>
      </c>
      <c r="J937" s="72">
        <v>0</v>
      </c>
      <c r="K937" s="72">
        <f>E937*J937</f>
        <v>0</v>
      </c>
      <c r="L937" s="35" t="s">
        <v>1959</v>
      </c>
      <c r="M937" s="35" t="s">
        <v>123</v>
      </c>
      <c r="N937" s="26">
        <f>IF(M937="5",H937,0)</f>
        <v>0</v>
      </c>
      <c r="Y937" s="26">
        <f>IF(AC937=0,I937,0)</f>
        <v>0</v>
      </c>
      <c r="Z937" s="26">
        <f>IF(AC937=15,I937,0)</f>
        <v>0</v>
      </c>
      <c r="AA937" s="26">
        <f>IF(AC937=21,I937,0)</f>
        <v>0</v>
      </c>
      <c r="AC937" s="12">
        <v>21</v>
      </c>
      <c r="AD937" s="12">
        <f>F937*0</f>
        <v>0</v>
      </c>
      <c r="AE937" s="12">
        <f>F937*(1-0)</f>
        <v>0</v>
      </c>
      <c r="AL937" s="12">
        <f>E937*AD937</f>
        <v>0</v>
      </c>
      <c r="AM937" s="12">
        <f>E937*AE937</f>
        <v>0</v>
      </c>
      <c r="AN937" s="38" t="s">
        <v>2020</v>
      </c>
      <c r="AO937" s="38" t="s">
        <v>2028</v>
      </c>
      <c r="AP937" s="32" t="s">
        <v>2055</v>
      </c>
    </row>
    <row r="938" ht="39">
      <c r="C938" s="24" t="s">
        <v>1923</v>
      </c>
    </row>
    <row r="939" spans="1:42" ht="12.75">
      <c r="A939" s="50" t="s">
        <v>648</v>
      </c>
      <c r="B939" s="17" t="s">
        <v>1185</v>
      </c>
      <c r="C939" s="17" t="s">
        <v>1924</v>
      </c>
      <c r="D939" s="17" t="s">
        <v>1949</v>
      </c>
      <c r="E939" s="26">
        <v>42282</v>
      </c>
      <c r="F939" s="26">
        <v>0</v>
      </c>
      <c r="G939" s="26">
        <f>E939*AD939</f>
        <v>0</v>
      </c>
      <c r="H939" s="26">
        <f>I939-G939</f>
        <v>0</v>
      </c>
      <c r="I939" s="26">
        <f>E939*F939</f>
        <v>0</v>
      </c>
      <c r="J939" s="72">
        <v>0</v>
      </c>
      <c r="K939" s="72">
        <f>E939*J939</f>
        <v>0</v>
      </c>
      <c r="L939" s="35" t="s">
        <v>1959</v>
      </c>
      <c r="M939" s="35" t="s">
        <v>123</v>
      </c>
      <c r="N939" s="26">
        <f>IF(M939="5",H939,0)</f>
        <v>0</v>
      </c>
      <c r="Y939" s="26">
        <f>IF(AC939=0,I939,0)</f>
        <v>0</v>
      </c>
      <c r="Z939" s="26">
        <f>IF(AC939=15,I939,0)</f>
        <v>0</v>
      </c>
      <c r="AA939" s="26">
        <f>IF(AC939=21,I939,0)</f>
        <v>0</v>
      </c>
      <c r="AC939" s="12">
        <v>21</v>
      </c>
      <c r="AD939" s="12">
        <f>F939*0</f>
        <v>0</v>
      </c>
      <c r="AE939" s="12">
        <f>F939*(1-0)</f>
        <v>0</v>
      </c>
      <c r="AL939" s="12">
        <f>E939*AD939</f>
        <v>0</v>
      </c>
      <c r="AM939" s="12">
        <f>E939*AE939</f>
        <v>0</v>
      </c>
      <c r="AN939" s="38" t="s">
        <v>2020</v>
      </c>
      <c r="AO939" s="38" t="s">
        <v>2028</v>
      </c>
      <c r="AP939" s="32" t="s">
        <v>2055</v>
      </c>
    </row>
    <row r="940" spans="1:42" ht="12.75">
      <c r="A940" s="50" t="s">
        <v>649</v>
      </c>
      <c r="B940" s="17" t="s">
        <v>1186</v>
      </c>
      <c r="C940" s="17" t="s">
        <v>1925</v>
      </c>
      <c r="D940" s="17" t="s">
        <v>1949</v>
      </c>
      <c r="E940" s="26">
        <v>5675</v>
      </c>
      <c r="F940" s="26">
        <v>0</v>
      </c>
      <c r="G940" s="26">
        <f>E940*AD940</f>
        <v>0</v>
      </c>
      <c r="H940" s="26">
        <f>I940-G940</f>
        <v>0</v>
      </c>
      <c r="I940" s="26">
        <f>E940*F940</f>
        <v>0</v>
      </c>
      <c r="J940" s="72">
        <v>0</v>
      </c>
      <c r="K940" s="72">
        <f>E940*J940</f>
        <v>0</v>
      </c>
      <c r="L940" s="35" t="s">
        <v>1959</v>
      </c>
      <c r="M940" s="35" t="s">
        <v>123</v>
      </c>
      <c r="N940" s="26">
        <f>IF(M940="5",H940,0)</f>
        <v>0</v>
      </c>
      <c r="Y940" s="26">
        <f>IF(AC940=0,I940,0)</f>
        <v>0</v>
      </c>
      <c r="Z940" s="26">
        <f>IF(AC940=15,I940,0)</f>
        <v>0</v>
      </c>
      <c r="AA940" s="26">
        <f>IF(AC940=21,I940,0)</f>
        <v>0</v>
      </c>
      <c r="AC940" s="12">
        <v>21</v>
      </c>
      <c r="AD940" s="12">
        <f>F940*0</f>
        <v>0</v>
      </c>
      <c r="AE940" s="12">
        <f>F940*(1-0)</f>
        <v>0</v>
      </c>
      <c r="AL940" s="12">
        <f>E940*AD940</f>
        <v>0</v>
      </c>
      <c r="AM940" s="12">
        <f>E940*AE940</f>
        <v>0</v>
      </c>
      <c r="AN940" s="38" t="s">
        <v>2020</v>
      </c>
      <c r="AO940" s="38" t="s">
        <v>2028</v>
      </c>
      <c r="AP940" s="32" t="s">
        <v>2055</v>
      </c>
    </row>
    <row r="941" ht="27.75" customHeight="1">
      <c r="C941" s="24" t="s">
        <v>1926</v>
      </c>
    </row>
    <row r="942" spans="1:42" s="60" customFormat="1" ht="26.25">
      <c r="A942" s="56" t="s">
        <v>650</v>
      </c>
      <c r="B942" s="57" t="s">
        <v>1187</v>
      </c>
      <c r="C942" s="57" t="s">
        <v>1927</v>
      </c>
      <c r="D942" s="57" t="s">
        <v>1949</v>
      </c>
      <c r="E942" s="58">
        <v>5675</v>
      </c>
      <c r="F942" s="58">
        <v>0</v>
      </c>
      <c r="G942" s="58">
        <f>E942*AD942</f>
        <v>0</v>
      </c>
      <c r="H942" s="58">
        <f>I942-G942</f>
        <v>0</v>
      </c>
      <c r="I942" s="58">
        <f>E942*F942</f>
        <v>0</v>
      </c>
      <c r="J942" s="77">
        <v>0</v>
      </c>
      <c r="K942" s="77">
        <f>E942*J942</f>
        <v>0</v>
      </c>
      <c r="L942" s="59" t="s">
        <v>1959</v>
      </c>
      <c r="M942" s="59" t="s">
        <v>123</v>
      </c>
      <c r="N942" s="58">
        <f>IF(M942="5",H942,0)</f>
        <v>0</v>
      </c>
      <c r="Y942" s="58">
        <f>IF(AC942=0,I942,0)</f>
        <v>0</v>
      </c>
      <c r="Z942" s="58">
        <f>IF(AC942=15,I942,0)</f>
        <v>0</v>
      </c>
      <c r="AA942" s="58">
        <f>IF(AC942=21,I942,0)</f>
        <v>0</v>
      </c>
      <c r="AC942" s="61">
        <v>21</v>
      </c>
      <c r="AD942" s="61">
        <f>F942*0</f>
        <v>0</v>
      </c>
      <c r="AE942" s="61">
        <f>F942*(1-0)</f>
        <v>0</v>
      </c>
      <c r="AL942" s="61">
        <f>E942*AD942</f>
        <v>0</v>
      </c>
      <c r="AM942" s="61">
        <f>E942*AE942</f>
        <v>0</v>
      </c>
      <c r="AN942" s="62" t="s">
        <v>2020</v>
      </c>
      <c r="AO942" s="62" t="s">
        <v>2028</v>
      </c>
      <c r="AP942" s="63" t="s">
        <v>2055</v>
      </c>
    </row>
    <row r="943" ht="52.5">
      <c r="C943" s="24" t="s">
        <v>1928</v>
      </c>
    </row>
    <row r="944" spans="1:42" ht="12.75">
      <c r="A944" s="50" t="s">
        <v>651</v>
      </c>
      <c r="B944" s="17" t="s">
        <v>1188</v>
      </c>
      <c r="C944" s="17" t="s">
        <v>1929</v>
      </c>
      <c r="D944" s="17" t="s">
        <v>1941</v>
      </c>
      <c r="E944" s="26">
        <v>57</v>
      </c>
      <c r="F944" s="26">
        <v>0</v>
      </c>
      <c r="G944" s="26">
        <f>E944*AD944</f>
        <v>0</v>
      </c>
      <c r="H944" s="26">
        <f>I944-G944</f>
        <v>0</v>
      </c>
      <c r="I944" s="26">
        <f>E944*F944</f>
        <v>0</v>
      </c>
      <c r="J944" s="72">
        <v>0</v>
      </c>
      <c r="K944" s="72">
        <f>E944*J944</f>
        <v>0</v>
      </c>
      <c r="L944" s="35" t="s">
        <v>1959</v>
      </c>
      <c r="M944" s="35" t="s">
        <v>123</v>
      </c>
      <c r="N944" s="26">
        <f>IF(M944="5",H944,0)</f>
        <v>0</v>
      </c>
      <c r="Y944" s="26">
        <f>IF(AC944=0,I944,0)</f>
        <v>0</v>
      </c>
      <c r="Z944" s="26">
        <f>IF(AC944=15,I944,0)</f>
        <v>0</v>
      </c>
      <c r="AA944" s="26">
        <f>IF(AC944=21,I944,0)</f>
        <v>0</v>
      </c>
      <c r="AC944" s="12">
        <v>21</v>
      </c>
      <c r="AD944" s="12">
        <f>F944*0</f>
        <v>0</v>
      </c>
      <c r="AE944" s="12">
        <f>F944*(1-0)</f>
        <v>0</v>
      </c>
      <c r="AL944" s="12">
        <f>E944*AD944</f>
        <v>0</v>
      </c>
      <c r="AM944" s="12">
        <f>E944*AE944</f>
        <v>0</v>
      </c>
      <c r="AN944" s="38" t="s">
        <v>2020</v>
      </c>
      <c r="AO944" s="38" t="s">
        <v>2028</v>
      </c>
      <c r="AP944" s="32" t="s">
        <v>2055</v>
      </c>
    </row>
    <row r="945" spans="1:42" ht="12.75">
      <c r="A945" s="50" t="s">
        <v>652</v>
      </c>
      <c r="B945" s="17" t="s">
        <v>788</v>
      </c>
      <c r="C945" s="17" t="s">
        <v>1930</v>
      </c>
      <c r="D945" s="17" t="s">
        <v>1948</v>
      </c>
      <c r="E945" s="26">
        <v>1</v>
      </c>
      <c r="F945" s="26">
        <v>0</v>
      </c>
      <c r="G945" s="26">
        <f>E945*AD945</f>
        <v>0</v>
      </c>
      <c r="H945" s="26">
        <f>I945-G945</f>
        <v>0</v>
      </c>
      <c r="I945" s="26">
        <f>E945*F945</f>
        <v>0</v>
      </c>
      <c r="J945" s="72">
        <v>0</v>
      </c>
      <c r="K945" s="72">
        <f>E945*J945</f>
        <v>0</v>
      </c>
      <c r="L945" s="35" t="s">
        <v>1961</v>
      </c>
      <c r="M945" s="35" t="s">
        <v>122</v>
      </c>
      <c r="N945" s="26">
        <f>IF(M945="5",H945,0)</f>
        <v>0</v>
      </c>
      <c r="Y945" s="26">
        <f>IF(AC945=0,I945,0)</f>
        <v>0</v>
      </c>
      <c r="Z945" s="26">
        <f>IF(AC945=15,I945,0)</f>
        <v>0</v>
      </c>
      <c r="AA945" s="26">
        <f>IF(AC945=21,I945,0)</f>
        <v>0</v>
      </c>
      <c r="AC945" s="12">
        <v>21</v>
      </c>
      <c r="AD945" s="12">
        <f>F945*0</f>
        <v>0</v>
      </c>
      <c r="AE945" s="12">
        <f>F945*(1-0)</f>
        <v>0</v>
      </c>
      <c r="AL945" s="12">
        <f>E945*AD945</f>
        <v>0</v>
      </c>
      <c r="AM945" s="12">
        <f>E945*AE945</f>
        <v>0</v>
      </c>
      <c r="AN945" s="38" t="s">
        <v>2020</v>
      </c>
      <c r="AO945" s="38" t="s">
        <v>2028</v>
      </c>
      <c r="AP945" s="32" t="s">
        <v>2055</v>
      </c>
    </row>
    <row r="946" spans="1:42" ht="12.75">
      <c r="A946" s="50" t="s">
        <v>653</v>
      </c>
      <c r="B946" s="17" t="s">
        <v>1189</v>
      </c>
      <c r="C946" s="17" t="s">
        <v>1931</v>
      </c>
      <c r="D946" s="17" t="s">
        <v>1948</v>
      </c>
      <c r="E946" s="26">
        <v>1</v>
      </c>
      <c r="F946" s="26">
        <v>0</v>
      </c>
      <c r="G946" s="26">
        <f>E946*AD946</f>
        <v>0</v>
      </c>
      <c r="H946" s="26">
        <f>I946-G946</f>
        <v>0</v>
      </c>
      <c r="I946" s="26">
        <f>E946*F946</f>
        <v>0</v>
      </c>
      <c r="J946" s="72">
        <v>0</v>
      </c>
      <c r="K946" s="72">
        <f>E946*J946</f>
        <v>0</v>
      </c>
      <c r="L946" s="35" t="s">
        <v>1961</v>
      </c>
      <c r="M946" s="35" t="s">
        <v>122</v>
      </c>
      <c r="N946" s="26">
        <f>IF(M946="5",H946,0)</f>
        <v>0</v>
      </c>
      <c r="Y946" s="26">
        <f>IF(AC946=0,I946,0)</f>
        <v>0</v>
      </c>
      <c r="Z946" s="26">
        <f>IF(AC946=15,I946,0)</f>
        <v>0</v>
      </c>
      <c r="AA946" s="26">
        <f>IF(AC946=21,I946,0)</f>
        <v>0</v>
      </c>
      <c r="AC946" s="12">
        <v>21</v>
      </c>
      <c r="AD946" s="12">
        <f>F946*0</f>
        <v>0</v>
      </c>
      <c r="AE946" s="12">
        <f>F946*(1-0)</f>
        <v>0</v>
      </c>
      <c r="AL946" s="12">
        <f>E946*AD946</f>
        <v>0</v>
      </c>
      <c r="AM946" s="12">
        <f>E946*AE946</f>
        <v>0</v>
      </c>
      <c r="AN946" s="38" t="s">
        <v>2020</v>
      </c>
      <c r="AO946" s="38" t="s">
        <v>2028</v>
      </c>
      <c r="AP946" s="32" t="s">
        <v>2055</v>
      </c>
    </row>
    <row r="947" spans="1:42" ht="12.75">
      <c r="A947" s="50" t="s">
        <v>654</v>
      </c>
      <c r="B947" s="17" t="s">
        <v>1190</v>
      </c>
      <c r="C947" s="17" t="s">
        <v>1932</v>
      </c>
      <c r="D947" s="17" t="s">
        <v>1944</v>
      </c>
      <c r="E947" s="26">
        <v>12</v>
      </c>
      <c r="F947" s="26">
        <v>0</v>
      </c>
      <c r="G947" s="26">
        <f>E947*AD947</f>
        <v>0</v>
      </c>
      <c r="H947" s="26">
        <f>I947-G947</f>
        <v>0</v>
      </c>
      <c r="I947" s="26">
        <f>E947*F947</f>
        <v>0</v>
      </c>
      <c r="J947" s="72">
        <v>0</v>
      </c>
      <c r="K947" s="72">
        <f>E947*J947</f>
        <v>0</v>
      </c>
      <c r="L947" s="35" t="s">
        <v>1959</v>
      </c>
      <c r="M947" s="35" t="s">
        <v>122</v>
      </c>
      <c r="N947" s="26">
        <f>IF(M947="5",H947,0)</f>
        <v>0</v>
      </c>
      <c r="Y947" s="26">
        <f>IF(AC947=0,I947,0)</f>
        <v>0</v>
      </c>
      <c r="Z947" s="26">
        <f>IF(AC947=15,I947,0)</f>
        <v>0</v>
      </c>
      <c r="AA947" s="26">
        <f>IF(AC947=21,I947,0)</f>
        <v>0</v>
      </c>
      <c r="AC947" s="12">
        <v>21</v>
      </c>
      <c r="AD947" s="12">
        <f>F947*0.712728782479327</f>
        <v>0</v>
      </c>
      <c r="AE947" s="12">
        <f>F947*(1-0.712728782479327)</f>
        <v>0</v>
      </c>
      <c r="AL947" s="12">
        <f>E947*AD947</f>
        <v>0</v>
      </c>
      <c r="AM947" s="12">
        <f>E947*AE947</f>
        <v>0</v>
      </c>
      <c r="AN947" s="38" t="s">
        <v>2020</v>
      </c>
      <c r="AO947" s="38" t="s">
        <v>2028</v>
      </c>
      <c r="AP947" s="32" t="s">
        <v>2055</v>
      </c>
    </row>
    <row r="948" ht="12.75">
      <c r="C948" s="24" t="s">
        <v>1933</v>
      </c>
    </row>
    <row r="949" spans="1:42" s="60" customFormat="1" ht="26.25">
      <c r="A949" s="56" t="s">
        <v>655</v>
      </c>
      <c r="B949" s="57" t="s">
        <v>1191</v>
      </c>
      <c r="C949" s="57" t="s">
        <v>1934</v>
      </c>
      <c r="D949" s="57" t="s">
        <v>1944</v>
      </c>
      <c r="E949" s="58">
        <v>6</v>
      </c>
      <c r="F949" s="58">
        <v>0</v>
      </c>
      <c r="G949" s="58">
        <f>E949*AD949</f>
        <v>0</v>
      </c>
      <c r="H949" s="58">
        <f>I949-G949</f>
        <v>0</v>
      </c>
      <c r="I949" s="58">
        <f>E949*F949</f>
        <v>0</v>
      </c>
      <c r="J949" s="77">
        <v>0</v>
      </c>
      <c r="K949" s="77">
        <f>E949*J949</f>
        <v>0</v>
      </c>
      <c r="L949" s="59" t="s">
        <v>1959</v>
      </c>
      <c r="M949" s="59" t="s">
        <v>122</v>
      </c>
      <c r="N949" s="58">
        <f>IF(M949="5",H949,0)</f>
        <v>0</v>
      </c>
      <c r="Y949" s="58">
        <f>IF(AC949=0,I949,0)</f>
        <v>0</v>
      </c>
      <c r="Z949" s="58">
        <f>IF(AC949=15,I949,0)</f>
        <v>0</v>
      </c>
      <c r="AA949" s="58">
        <f>IF(AC949=21,I949,0)</f>
        <v>0</v>
      </c>
      <c r="AC949" s="61">
        <v>21</v>
      </c>
      <c r="AD949" s="61">
        <f>F949*0.744589453013133</f>
        <v>0</v>
      </c>
      <c r="AE949" s="61">
        <f>F949*(1-0.744589453013133)</f>
        <v>0</v>
      </c>
      <c r="AL949" s="61">
        <f>E949*AD949</f>
        <v>0</v>
      </c>
      <c r="AM949" s="61">
        <f>E949*AE949</f>
        <v>0</v>
      </c>
      <c r="AN949" s="62" t="s">
        <v>2020</v>
      </c>
      <c r="AO949" s="62" t="s">
        <v>2028</v>
      </c>
      <c r="AP949" s="63" t="s">
        <v>2055</v>
      </c>
    </row>
    <row r="950" ht="12.75">
      <c r="C950" s="24" t="s">
        <v>1935</v>
      </c>
    </row>
    <row r="951" spans="1:36" ht="12.75">
      <c r="A951" s="52"/>
      <c r="B951" s="23" t="s">
        <v>51</v>
      </c>
      <c r="C951" s="121" t="s">
        <v>97</v>
      </c>
      <c r="D951" s="122"/>
      <c r="E951" s="122"/>
      <c r="F951" s="122"/>
      <c r="G951" s="40">
        <f>SUM(G952:G952)</f>
        <v>0</v>
      </c>
      <c r="H951" s="40">
        <f>SUM(H952:H952)</f>
        <v>0</v>
      </c>
      <c r="I951" s="40">
        <f>G951+H951</f>
        <v>0</v>
      </c>
      <c r="J951" s="74"/>
      <c r="K951" s="74">
        <f>SUM(K952:K952)</f>
        <v>15.30342</v>
      </c>
      <c r="L951" s="32"/>
      <c r="O951" s="40">
        <f>IF(P951="PR",I951,SUM(N952:N952))</f>
        <v>0</v>
      </c>
      <c r="P951" s="32" t="s">
        <v>1969</v>
      </c>
      <c r="Q951" s="40">
        <f>IF(P951="HS",G951,0)</f>
        <v>0</v>
      </c>
      <c r="R951" s="40">
        <f>IF(P951="HS",H951-O951,0)</f>
        <v>0</v>
      </c>
      <c r="S951" s="40">
        <f>IF(P951="PS",G951,0)</f>
        <v>0</v>
      </c>
      <c r="T951" s="40">
        <f>IF(P951="PS",H951-O951,0)</f>
        <v>0</v>
      </c>
      <c r="U951" s="40">
        <f>IF(P951="MP",G951,0)</f>
        <v>0</v>
      </c>
      <c r="V951" s="40">
        <f>IF(P951="MP",H951-O951,0)</f>
        <v>0</v>
      </c>
      <c r="W951" s="40">
        <f>IF(P951="OM",G951,0)</f>
        <v>0</v>
      </c>
      <c r="X951" s="32"/>
      <c r="AH951" s="40">
        <f>SUM(Y952:Y952)</f>
        <v>0</v>
      </c>
      <c r="AI951" s="40">
        <f>SUM(Z952:Z952)</f>
        <v>0</v>
      </c>
      <c r="AJ951" s="40">
        <f>SUM(AA952:AA952)</f>
        <v>0</v>
      </c>
    </row>
    <row r="952" spans="1:42" ht="12.75">
      <c r="A952" s="50" t="s">
        <v>656</v>
      </c>
      <c r="B952" s="17" t="s">
        <v>1192</v>
      </c>
      <c r="C952" s="17" t="s">
        <v>1936</v>
      </c>
      <c r="D952" s="17" t="s">
        <v>1941</v>
      </c>
      <c r="E952" s="26">
        <v>65.5</v>
      </c>
      <c r="F952" s="26">
        <v>0</v>
      </c>
      <c r="G952" s="26">
        <f>E952*AD952</f>
        <v>0</v>
      </c>
      <c r="H952" s="26">
        <f>I952-G952</f>
        <v>0</v>
      </c>
      <c r="I952" s="26">
        <f>E952*F952</f>
        <v>0</v>
      </c>
      <c r="J952" s="72">
        <v>0.23364</v>
      </c>
      <c r="K952" s="72">
        <f>E952*J952</f>
        <v>15.30342</v>
      </c>
      <c r="L952" s="35" t="s">
        <v>1959</v>
      </c>
      <c r="M952" s="35" t="s">
        <v>123</v>
      </c>
      <c r="N952" s="26">
        <f>IF(M952="5",H952,0)</f>
        <v>0</v>
      </c>
      <c r="Y952" s="26">
        <f>IF(AC952=0,I952,0)</f>
        <v>0</v>
      </c>
      <c r="Z952" s="26">
        <f>IF(AC952=15,I952,0)</f>
        <v>0</v>
      </c>
      <c r="AA952" s="26">
        <f>IF(AC952=21,I952,0)</f>
        <v>0</v>
      </c>
      <c r="AC952" s="12">
        <v>21</v>
      </c>
      <c r="AD952" s="12">
        <f>F952*0.70800395256917</f>
        <v>0</v>
      </c>
      <c r="AE952" s="12">
        <f>F952*(1-0.70800395256917)</f>
        <v>0</v>
      </c>
      <c r="AL952" s="12">
        <f>E952*AD952</f>
        <v>0</v>
      </c>
      <c r="AM952" s="12">
        <f>E952*AE952</f>
        <v>0</v>
      </c>
      <c r="AN952" s="38" t="s">
        <v>2021</v>
      </c>
      <c r="AO952" s="38" t="s">
        <v>2028</v>
      </c>
      <c r="AP952" s="32" t="s">
        <v>2050</v>
      </c>
    </row>
    <row r="953" ht="12.75">
      <c r="C953" s="24" t="s">
        <v>1937</v>
      </c>
    </row>
    <row r="954" spans="1:36" ht="12.75">
      <c r="A954" s="52"/>
      <c r="B954" s="23" t="s">
        <v>47</v>
      </c>
      <c r="C954" s="121" t="s">
        <v>93</v>
      </c>
      <c r="D954" s="122"/>
      <c r="E954" s="122"/>
      <c r="F954" s="122"/>
      <c r="G954" s="40">
        <f>SUM(G955:G955)</f>
        <v>0</v>
      </c>
      <c r="H954" s="40">
        <f>SUM(H955:H955)</f>
        <v>0</v>
      </c>
      <c r="I954" s="40">
        <f>G954+H954</f>
        <v>0</v>
      </c>
      <c r="J954" s="74"/>
      <c r="K954" s="74">
        <f>SUM(K955:K955)</f>
        <v>0</v>
      </c>
      <c r="L954" s="32"/>
      <c r="O954" s="40">
        <f>IF(P954="PR",I954,SUM(N955:N955))</f>
        <v>0</v>
      </c>
      <c r="P954" s="32" t="s">
        <v>1967</v>
      </c>
      <c r="Q954" s="40">
        <f>IF(P954="HS",G954,0)</f>
        <v>0</v>
      </c>
      <c r="R954" s="40">
        <f>IF(P954="HS",H954-O954,0)</f>
        <v>0</v>
      </c>
      <c r="S954" s="40">
        <f>IF(P954="PS",G954,0)</f>
        <v>0</v>
      </c>
      <c r="T954" s="40">
        <f>IF(P954="PS",H954-O954,0)</f>
        <v>0</v>
      </c>
      <c r="U954" s="40">
        <f>IF(P954="MP",G954,0)</f>
        <v>0</v>
      </c>
      <c r="V954" s="40">
        <f>IF(P954="MP",H954-O954,0)</f>
        <v>0</v>
      </c>
      <c r="W954" s="40">
        <f>IF(P954="OM",G954,0)</f>
        <v>0</v>
      </c>
      <c r="X954" s="32"/>
      <c r="AH954" s="40">
        <f>SUM(Y955:Y955)</f>
        <v>0</v>
      </c>
      <c r="AI954" s="40">
        <f>SUM(Z955:Z955)</f>
        <v>0</v>
      </c>
      <c r="AJ954" s="40">
        <f>SUM(AA955:AA955)</f>
        <v>0</v>
      </c>
    </row>
    <row r="955" spans="1:42" ht="12.75">
      <c r="A955" s="54" t="s">
        <v>657</v>
      </c>
      <c r="B955" s="19" t="s">
        <v>1193</v>
      </c>
      <c r="C955" s="19" t="s">
        <v>1938</v>
      </c>
      <c r="D955" s="19" t="s">
        <v>1945</v>
      </c>
      <c r="E955" s="28">
        <v>2266.74</v>
      </c>
      <c r="F955" s="28">
        <v>0</v>
      </c>
      <c r="G955" s="28">
        <f>E955*AD955</f>
        <v>0</v>
      </c>
      <c r="H955" s="28">
        <f>I955-G955</f>
        <v>0</v>
      </c>
      <c r="I955" s="28">
        <f>E955*F955</f>
        <v>0</v>
      </c>
      <c r="J955" s="78">
        <v>0</v>
      </c>
      <c r="K955" s="78">
        <f>E955*J955</f>
        <v>0</v>
      </c>
      <c r="L955" s="37" t="s">
        <v>1959</v>
      </c>
      <c r="M955" s="35" t="s">
        <v>126</v>
      </c>
      <c r="N955" s="26">
        <f>IF(M955="5",H955,0)</f>
        <v>0</v>
      </c>
      <c r="Y955" s="26">
        <f>IF(AC955=0,I955,0)</f>
        <v>0</v>
      </c>
      <c r="Z955" s="26">
        <f>IF(AC955=15,I955,0)</f>
        <v>0</v>
      </c>
      <c r="AA955" s="26">
        <f>IF(AC955=21,I955,0)</f>
        <v>0</v>
      </c>
      <c r="AC955" s="12">
        <v>21</v>
      </c>
      <c r="AD955" s="12">
        <f>F955*0</f>
        <v>0</v>
      </c>
      <c r="AE955" s="12">
        <f>F955*(1-0)</f>
        <v>0</v>
      </c>
      <c r="AL955" s="12">
        <f>E955*AD955</f>
        <v>0</v>
      </c>
      <c r="AM955" s="12">
        <f>E955*AE955</f>
        <v>0</v>
      </c>
      <c r="AN955" s="38" t="s">
        <v>2022</v>
      </c>
      <c r="AO955" s="38" t="s">
        <v>2028</v>
      </c>
      <c r="AP955" s="32" t="s">
        <v>2050</v>
      </c>
    </row>
    <row r="956" spans="1:27" ht="12.75">
      <c r="A956" s="46"/>
      <c r="B956" s="6"/>
      <c r="C956" s="6"/>
      <c r="D956" s="6"/>
      <c r="E956" s="6"/>
      <c r="F956" s="6"/>
      <c r="G956" s="92" t="s">
        <v>112</v>
      </c>
      <c r="H956" s="93"/>
      <c r="I956" s="16">
        <f>I12+I15+I26+I32+I38+I57+I63+I71+I76+I137+I179+I184+I225+I245+I274+I291+I315+I342+I345+I353+I363+I421+I455+I469+I494+I523+I555+I585+I589+I676+I773+I807+I816+I819+I821+I835+I848+I852+I875+I882+I885+I904+I930+I934+I951+I954</f>
        <v>0</v>
      </c>
      <c r="J956" s="79"/>
      <c r="K956" s="79"/>
      <c r="L956" s="6"/>
      <c r="Y956" s="41">
        <f>SUM(Y13:Y955)</f>
        <v>0</v>
      </c>
      <c r="Z956" s="41">
        <f>SUM(Z13:Z955)</f>
        <v>0</v>
      </c>
      <c r="AA956" s="41">
        <f>SUM(AA13:AA955)</f>
        <v>0</v>
      </c>
    </row>
    <row r="957" ht="11.25" customHeight="1">
      <c r="A957" s="55" t="s">
        <v>5</v>
      </c>
    </row>
    <row r="958" spans="1:12" ht="409.5" customHeight="1" hidden="1">
      <c r="A958" s="96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</row>
  </sheetData>
  <sheetProtection/>
  <mergeCells count="75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G10:I10"/>
    <mergeCell ref="J10:K10"/>
    <mergeCell ref="C12:F12"/>
    <mergeCell ref="C15:F15"/>
    <mergeCell ref="C26:F26"/>
    <mergeCell ref="C32:F32"/>
    <mergeCell ref="C38:F38"/>
    <mergeCell ref="C57:F57"/>
    <mergeCell ref="C63:F63"/>
    <mergeCell ref="C71:F71"/>
    <mergeCell ref="C76:F76"/>
    <mergeCell ref="C137:F137"/>
    <mergeCell ref="C179:F179"/>
    <mergeCell ref="C184:F184"/>
    <mergeCell ref="C225:F225"/>
    <mergeCell ref="C245:F245"/>
    <mergeCell ref="C274:F274"/>
    <mergeCell ref="C291:F291"/>
    <mergeCell ref="C315:F315"/>
    <mergeCell ref="C342:F342"/>
    <mergeCell ref="C345:F345"/>
    <mergeCell ref="C353:F353"/>
    <mergeCell ref="C363:F363"/>
    <mergeCell ref="C421:F421"/>
    <mergeCell ref="C455:F455"/>
    <mergeCell ref="C469:F469"/>
    <mergeCell ref="C494:F494"/>
    <mergeCell ref="C523:F523"/>
    <mergeCell ref="C555:F555"/>
    <mergeCell ref="C585:F585"/>
    <mergeCell ref="C589:F589"/>
    <mergeCell ref="C676:F676"/>
    <mergeCell ref="C773:F773"/>
    <mergeCell ref="C807:F807"/>
    <mergeCell ref="C816:F816"/>
    <mergeCell ref="C819:F819"/>
    <mergeCell ref="C821:F821"/>
    <mergeCell ref="C835:F835"/>
    <mergeCell ref="C848:F848"/>
    <mergeCell ref="C852:F852"/>
    <mergeCell ref="C875:F875"/>
    <mergeCell ref="C882:F882"/>
    <mergeCell ref="G956:H956"/>
    <mergeCell ref="A958:L958"/>
    <mergeCell ref="C885:F885"/>
    <mergeCell ref="C904:F904"/>
    <mergeCell ref="C930:F930"/>
    <mergeCell ref="C934:F934"/>
    <mergeCell ref="C951:F951"/>
    <mergeCell ref="C954:F954"/>
  </mergeCells>
  <printOptions/>
  <pageMargins left="0.394" right="0.394" top="0.591" bottom="0.591" header="0.5" footer="0.5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2016-08-03T07:01:19Z</cp:lastPrinted>
  <dcterms:modified xsi:type="dcterms:W3CDTF">2016-08-29T13:16:01Z</dcterms:modified>
  <cp:category/>
  <cp:version/>
  <cp:contentType/>
  <cp:contentStatus/>
</cp:coreProperties>
</file>