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7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8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9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6\2016021_SU_ORTOPEDIE_3NP_PAVILON_B_NEM_SPK\ROZPOCET 20160831\"/>
    </mc:Choice>
  </mc:AlternateContent>
  <bookViews>
    <workbookView xWindow="5235" yWindow="120" windowWidth="11520" windowHeight="10845" tabRatio="963"/>
  </bookViews>
  <sheets>
    <sheet name="SO01 Krycí list" sheetId="1" r:id="rId1"/>
    <sheet name="SO01 rekap" sheetId="2" r:id="rId2"/>
    <sheet name="VRN" sheetId="3" r:id="rId3"/>
    <sheet name="01 Stavební" sheetId="4" r:id="rId4"/>
    <sheet name="01rek" sheetId="5" r:id="rId5"/>
    <sheet name="01Položky" sheetId="6" r:id="rId6"/>
    <sheet name="01 výpočet výměr" sheetId="7" r:id="rId7"/>
    <sheet name="02 VYTÁPĚNÍ" sheetId="8" r:id="rId8"/>
    <sheet name="02 VYTÁPĚNÍ rek" sheetId="9" r:id="rId9"/>
    <sheet name="02 VYTÁPĚNÍ pol" sheetId="10" r:id="rId10"/>
    <sheet name="03 VZT" sheetId="11" r:id="rId11"/>
    <sheet name="03rek" sheetId="12" r:id="rId12"/>
    <sheet name="03pol" sheetId="13" r:id="rId13"/>
    <sheet name="05 ZTI" sheetId="14" r:id="rId14"/>
    <sheet name="05rek" sheetId="15" r:id="rId15"/>
    <sheet name="05pol" sheetId="16" r:id="rId16"/>
    <sheet name="06 medicinální plyny " sheetId="17" r:id="rId17"/>
    <sheet name="06rek " sheetId="18" r:id="rId18"/>
    <sheet name="06pol " sheetId="19" r:id="rId19"/>
    <sheet name="07 silnoproud" sheetId="20" r:id="rId20"/>
    <sheet name="07rek" sheetId="21" r:id="rId21"/>
    <sheet name="07pol" sheetId="22" r:id="rId22"/>
    <sheet name="07spec" sheetId="23" r:id="rId23"/>
    <sheet name="08 slaboproud" sheetId="24" r:id="rId24"/>
    <sheet name="08rek" sheetId="25" r:id="rId25"/>
    <sheet name="08pol" sheetId="26" r:id="rId26"/>
  </sheets>
  <externalReferences>
    <externalReference r:id="rId27"/>
    <externalReference r:id="rId28"/>
    <externalReference r:id="rId29"/>
  </externalReferences>
  <definedNames>
    <definedName name="__CENA__" localSheetId="6">[1]Položky!$J$7:$J$78</definedName>
    <definedName name="__CENA__" localSheetId="16">#REF!</definedName>
    <definedName name="__CENA__" localSheetId="18">#REF!</definedName>
    <definedName name="__CENA__" localSheetId="17">#REF!</definedName>
    <definedName name="__CENA__">#REF!</definedName>
    <definedName name="__MAIN__">#REF!</definedName>
    <definedName name="__MAIN2__" localSheetId="6">#REF!</definedName>
    <definedName name="__MAIN2__">#REF!</definedName>
    <definedName name="__MAIN3__">#REF!</definedName>
    <definedName name="__SAZBA__" localSheetId="6">[1]Položky!#REF!</definedName>
    <definedName name="__SAZBA__" localSheetId="16">#REF!</definedName>
    <definedName name="__SAZBA__" localSheetId="18">#REF!</definedName>
    <definedName name="__SAZBA__" localSheetId="17">#REF!</definedName>
    <definedName name="__SAZBA__">#REF!</definedName>
    <definedName name="__T0__" localSheetId="16">#REF!</definedName>
    <definedName name="__T0__" localSheetId="18">#REF!</definedName>
    <definedName name="__T0__" localSheetId="17">#REF!</definedName>
    <definedName name="__T0__">#REF!</definedName>
    <definedName name="__T1__" localSheetId="16">#REF!</definedName>
    <definedName name="__T1__" localSheetId="18">#REF!</definedName>
    <definedName name="__T1__" localSheetId="17">#REF!</definedName>
    <definedName name="__T1__">#REF!</definedName>
    <definedName name="__T2__" localSheetId="16">#REF!</definedName>
    <definedName name="__T2__" localSheetId="18">#REF!</definedName>
    <definedName name="__T2__" localSheetId="17">#REF!</definedName>
    <definedName name="__T2__">#REF!</definedName>
    <definedName name="__T3__" localSheetId="6">[2]Položky!#REF!</definedName>
    <definedName name="__T3__" localSheetId="16">#REF!</definedName>
    <definedName name="__T3__" localSheetId="18">#REF!</definedName>
    <definedName name="__T3__" localSheetId="17">#REF!</definedName>
    <definedName name="__T3__">#REF!</definedName>
    <definedName name="__TE0__">#REF!</definedName>
    <definedName name="__TE1__">#REF!</definedName>
    <definedName name="__TE2__" localSheetId="6">'[3]VZOR E3 Kryci list'!#REF!</definedName>
    <definedName name="__TE2__">#REF!</definedName>
    <definedName name="__TE3__" localSheetId="6">#REF!</definedName>
    <definedName name="__TE3__">#REF!</definedName>
    <definedName name="__TR0__" localSheetId="6">#REF!</definedName>
    <definedName name="__TR0__" localSheetId="16">#REF!</definedName>
    <definedName name="__TR0__" localSheetId="18">#REF!</definedName>
    <definedName name="__TR0__" localSheetId="17">#REF!</definedName>
    <definedName name="__TR0__" localSheetId="19">#REF!</definedName>
    <definedName name="__TR0__" localSheetId="2">#REF!</definedName>
    <definedName name="__TR0__">#REF!</definedName>
    <definedName name="__TR1__" localSheetId="6">#REF!</definedName>
    <definedName name="__TR1__">#REF!</definedName>
    <definedName name="_xlnm._FilterDatabase" localSheetId="5" hidden="1">'01Položky'!$A$4:$N$247</definedName>
    <definedName name="_xlnm._FilterDatabase" localSheetId="9" hidden="1">'02 VYTÁPĚNÍ pol'!$A$7:$I$35</definedName>
    <definedName name="_xlnm._FilterDatabase" localSheetId="12" hidden="1">'03pol'!$A$7:$J$91</definedName>
    <definedName name="_xlnm._FilterDatabase" localSheetId="15" hidden="1">'05pol'!$A$7:$I$146</definedName>
    <definedName name="_xlnm._FilterDatabase" localSheetId="18" hidden="1">'06pol '!$A$7:$I$51</definedName>
    <definedName name="_xlnm._FilterDatabase" localSheetId="25" hidden="1">'08pol'!$A$7:$I$128</definedName>
    <definedName name="_xlnm._FilterDatabase" localSheetId="2" hidden="1">VRN!$A$5:$A$109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5">'01Položky'!$3:$5</definedName>
    <definedName name="_xlnm.Print_Titles" localSheetId="9">'02 VYTÁPĚNÍ pol'!$7:$7</definedName>
    <definedName name="_xlnm.Print_Titles" localSheetId="12">'03pol'!$1:$7</definedName>
    <definedName name="_xlnm.Print_Titles" localSheetId="15">'05pol'!$7:$7</definedName>
    <definedName name="_xlnm.Print_Titles" localSheetId="18">'06pol '!$7:$7</definedName>
    <definedName name="_xlnm.Print_Titles" localSheetId="21">'07pol'!$7:$7</definedName>
    <definedName name="_xlnm.Print_Titles" localSheetId="22">'07spec'!$8:$8</definedName>
    <definedName name="_xlnm.Print_Titles" localSheetId="25">'08pol'!$7:$7</definedName>
    <definedName name="Objednatel">#REF!</definedName>
    <definedName name="_xlnm.Print_Area" localSheetId="5">'01Položky'!$A$1:$N$249</definedName>
    <definedName name="_xlnm.Print_Area" localSheetId="9">'02 VYTÁPĚNÍ pol'!$A$1:$I$35</definedName>
    <definedName name="_xlnm.Print_Area" localSheetId="12">'03pol'!$A$1:$J$91</definedName>
    <definedName name="_xlnm.Print_Area" localSheetId="15">'05pol'!$A$1:$I$146</definedName>
    <definedName name="_xlnm.Print_Area" localSheetId="1">'SO01 rekap'!$A$1:$I$36</definedName>
    <definedName name="_xlnm.Print_Area" localSheetId="2">VRN!$A$1:$H$108</definedName>
    <definedName name="_xlnm.Print_Area">'[3]Černohous Propočty'!#REF!</definedName>
    <definedName name="PocetMJ">'01 Stavební'!$I$10</definedName>
    <definedName name="Poznamka">#REF!</definedName>
    <definedName name="Projektant">#REF!</definedName>
    <definedName name="PSV">#REF!</definedName>
    <definedName name="PSV0">#REF!</definedName>
    <definedName name="SloupecCC">#REF!</definedName>
    <definedName name="SloupecCisloPol">#REF!</definedName>
    <definedName name="SloupecCH">#REF!</definedName>
    <definedName name="SloupecJC">#REF!</definedName>
    <definedName name="SloupecJH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_30B10D60_758F_4E0B_9F03_5879C6CAFDF6_.wvu.Cols" localSheetId="5" hidden="1">'01Položky'!$G:$H,'01Položky'!$JC:$JD,'01Položky'!$SY:$SZ,'01Položky'!$ACU:$ACV,'01Položky'!$AMQ:$AMR,'01Položky'!$AWM:$AWN,'01Položky'!$BGI:$BGJ,'01Položky'!$BQE:$BQF,'01Položky'!$CAA:$CAB,'01Položky'!$CJW:$CJX,'01Položky'!$CTS:$CTT,'01Položky'!$DDO:$DDP,'01Položky'!$DNK:$DNL,'01Položky'!$DXG:$DXH,'01Položky'!$EHC:$EHD,'01Položky'!$EQY:$EQZ,'01Položky'!$FAU:$FAV,'01Položky'!$FKQ:$FKR,'01Položky'!$FUM:$FUN,'01Položky'!$GEI:$GEJ,'01Položky'!$GOE:$GOF,'01Položky'!$GYA:$GYB,'01Položky'!$HHW:$HHX,'01Položky'!$HRS:$HRT,'01Položky'!$IBO:$IBP,'01Položky'!$ILK:$ILL,'01Položky'!$IVG:$IVH,'01Položky'!$JFC:$JFD,'01Položky'!$JOY:$JOZ,'01Položky'!$JYU:$JYV,'01Položky'!$KIQ:$KIR,'01Položky'!$KSM:$KSN,'01Položky'!$LCI:$LCJ,'01Položky'!$LME:$LMF,'01Položky'!$LWA:$LWB,'01Položky'!$MFW:$MFX,'01Položky'!$MPS:$MPT,'01Položky'!$MZO:$MZP,'01Položky'!$NJK:$NJL,'01Položky'!$NTG:$NTH,'01Položky'!$ODC:$ODD,'01Položky'!$OMY:$OMZ,'01Položky'!$OWU:$OWV,'01Položky'!$PGQ:$PGR,'01Položky'!$PQM:$PQN,'01Položky'!$QAI:$QAJ,'01Položky'!$QKE:$QKF,'01Položky'!$QUA:$QUB,'01Položky'!$RDW:$RDX,'01Položky'!$RNS:$RNT,'01Položky'!$RXO:$RXP,'01Položky'!$SHK:$SHL,'01Položky'!$SRG:$SRH,'01Položky'!$TBC:$TBD,'01Položky'!$TKY:$TKZ,'01Položky'!$TUU:$TUV,'01Položky'!$UEQ:$UER,'01Položky'!$UOM:$UON,'01Položky'!$UYI:$UYJ,'01Položky'!$VIE:$VIF,'01Položky'!$VSA:$VSB,'01Položky'!$WBW:$WBX,'01Položky'!$WLS:$WLT,'01Položky'!$WVO:$WVP</definedName>
    <definedName name="Z_30B10D60_758F_4E0B_9F03_5879C6CAFDF6_.wvu.Cols" localSheetId="4" hidden="1">'01rek'!$K:$AX</definedName>
    <definedName name="Z_30B10D60_758F_4E0B_9F03_5879C6CAFDF6_.wvu.Cols" localSheetId="9" hidden="1">'02 VYTÁPĚNÍ pol'!$J:$AC,'02 VYTÁPĚNÍ pol'!$AU:$BF</definedName>
    <definedName name="Z_30B10D60_758F_4E0B_9F03_5879C6CAFDF6_.wvu.Cols" localSheetId="8" hidden="1">'02 VYTÁPĚNÍ rek'!$K:$AX</definedName>
    <definedName name="Z_30B10D60_758F_4E0B_9F03_5879C6CAFDF6_.wvu.Cols" localSheetId="11" hidden="1">'03rek'!$K:$AX</definedName>
    <definedName name="Z_30B10D60_758F_4E0B_9F03_5879C6CAFDF6_.wvu.Cols" localSheetId="15" hidden="1">'05pol'!$J:$AC,'05pol'!$AU:$BF</definedName>
    <definedName name="Z_30B10D60_758F_4E0B_9F03_5879C6CAFDF6_.wvu.Cols" localSheetId="14" hidden="1">'05rek'!$K:$AX</definedName>
    <definedName name="Z_30B10D60_758F_4E0B_9F03_5879C6CAFDF6_.wvu.Cols" localSheetId="17" hidden="1">'06rek '!$K:$AX</definedName>
    <definedName name="Z_30B10D60_758F_4E0B_9F03_5879C6CAFDF6_.wvu.Cols" localSheetId="20" hidden="1">'07rek'!$K:$AX</definedName>
    <definedName name="Z_30B10D60_758F_4E0B_9F03_5879C6CAFDF6_.wvu.Cols" localSheetId="24" hidden="1">'08rek'!$K:$AX</definedName>
    <definedName name="Z_30B10D60_758F_4E0B_9F03_5879C6CAFDF6_.wvu.Cols" localSheetId="1" hidden="1">'SO01 rekap'!$L:$AY</definedName>
    <definedName name="Z_30B10D60_758F_4E0B_9F03_5879C6CAFDF6_.wvu.FilterData" localSheetId="5" hidden="1">'01Položky'!$A$4:$N$247</definedName>
    <definedName name="Z_30B10D60_758F_4E0B_9F03_5879C6CAFDF6_.wvu.FilterData" localSheetId="9" hidden="1">'02 VYTÁPĚNÍ pol'!$A$7:$I$35</definedName>
    <definedName name="Z_30B10D60_758F_4E0B_9F03_5879C6CAFDF6_.wvu.FilterData" localSheetId="12" hidden="1">'03pol'!$A$7:$J$91</definedName>
    <definedName name="Z_30B10D60_758F_4E0B_9F03_5879C6CAFDF6_.wvu.FilterData" localSheetId="15" hidden="1">'05pol'!$A$7:$I$146</definedName>
    <definedName name="Z_30B10D60_758F_4E0B_9F03_5879C6CAFDF6_.wvu.FilterData" localSheetId="18" hidden="1">'06pol '!$A$7:$I$51</definedName>
    <definedName name="Z_30B10D60_758F_4E0B_9F03_5879C6CAFDF6_.wvu.FilterData" localSheetId="25" hidden="1">'08pol'!$A$7:$I$128</definedName>
    <definedName name="Z_30B10D60_758F_4E0B_9F03_5879C6CAFDF6_.wvu.FilterData" localSheetId="2" hidden="1">VRN!$A$5:$A$109</definedName>
    <definedName name="Z_30B10D60_758F_4E0B_9F03_5879C6CAFDF6_.wvu.PrintArea" localSheetId="5" hidden="1">'01Položky'!$A$1:$N$249</definedName>
    <definedName name="Z_30B10D60_758F_4E0B_9F03_5879C6CAFDF6_.wvu.PrintArea" localSheetId="9" hidden="1">'02 VYTÁPĚNÍ pol'!$A$1:$I$35</definedName>
    <definedName name="Z_30B10D60_758F_4E0B_9F03_5879C6CAFDF6_.wvu.PrintArea" localSheetId="12" hidden="1">'03pol'!$A$1:$J$91</definedName>
    <definedName name="Z_30B10D60_758F_4E0B_9F03_5879C6CAFDF6_.wvu.PrintArea" localSheetId="15" hidden="1">'05pol'!$A$1:$I$146</definedName>
    <definedName name="Z_30B10D60_758F_4E0B_9F03_5879C6CAFDF6_.wvu.PrintArea" localSheetId="1" hidden="1">'SO01 rekap'!$A$1:$I$36</definedName>
    <definedName name="Z_30B10D60_758F_4E0B_9F03_5879C6CAFDF6_.wvu.PrintArea" localSheetId="2" hidden="1">VRN!$A$1:$H$108</definedName>
    <definedName name="Z_30B10D60_758F_4E0B_9F03_5879C6CAFDF6_.wvu.PrintTitles" localSheetId="5" hidden="1">'01Položky'!$3:$5</definedName>
    <definedName name="Z_30B10D60_758F_4E0B_9F03_5879C6CAFDF6_.wvu.PrintTitles" localSheetId="9" hidden="1">'02 VYTÁPĚNÍ pol'!$7:$7</definedName>
    <definedName name="Z_30B10D60_758F_4E0B_9F03_5879C6CAFDF6_.wvu.PrintTitles" localSheetId="12" hidden="1">'03pol'!$1:$7</definedName>
    <definedName name="Z_30B10D60_758F_4E0B_9F03_5879C6CAFDF6_.wvu.PrintTitles" localSheetId="15" hidden="1">'05pol'!$7:$7</definedName>
    <definedName name="Z_30B10D60_758F_4E0B_9F03_5879C6CAFDF6_.wvu.PrintTitles" localSheetId="18" hidden="1">'06pol '!$7:$7</definedName>
    <definedName name="Z_30B10D60_758F_4E0B_9F03_5879C6CAFDF6_.wvu.PrintTitles" localSheetId="21" hidden="1">'07pol'!$7:$7</definedName>
    <definedName name="Z_30B10D60_758F_4E0B_9F03_5879C6CAFDF6_.wvu.PrintTitles" localSheetId="22" hidden="1">'07spec'!$8:$8</definedName>
    <definedName name="Z_30B10D60_758F_4E0B_9F03_5879C6CAFDF6_.wvu.PrintTitles" localSheetId="25" hidden="1">'08pol'!$7:$7</definedName>
    <definedName name="Zakazka">#REF!</definedName>
    <definedName name="Zaklad22">#REF!</definedName>
    <definedName name="Zaklad5">#REF!</definedName>
    <definedName name="Zhotovitel">#REF!</definedName>
  </definedNames>
  <calcPr calcId="152511" calcMode="autoNoTable"/>
  <customWorkbookViews>
    <customWorkbookView name="Polisensky – osobní zobrazení" guid="{30B10D60-758F-4E0B-9F03-5879C6CAFDF6}" mergeInterval="0" personalView="1" maximized="1" xWindow="-8" yWindow="-8" windowWidth="1936" windowHeight="1056" tabRatio="963" activeSheetId="3"/>
  </customWorkbookViews>
</workbook>
</file>

<file path=xl/calcChain.xml><?xml version="1.0" encoding="utf-8"?>
<calcChain xmlns="http://schemas.openxmlformats.org/spreadsheetml/2006/main">
  <c r="H12" i="4" l="1"/>
  <c r="K35" i="2" l="1"/>
  <c r="K28" i="2"/>
  <c r="K12" i="2"/>
  <c r="K17" i="2"/>
  <c r="K18" i="2"/>
  <c r="C4" i="18"/>
  <c r="C3" i="19" s="1"/>
  <c r="C33" i="10" l="1"/>
  <c r="K32" i="10"/>
  <c r="I32" i="10"/>
  <c r="G32" i="10"/>
  <c r="K31" i="10"/>
  <c r="I31" i="10"/>
  <c r="I33" i="10" s="1"/>
  <c r="G31" i="10"/>
  <c r="G33" i="10" s="1"/>
  <c r="F12" i="9" s="1"/>
  <c r="C28" i="10"/>
  <c r="K27" i="10"/>
  <c r="I27" i="10"/>
  <c r="G27" i="10"/>
  <c r="K26" i="10"/>
  <c r="I26" i="10"/>
  <c r="G26" i="10"/>
  <c r="C22" i="10"/>
  <c r="K21" i="10"/>
  <c r="I21" i="10"/>
  <c r="G21" i="10"/>
  <c r="K20" i="10"/>
  <c r="I20" i="10"/>
  <c r="G20" i="10"/>
  <c r="K19" i="10"/>
  <c r="I19" i="10"/>
  <c r="G19" i="10"/>
  <c r="K18" i="10"/>
  <c r="I18" i="10"/>
  <c r="G18" i="10"/>
  <c r="K17" i="10"/>
  <c r="I17" i="10"/>
  <c r="G17" i="10"/>
  <c r="C13" i="10"/>
  <c r="K12" i="10"/>
  <c r="I12" i="10"/>
  <c r="G12" i="10"/>
  <c r="K11" i="10"/>
  <c r="I11" i="10"/>
  <c r="G11" i="10"/>
  <c r="K10" i="10"/>
  <c r="I10" i="10"/>
  <c r="G10" i="10"/>
  <c r="K9" i="10"/>
  <c r="I9" i="10"/>
  <c r="G9" i="10"/>
  <c r="C4" i="9"/>
  <c r="K33" i="10" l="1"/>
  <c r="I28" i="10"/>
  <c r="G13" i="10"/>
  <c r="F9" i="9" s="1"/>
  <c r="K22" i="10"/>
  <c r="I13" i="10"/>
  <c r="G22" i="10"/>
  <c r="F10" i="9" s="1"/>
  <c r="G28" i="10"/>
  <c r="F11" i="9" s="1"/>
  <c r="K13" i="10"/>
  <c r="I22" i="10"/>
  <c r="K28" i="10"/>
  <c r="I3" i="10" l="1"/>
  <c r="C3" i="10"/>
  <c r="I2" i="10"/>
  <c r="C2" i="10"/>
  <c r="C1" i="10"/>
  <c r="I23" i="9"/>
  <c r="I10" i="2" s="1"/>
  <c r="H23" i="9"/>
  <c r="H10" i="2" s="1"/>
  <c r="G23" i="9"/>
  <c r="G10" i="2" s="1"/>
  <c r="E23" i="9"/>
  <c r="I4" i="9"/>
  <c r="I3" i="9"/>
  <c r="C3" i="9"/>
  <c r="C2" i="9"/>
  <c r="C1" i="9"/>
  <c r="I31" i="8"/>
  <c r="I29" i="8"/>
  <c r="I28" i="8"/>
  <c r="C28" i="8"/>
  <c r="I27" i="8"/>
  <c r="I26" i="8"/>
  <c r="I25" i="8"/>
  <c r="I24" i="8"/>
  <c r="E24" i="8"/>
  <c r="I23" i="8"/>
  <c r="I22" i="8"/>
  <c r="E22" i="8"/>
  <c r="I21" i="8"/>
  <c r="I20" i="8"/>
  <c r="D20" i="8"/>
  <c r="E20" i="8" s="1"/>
  <c r="I19" i="8"/>
  <c r="I18" i="8"/>
  <c r="H12" i="8"/>
  <c r="I11" i="8"/>
  <c r="C11" i="8"/>
  <c r="C10" i="8"/>
  <c r="C7" i="8"/>
  <c r="C5" i="8"/>
  <c r="C4" i="8"/>
  <c r="C145" i="16"/>
  <c r="BG144" i="16"/>
  <c r="BF144" i="16"/>
  <c r="BE144" i="16"/>
  <c r="BC144" i="16"/>
  <c r="K144" i="16"/>
  <c r="I144" i="16"/>
  <c r="G144" i="16"/>
  <c r="BD144" i="16" s="1"/>
  <c r="BG143" i="16"/>
  <c r="BF143" i="16"/>
  <c r="BE143" i="16"/>
  <c r="BC143" i="16"/>
  <c r="K143" i="16"/>
  <c r="I143" i="16"/>
  <c r="G143" i="16"/>
  <c r="BD143" i="16" s="1"/>
  <c r="BG142" i="16"/>
  <c r="BF142" i="16"/>
  <c r="BE142" i="16"/>
  <c r="BC142" i="16"/>
  <c r="K142" i="16"/>
  <c r="I142" i="16"/>
  <c r="G142" i="16"/>
  <c r="BD142" i="16" s="1"/>
  <c r="C140" i="16"/>
  <c r="BG139" i="16"/>
  <c r="BF139" i="16"/>
  <c r="BE139" i="16"/>
  <c r="BC139" i="16"/>
  <c r="K139" i="16"/>
  <c r="I139" i="16"/>
  <c r="G139" i="16"/>
  <c r="BD139" i="16" s="1"/>
  <c r="BG138" i="16"/>
  <c r="BF138" i="16"/>
  <c r="BE138" i="16"/>
  <c r="BC138" i="16"/>
  <c r="K138" i="16"/>
  <c r="I138" i="16"/>
  <c r="G138" i="16"/>
  <c r="BD138" i="16" s="1"/>
  <c r="BG137" i="16"/>
  <c r="BF137" i="16"/>
  <c r="BE137" i="16"/>
  <c r="BC137" i="16"/>
  <c r="K137" i="16"/>
  <c r="I137" i="16"/>
  <c r="G137" i="16"/>
  <c r="BD137" i="16" s="1"/>
  <c r="K136" i="16"/>
  <c r="I136" i="16"/>
  <c r="G136" i="16"/>
  <c r="BG135" i="16"/>
  <c r="BF135" i="16"/>
  <c r="BE135" i="16"/>
  <c r="BC135" i="16"/>
  <c r="K135" i="16"/>
  <c r="I135" i="16"/>
  <c r="G135" i="16"/>
  <c r="BD135" i="16" s="1"/>
  <c r="BG134" i="16"/>
  <c r="BF134" i="16"/>
  <c r="BE134" i="16"/>
  <c r="BC134" i="16"/>
  <c r="K134" i="16"/>
  <c r="I134" i="16"/>
  <c r="G134" i="16"/>
  <c r="BD134" i="16" s="1"/>
  <c r="BG133" i="16"/>
  <c r="BF133" i="16"/>
  <c r="BE133" i="16"/>
  <c r="BC133" i="16"/>
  <c r="K133" i="16"/>
  <c r="I133" i="16"/>
  <c r="G133" i="16"/>
  <c r="BD133" i="16" s="1"/>
  <c r="BG132" i="16"/>
  <c r="BF132" i="16"/>
  <c r="BE132" i="16"/>
  <c r="BC132" i="16"/>
  <c r="K132" i="16"/>
  <c r="I132" i="16"/>
  <c r="G132" i="16"/>
  <c r="BD132" i="16" s="1"/>
  <c r="BG131" i="16"/>
  <c r="BF131" i="16"/>
  <c r="BE131" i="16"/>
  <c r="BC131" i="16"/>
  <c r="K131" i="16"/>
  <c r="I131" i="16"/>
  <c r="G131" i="16"/>
  <c r="BD131" i="16" s="1"/>
  <c r="BG130" i="16"/>
  <c r="BF130" i="16"/>
  <c r="BE130" i="16"/>
  <c r="BC130" i="16"/>
  <c r="K130" i="16"/>
  <c r="I130" i="16"/>
  <c r="G130" i="16"/>
  <c r="BD130" i="16" s="1"/>
  <c r="BG129" i="16"/>
  <c r="BF129" i="16"/>
  <c r="BE129" i="16"/>
  <c r="BC129" i="16"/>
  <c r="K129" i="16"/>
  <c r="I129" i="16"/>
  <c r="G129" i="16"/>
  <c r="BD129" i="16" s="1"/>
  <c r="BG128" i="16"/>
  <c r="BF128" i="16"/>
  <c r="BE128" i="16"/>
  <c r="BC128" i="16"/>
  <c r="K128" i="16"/>
  <c r="I128" i="16"/>
  <c r="G128" i="16"/>
  <c r="BD128" i="16" s="1"/>
  <c r="BG127" i="16"/>
  <c r="BF127" i="16"/>
  <c r="BE127" i="16"/>
  <c r="BC127" i="16"/>
  <c r="K127" i="16"/>
  <c r="I127" i="16"/>
  <c r="G127" i="16"/>
  <c r="BD127" i="16" s="1"/>
  <c r="I126" i="16"/>
  <c r="G126" i="16"/>
  <c r="BG125" i="16"/>
  <c r="BF125" i="16"/>
  <c r="BE125" i="16"/>
  <c r="BC125" i="16"/>
  <c r="K125" i="16"/>
  <c r="I125" i="16"/>
  <c r="G125" i="16"/>
  <c r="BD125" i="16" s="1"/>
  <c r="BG124" i="16"/>
  <c r="BF124" i="16"/>
  <c r="BE124" i="16"/>
  <c r="BC124" i="16"/>
  <c r="K124" i="16"/>
  <c r="I124" i="16"/>
  <c r="G124" i="16"/>
  <c r="BD124" i="16" s="1"/>
  <c r="BG122" i="16"/>
  <c r="BF122" i="16"/>
  <c r="BE122" i="16"/>
  <c r="BC122" i="16"/>
  <c r="K122" i="16"/>
  <c r="I122" i="16"/>
  <c r="G122" i="16"/>
  <c r="BD122" i="16" s="1"/>
  <c r="BG121" i="16"/>
  <c r="BF121" i="16"/>
  <c r="BE121" i="16"/>
  <c r="BC121" i="16"/>
  <c r="K121" i="16"/>
  <c r="I121" i="16"/>
  <c r="G121" i="16"/>
  <c r="BD121" i="16" s="1"/>
  <c r="BG120" i="16"/>
  <c r="BF120" i="16"/>
  <c r="BE120" i="16"/>
  <c r="BC120" i="16"/>
  <c r="K120" i="16"/>
  <c r="I120" i="16"/>
  <c r="G120" i="16"/>
  <c r="BD120" i="16" s="1"/>
  <c r="BG119" i="16"/>
  <c r="BF119" i="16"/>
  <c r="BE119" i="16"/>
  <c r="BC119" i="16"/>
  <c r="K119" i="16"/>
  <c r="I119" i="16"/>
  <c r="G119" i="16"/>
  <c r="BD119" i="16" s="1"/>
  <c r="BG118" i="16"/>
  <c r="BF118" i="16"/>
  <c r="BE118" i="16"/>
  <c r="BC118" i="16"/>
  <c r="K118" i="16"/>
  <c r="I118" i="16"/>
  <c r="G118" i="16"/>
  <c r="BD118" i="16" s="1"/>
  <c r="BG117" i="16"/>
  <c r="BF117" i="16"/>
  <c r="BE117" i="16"/>
  <c r="BC117" i="16"/>
  <c r="K117" i="16"/>
  <c r="I117" i="16"/>
  <c r="G117" i="16"/>
  <c r="BD117" i="16" s="1"/>
  <c r="BG115" i="16"/>
  <c r="BF115" i="16"/>
  <c r="BE115" i="16"/>
  <c r="BC115" i="16"/>
  <c r="K115" i="16"/>
  <c r="I115" i="16"/>
  <c r="G115" i="16"/>
  <c r="BD115" i="16" s="1"/>
  <c r="BG114" i="16"/>
  <c r="BF114" i="16"/>
  <c r="BE114" i="16"/>
  <c r="BC114" i="16"/>
  <c r="K114" i="16"/>
  <c r="I114" i="16"/>
  <c r="G114" i="16"/>
  <c r="BD114" i="16" s="1"/>
  <c r="BG113" i="16"/>
  <c r="BF113" i="16"/>
  <c r="BE113" i="16"/>
  <c r="BC113" i="16"/>
  <c r="K113" i="16"/>
  <c r="I113" i="16"/>
  <c r="G113" i="16"/>
  <c r="BD113" i="16" s="1"/>
  <c r="BG112" i="16"/>
  <c r="BF112" i="16"/>
  <c r="BE112" i="16"/>
  <c r="BC112" i="16"/>
  <c r="K112" i="16"/>
  <c r="I112" i="16"/>
  <c r="G112" i="16"/>
  <c r="BD112" i="16" s="1"/>
  <c r="BG111" i="16"/>
  <c r="BF111" i="16"/>
  <c r="BE111" i="16"/>
  <c r="BC111" i="16"/>
  <c r="K111" i="16"/>
  <c r="I111" i="16"/>
  <c r="G111" i="16"/>
  <c r="BD111" i="16" s="1"/>
  <c r="BG109" i="16"/>
  <c r="BF109" i="16"/>
  <c r="BE109" i="16"/>
  <c r="BC109" i="16"/>
  <c r="K109" i="16"/>
  <c r="I109" i="16"/>
  <c r="G109" i="16"/>
  <c r="BD109" i="16" s="1"/>
  <c r="BG108" i="16"/>
  <c r="BF108" i="16"/>
  <c r="BE108" i="16"/>
  <c r="BC108" i="16"/>
  <c r="K108" i="16"/>
  <c r="I108" i="16"/>
  <c r="G108" i="16"/>
  <c r="BD108" i="16" s="1"/>
  <c r="BG107" i="16"/>
  <c r="BF107" i="16"/>
  <c r="BE107" i="16"/>
  <c r="BC107" i="16"/>
  <c r="K107" i="16"/>
  <c r="I107" i="16"/>
  <c r="G107" i="16"/>
  <c r="BD107" i="16" s="1"/>
  <c r="BG105" i="16"/>
  <c r="BF105" i="16"/>
  <c r="BE105" i="16"/>
  <c r="BC105" i="16"/>
  <c r="K105" i="16"/>
  <c r="I105" i="16"/>
  <c r="G105" i="16"/>
  <c r="BD105" i="16" s="1"/>
  <c r="BG104" i="16"/>
  <c r="BF104" i="16"/>
  <c r="BE104" i="16"/>
  <c r="BC104" i="16"/>
  <c r="K104" i="16"/>
  <c r="I104" i="16"/>
  <c r="G104" i="16"/>
  <c r="BD104" i="16" s="1"/>
  <c r="BG103" i="16"/>
  <c r="BF103" i="16"/>
  <c r="BE103" i="16"/>
  <c r="BC103" i="16"/>
  <c r="K103" i="16"/>
  <c r="I103" i="16"/>
  <c r="G103" i="16"/>
  <c r="BD103" i="16" s="1"/>
  <c r="BG102" i="16"/>
  <c r="BF102" i="16"/>
  <c r="BE102" i="16"/>
  <c r="BC102" i="16"/>
  <c r="K102" i="16"/>
  <c r="I102" i="16"/>
  <c r="G102" i="16"/>
  <c r="BD102" i="16" s="1"/>
  <c r="BG101" i="16"/>
  <c r="BF101" i="16"/>
  <c r="BE101" i="16"/>
  <c r="BC101" i="16"/>
  <c r="K101" i="16"/>
  <c r="I101" i="16"/>
  <c r="G101" i="16"/>
  <c r="BD101" i="16" s="1"/>
  <c r="BG100" i="16"/>
  <c r="BF100" i="16"/>
  <c r="BE100" i="16"/>
  <c r="BC100" i="16"/>
  <c r="K100" i="16"/>
  <c r="I100" i="16"/>
  <c r="G100" i="16"/>
  <c r="BD100" i="16" s="1"/>
  <c r="BG99" i="16"/>
  <c r="BF99" i="16"/>
  <c r="BE99" i="16"/>
  <c r="BC99" i="16"/>
  <c r="K99" i="16"/>
  <c r="I99" i="16"/>
  <c r="G99" i="16"/>
  <c r="BD99" i="16" s="1"/>
  <c r="BG98" i="16"/>
  <c r="BF98" i="16"/>
  <c r="BE98" i="16"/>
  <c r="BC98" i="16"/>
  <c r="K98" i="16"/>
  <c r="I98" i="16"/>
  <c r="G98" i="16"/>
  <c r="C95" i="16"/>
  <c r="BG94" i="16"/>
  <c r="BF94" i="16"/>
  <c r="BE94" i="16"/>
  <c r="BC94" i="16"/>
  <c r="K94" i="16"/>
  <c r="I94" i="16"/>
  <c r="G94" i="16"/>
  <c r="BD94" i="16" s="1"/>
  <c r="BG93" i="16"/>
  <c r="BF93" i="16"/>
  <c r="BE93" i="16"/>
  <c r="BC93" i="16"/>
  <c r="K93" i="16"/>
  <c r="I93" i="16"/>
  <c r="G93" i="16"/>
  <c r="BD93" i="16" s="1"/>
  <c r="BG92" i="16"/>
  <c r="BF92" i="16"/>
  <c r="BE92" i="16"/>
  <c r="BC92" i="16"/>
  <c r="K92" i="16"/>
  <c r="I92" i="16"/>
  <c r="G92" i="16"/>
  <c r="BD92" i="16" s="1"/>
  <c r="BG91" i="16"/>
  <c r="BF91" i="16"/>
  <c r="BE91" i="16"/>
  <c r="BC91" i="16"/>
  <c r="K91" i="16"/>
  <c r="I91" i="16"/>
  <c r="G91" i="16"/>
  <c r="BD91" i="16" s="1"/>
  <c r="BG90" i="16"/>
  <c r="BF90" i="16"/>
  <c r="BE90" i="16"/>
  <c r="BC90" i="16"/>
  <c r="K90" i="16"/>
  <c r="I90" i="16"/>
  <c r="G90" i="16"/>
  <c r="BD90" i="16" s="1"/>
  <c r="BG89" i="16"/>
  <c r="BF89" i="16"/>
  <c r="BE89" i="16"/>
  <c r="BC89" i="16"/>
  <c r="K89" i="16"/>
  <c r="I89" i="16"/>
  <c r="G89" i="16"/>
  <c r="BD89" i="16" s="1"/>
  <c r="BG88" i="16"/>
  <c r="BF88" i="16"/>
  <c r="BE88" i="16"/>
  <c r="BC88" i="16"/>
  <c r="K88" i="16"/>
  <c r="I88" i="16"/>
  <c r="G88" i="16"/>
  <c r="BD88" i="16" s="1"/>
  <c r="BG87" i="16"/>
  <c r="BF87" i="16"/>
  <c r="BE87" i="16"/>
  <c r="BC87" i="16"/>
  <c r="K87" i="16"/>
  <c r="I87" i="16"/>
  <c r="G87" i="16"/>
  <c r="BD87" i="16" s="1"/>
  <c r="BG86" i="16"/>
  <c r="BF86" i="16"/>
  <c r="BE86" i="16"/>
  <c r="BC86" i="16"/>
  <c r="K86" i="16"/>
  <c r="I86" i="16"/>
  <c r="G86" i="16"/>
  <c r="BD86" i="16" s="1"/>
  <c r="BG85" i="16"/>
  <c r="BF85" i="16"/>
  <c r="BE85" i="16"/>
  <c r="BC85" i="16"/>
  <c r="K85" i="16"/>
  <c r="I85" i="16"/>
  <c r="G85" i="16"/>
  <c r="BD85" i="16" s="1"/>
  <c r="BG84" i="16"/>
  <c r="BF84" i="16"/>
  <c r="BE84" i="16"/>
  <c r="BC84" i="16"/>
  <c r="K84" i="16"/>
  <c r="I84" i="16"/>
  <c r="G84" i="16"/>
  <c r="BD84" i="16" s="1"/>
  <c r="BG83" i="16"/>
  <c r="BF83" i="16"/>
  <c r="BE83" i="16"/>
  <c r="BC83" i="16"/>
  <c r="K83" i="16"/>
  <c r="I83" i="16"/>
  <c r="G83" i="16"/>
  <c r="BD83" i="16" s="1"/>
  <c r="BG82" i="16"/>
  <c r="BF82" i="16"/>
  <c r="BE82" i="16"/>
  <c r="BC82" i="16"/>
  <c r="K82" i="16"/>
  <c r="I82" i="16"/>
  <c r="G82" i="16"/>
  <c r="BD82" i="16" s="1"/>
  <c r="BG81" i="16"/>
  <c r="BF81" i="16"/>
  <c r="BE81" i="16"/>
  <c r="BC81" i="16"/>
  <c r="K81" i="16"/>
  <c r="I81" i="16"/>
  <c r="G81" i="16"/>
  <c r="BD81" i="16" s="1"/>
  <c r="BG80" i="16"/>
  <c r="BF80" i="16"/>
  <c r="BE80" i="16"/>
  <c r="BC80" i="16"/>
  <c r="K80" i="16"/>
  <c r="I80" i="16"/>
  <c r="G80" i="16"/>
  <c r="BD80" i="16" s="1"/>
  <c r="BG79" i="16"/>
  <c r="BF79" i="16"/>
  <c r="BE79" i="16"/>
  <c r="BC79" i="16"/>
  <c r="K79" i="16"/>
  <c r="I79" i="16"/>
  <c r="G79" i="16"/>
  <c r="BD79" i="16" s="1"/>
  <c r="BG78" i="16"/>
  <c r="BF78" i="16"/>
  <c r="BE78" i="16"/>
  <c r="BC78" i="16"/>
  <c r="K78" i="16"/>
  <c r="I78" i="16"/>
  <c r="G78" i="16"/>
  <c r="BD78" i="16" s="1"/>
  <c r="BG77" i="16"/>
  <c r="BF77" i="16"/>
  <c r="BE77" i="16"/>
  <c r="BC77" i="16"/>
  <c r="K77" i="16"/>
  <c r="I77" i="16"/>
  <c r="G77" i="16"/>
  <c r="BD77" i="16" s="1"/>
  <c r="BG76" i="16"/>
  <c r="BF76" i="16"/>
  <c r="BE76" i="16"/>
  <c r="BC76" i="16"/>
  <c r="K76" i="16"/>
  <c r="I76" i="16"/>
  <c r="G76" i="16"/>
  <c r="BD76" i="16" s="1"/>
  <c r="BG75" i="16"/>
  <c r="BF75" i="16"/>
  <c r="BE75" i="16"/>
  <c r="BC75" i="16"/>
  <c r="K75" i="16"/>
  <c r="I75" i="16"/>
  <c r="G75" i="16"/>
  <c r="BD75" i="16" s="1"/>
  <c r="BG74" i="16"/>
  <c r="BF74" i="16"/>
  <c r="BE74" i="16"/>
  <c r="BC74" i="16"/>
  <c r="K74" i="16"/>
  <c r="I74" i="16"/>
  <c r="G74" i="16"/>
  <c r="BD74" i="16" s="1"/>
  <c r="BG73" i="16"/>
  <c r="BF73" i="16"/>
  <c r="BE73" i="16"/>
  <c r="BC73" i="16"/>
  <c r="K73" i="16"/>
  <c r="I73" i="16"/>
  <c r="G73" i="16"/>
  <c r="BD73" i="16" s="1"/>
  <c r="BG72" i="16"/>
  <c r="BF72" i="16"/>
  <c r="BE72" i="16"/>
  <c r="BC72" i="16"/>
  <c r="K72" i="16"/>
  <c r="I72" i="16"/>
  <c r="G72" i="16"/>
  <c r="BD72" i="16" s="1"/>
  <c r="BG71" i="16"/>
  <c r="BF71" i="16"/>
  <c r="BE71" i="16"/>
  <c r="BC71" i="16"/>
  <c r="K71" i="16"/>
  <c r="I71" i="16"/>
  <c r="G71" i="16"/>
  <c r="BD71" i="16" s="1"/>
  <c r="BG70" i="16"/>
  <c r="BF70" i="16"/>
  <c r="BE70" i="16"/>
  <c r="BC70" i="16"/>
  <c r="K70" i="16"/>
  <c r="I70" i="16"/>
  <c r="G70" i="16"/>
  <c r="BD70" i="16" s="1"/>
  <c r="BG69" i="16"/>
  <c r="BF69" i="16"/>
  <c r="BE69" i="16"/>
  <c r="BC69" i="16"/>
  <c r="K69" i="16"/>
  <c r="I69" i="16"/>
  <c r="G69" i="16"/>
  <c r="BD69" i="16" s="1"/>
  <c r="BG68" i="16"/>
  <c r="BF68" i="16"/>
  <c r="BE68" i="16"/>
  <c r="BC68" i="16"/>
  <c r="K68" i="16"/>
  <c r="I68" i="16"/>
  <c r="G68" i="16"/>
  <c r="BD68" i="16" s="1"/>
  <c r="BG67" i="16"/>
  <c r="BF67" i="16"/>
  <c r="BE67" i="16"/>
  <c r="BC67" i="16"/>
  <c r="K67" i="16"/>
  <c r="I67" i="16"/>
  <c r="G67" i="16"/>
  <c r="BD67" i="16" s="1"/>
  <c r="BG66" i="16"/>
  <c r="BF66" i="16"/>
  <c r="BE66" i="16"/>
  <c r="BC66" i="16"/>
  <c r="K66" i="16"/>
  <c r="I66" i="16"/>
  <c r="G66" i="16"/>
  <c r="BD66" i="16" s="1"/>
  <c r="BG65" i="16"/>
  <c r="BF65" i="16"/>
  <c r="BE65" i="16"/>
  <c r="BC65" i="16"/>
  <c r="K65" i="16"/>
  <c r="I65" i="16"/>
  <c r="G65" i="16"/>
  <c r="BD65" i="16" s="1"/>
  <c r="BG64" i="16"/>
  <c r="BF64" i="16"/>
  <c r="BE64" i="16"/>
  <c r="BC64" i="16"/>
  <c r="K64" i="16"/>
  <c r="I64" i="16"/>
  <c r="G64" i="16"/>
  <c r="BD64" i="16" s="1"/>
  <c r="BG63" i="16"/>
  <c r="BF63" i="16"/>
  <c r="BE63" i="16"/>
  <c r="BC63" i="16"/>
  <c r="K63" i="16"/>
  <c r="I63" i="16"/>
  <c r="G63" i="16"/>
  <c r="BD63" i="16" s="1"/>
  <c r="BG62" i="16"/>
  <c r="BF62" i="16"/>
  <c r="BE62" i="16"/>
  <c r="BC62" i="16"/>
  <c r="K62" i="16"/>
  <c r="I62" i="16"/>
  <c r="G62" i="16"/>
  <c r="BD62" i="16" s="1"/>
  <c r="BG61" i="16"/>
  <c r="BF61" i="16"/>
  <c r="BE61" i="16"/>
  <c r="BC61" i="16"/>
  <c r="K61" i="16"/>
  <c r="I61" i="16"/>
  <c r="G61" i="16"/>
  <c r="BD61" i="16" s="1"/>
  <c r="BG60" i="16"/>
  <c r="BF60" i="16"/>
  <c r="BE60" i="16"/>
  <c r="BC60" i="16"/>
  <c r="K60" i="16"/>
  <c r="I60" i="16"/>
  <c r="G60" i="16"/>
  <c r="BD60" i="16" s="1"/>
  <c r="BG59" i="16"/>
  <c r="BF59" i="16"/>
  <c r="BE59" i="16"/>
  <c r="BC59" i="16"/>
  <c r="K59" i="16"/>
  <c r="I59" i="16"/>
  <c r="G59" i="16"/>
  <c r="BD59" i="16" s="1"/>
  <c r="BG58" i="16"/>
  <c r="BF58" i="16"/>
  <c r="BE58" i="16"/>
  <c r="BC58" i="16"/>
  <c r="K58" i="16"/>
  <c r="I58" i="16"/>
  <c r="G58" i="16"/>
  <c r="BD58" i="16" s="1"/>
  <c r="BG57" i="16"/>
  <c r="BF57" i="16"/>
  <c r="BE57" i="16"/>
  <c r="BC57" i="16"/>
  <c r="K57" i="16"/>
  <c r="I57" i="16"/>
  <c r="G57" i="16"/>
  <c r="C52" i="16"/>
  <c r="BG51" i="16"/>
  <c r="BF51" i="16"/>
  <c r="BE51" i="16"/>
  <c r="BC51" i="16"/>
  <c r="K51" i="16"/>
  <c r="I51" i="16"/>
  <c r="G51" i="16"/>
  <c r="BD51" i="16" s="1"/>
  <c r="BG50" i="16"/>
  <c r="BF50" i="16"/>
  <c r="BE50" i="16"/>
  <c r="BC50" i="16"/>
  <c r="K50" i="16"/>
  <c r="I50" i="16"/>
  <c r="G50" i="16"/>
  <c r="BD50" i="16" s="1"/>
  <c r="BG49" i="16"/>
  <c r="BF49" i="16"/>
  <c r="BE49" i="16"/>
  <c r="BC49" i="16"/>
  <c r="K49" i="16"/>
  <c r="I49" i="16"/>
  <c r="G49" i="16"/>
  <c r="BD49" i="16" s="1"/>
  <c r="BG48" i="16"/>
  <c r="BF48" i="16"/>
  <c r="BE48" i="16"/>
  <c r="BC48" i="16"/>
  <c r="K48" i="16"/>
  <c r="I48" i="16"/>
  <c r="G48" i="16"/>
  <c r="BD48" i="16" s="1"/>
  <c r="BG47" i="16"/>
  <c r="BF47" i="16"/>
  <c r="BE47" i="16"/>
  <c r="BC47" i="16"/>
  <c r="K47" i="16"/>
  <c r="I47" i="16"/>
  <c r="G47" i="16"/>
  <c r="BD47" i="16" s="1"/>
  <c r="BG46" i="16"/>
  <c r="BF46" i="16"/>
  <c r="BE46" i="16"/>
  <c r="BC46" i="16"/>
  <c r="K46" i="16"/>
  <c r="I46" i="16"/>
  <c r="G46" i="16"/>
  <c r="BD46" i="16" s="1"/>
  <c r="BG45" i="16"/>
  <c r="BF45" i="16"/>
  <c r="BE45" i="16"/>
  <c r="BC45" i="16"/>
  <c r="K45" i="16"/>
  <c r="I45" i="16"/>
  <c r="G45" i="16"/>
  <c r="BD45" i="16" s="1"/>
  <c r="BG44" i="16"/>
  <c r="BF44" i="16"/>
  <c r="BE44" i="16"/>
  <c r="BC44" i="16"/>
  <c r="K44" i="16"/>
  <c r="I44" i="16"/>
  <c r="G44" i="16"/>
  <c r="BD44" i="16" s="1"/>
  <c r="BG43" i="16"/>
  <c r="BF43" i="16"/>
  <c r="BE43" i="16"/>
  <c r="BC43" i="16"/>
  <c r="K43" i="16"/>
  <c r="I43" i="16"/>
  <c r="G43" i="16"/>
  <c r="BD43" i="16" s="1"/>
  <c r="BG42" i="16"/>
  <c r="BF42" i="16"/>
  <c r="BE42" i="16"/>
  <c r="BC42" i="16"/>
  <c r="K42" i="16"/>
  <c r="I42" i="16"/>
  <c r="G42" i="16"/>
  <c r="BD42" i="16" s="1"/>
  <c r="BG41" i="16"/>
  <c r="BF41" i="16"/>
  <c r="BE41" i="16"/>
  <c r="BC41" i="16"/>
  <c r="K41" i="16"/>
  <c r="I41" i="16"/>
  <c r="G41" i="16"/>
  <c r="BD41" i="16" s="1"/>
  <c r="BG40" i="16"/>
  <c r="BF40" i="16"/>
  <c r="BE40" i="16"/>
  <c r="BC40" i="16"/>
  <c r="K40" i="16"/>
  <c r="I40" i="16"/>
  <c r="G40" i="16"/>
  <c r="BD40" i="16" s="1"/>
  <c r="BG39" i="16"/>
  <c r="BF39" i="16"/>
  <c r="BE39" i="16"/>
  <c r="BC39" i="16"/>
  <c r="K39" i="16"/>
  <c r="I39" i="16"/>
  <c r="G39" i="16"/>
  <c r="BD39" i="16" s="1"/>
  <c r="BG38" i="16"/>
  <c r="BF38" i="16"/>
  <c r="BE38" i="16"/>
  <c r="BC38" i="16"/>
  <c r="K38" i="16"/>
  <c r="I38" i="16"/>
  <c r="G38" i="16"/>
  <c r="BD38" i="16" s="1"/>
  <c r="BG37" i="16"/>
  <c r="BF37" i="16"/>
  <c r="BE37" i="16"/>
  <c r="BC37" i="16"/>
  <c r="K37" i="16"/>
  <c r="I37" i="16"/>
  <c r="G37" i="16"/>
  <c r="BD37" i="16" s="1"/>
  <c r="BG36" i="16"/>
  <c r="BF36" i="16"/>
  <c r="BE36" i="16"/>
  <c r="BC36" i="16"/>
  <c r="K36" i="16"/>
  <c r="I36" i="16"/>
  <c r="G36" i="16"/>
  <c r="BD36" i="16" s="1"/>
  <c r="BG35" i="16"/>
  <c r="BF35" i="16"/>
  <c r="BE35" i="16"/>
  <c r="BC35" i="16"/>
  <c r="K35" i="16"/>
  <c r="I35" i="16"/>
  <c r="G35" i="16"/>
  <c r="BD35" i="16" s="1"/>
  <c r="BG34" i="16"/>
  <c r="BF34" i="16"/>
  <c r="BE34" i="16"/>
  <c r="BC34" i="16"/>
  <c r="K34" i="16"/>
  <c r="I34" i="16"/>
  <c r="G34" i="16"/>
  <c r="BD34" i="16" s="1"/>
  <c r="BG33" i="16"/>
  <c r="BF33" i="16"/>
  <c r="BE33" i="16"/>
  <c r="BC33" i="16"/>
  <c r="K33" i="16"/>
  <c r="I33" i="16"/>
  <c r="G33" i="16"/>
  <c r="BD33" i="16" s="1"/>
  <c r="BG32" i="16"/>
  <c r="BF32" i="16"/>
  <c r="BE32" i="16"/>
  <c r="BC32" i="16"/>
  <c r="K32" i="16"/>
  <c r="I32" i="16"/>
  <c r="G32" i="16"/>
  <c r="BD32" i="16" s="1"/>
  <c r="BG31" i="16"/>
  <c r="BF31" i="16"/>
  <c r="BE31" i="16"/>
  <c r="BC31" i="16"/>
  <c r="K31" i="16"/>
  <c r="I31" i="16"/>
  <c r="G31" i="16"/>
  <c r="BD31" i="16" s="1"/>
  <c r="C26" i="16"/>
  <c r="BG25" i="16"/>
  <c r="BF25" i="16"/>
  <c r="BE25" i="16"/>
  <c r="BC25" i="16"/>
  <c r="K25" i="16"/>
  <c r="I25" i="16"/>
  <c r="G25" i="16"/>
  <c r="BD25" i="16" s="1"/>
  <c r="BG24" i="16"/>
  <c r="BF24" i="16"/>
  <c r="BE24" i="16"/>
  <c r="BC24" i="16"/>
  <c r="K24" i="16"/>
  <c r="I24" i="16"/>
  <c r="G24" i="16"/>
  <c r="BD24" i="16" s="1"/>
  <c r="BG23" i="16"/>
  <c r="BF23" i="16"/>
  <c r="BE23" i="16"/>
  <c r="BC23" i="16"/>
  <c r="K23" i="16"/>
  <c r="I23" i="16"/>
  <c r="G23" i="16"/>
  <c r="BD23" i="16" s="1"/>
  <c r="BG22" i="16"/>
  <c r="BF22" i="16"/>
  <c r="BE22" i="16"/>
  <c r="BC22" i="16"/>
  <c r="K22" i="16"/>
  <c r="I22" i="16"/>
  <c r="G22" i="16"/>
  <c r="BD22" i="16" s="1"/>
  <c r="BG21" i="16"/>
  <c r="BF21" i="16"/>
  <c r="BE21" i="16"/>
  <c r="BC21" i="16"/>
  <c r="K21" i="16"/>
  <c r="I21" i="16"/>
  <c r="G21" i="16"/>
  <c r="BD21" i="16" s="1"/>
  <c r="BG19" i="16"/>
  <c r="BF19" i="16"/>
  <c r="BE19" i="16"/>
  <c r="BC19" i="16"/>
  <c r="K19" i="16"/>
  <c r="I19" i="16"/>
  <c r="G19" i="16"/>
  <c r="BD19" i="16" s="1"/>
  <c r="BG9" i="16"/>
  <c r="BF9" i="16"/>
  <c r="BE9" i="16"/>
  <c r="BC9" i="16"/>
  <c r="K9" i="16"/>
  <c r="I9" i="16"/>
  <c r="G9" i="16"/>
  <c r="D19" i="8" l="1"/>
  <c r="E19" i="8" s="1"/>
  <c r="D23" i="8"/>
  <c r="E23" i="8" s="1"/>
  <c r="D17" i="8"/>
  <c r="E17" i="8" s="1"/>
  <c r="E10" i="2"/>
  <c r="G140" i="16"/>
  <c r="F12" i="15" s="1"/>
  <c r="F23" i="9"/>
  <c r="G26" i="16"/>
  <c r="F9" i="15" s="1"/>
  <c r="BE26" i="16"/>
  <c r="BG95" i="16"/>
  <c r="I26" i="16"/>
  <c r="BC95" i="16"/>
  <c r="BE145" i="16"/>
  <c r="BE52" i="16"/>
  <c r="I145" i="16"/>
  <c r="BF145" i="16"/>
  <c r="BF26" i="16"/>
  <c r="I52" i="16"/>
  <c r="BF52" i="16"/>
  <c r="G95" i="16"/>
  <c r="F11" i="15" s="1"/>
  <c r="BE95" i="16"/>
  <c r="BF140" i="16"/>
  <c r="BC145" i="16"/>
  <c r="K26" i="16"/>
  <c r="BG26" i="16"/>
  <c r="K52" i="16"/>
  <c r="BG52" i="16"/>
  <c r="I95" i="16"/>
  <c r="BF95" i="16"/>
  <c r="K140" i="16"/>
  <c r="BG140" i="16"/>
  <c r="BE140" i="16"/>
  <c r="G52" i="16"/>
  <c r="F10" i="15" s="1"/>
  <c r="BC26" i="16"/>
  <c r="BC52" i="16"/>
  <c r="K95" i="16"/>
  <c r="BC140" i="16"/>
  <c r="I140" i="16"/>
  <c r="K145" i="16"/>
  <c r="BG145" i="16"/>
  <c r="G145" i="16"/>
  <c r="F13" i="15" s="1"/>
  <c r="BD145" i="16"/>
  <c r="BD52" i="16"/>
  <c r="BD57" i="16"/>
  <c r="BD95" i="16" s="1"/>
  <c r="BD98" i="16"/>
  <c r="BD140" i="16" s="1"/>
  <c r="BD9" i="16"/>
  <c r="BD26" i="16" s="1"/>
  <c r="D18" i="8" l="1"/>
  <c r="E18" i="8" s="1"/>
  <c r="F10" i="2"/>
  <c r="K10" i="2" s="1"/>
  <c r="D21" i="8" l="1"/>
  <c r="D25" i="8" s="1"/>
  <c r="E21" i="8" l="1"/>
  <c r="H30" i="8"/>
  <c r="E25" i="8"/>
  <c r="I30" i="8" l="1"/>
  <c r="H33" i="8"/>
  <c r="H36" i="8" l="1"/>
  <c r="I36" i="8" s="1"/>
  <c r="I33" i="8"/>
  <c r="J90" i="13"/>
  <c r="I89" i="13"/>
  <c r="G89" i="13"/>
  <c r="I88" i="13"/>
  <c r="G88" i="13"/>
  <c r="I87" i="13"/>
  <c r="G87" i="13"/>
  <c r="I86" i="13"/>
  <c r="G86" i="13"/>
  <c r="I85" i="13"/>
  <c r="G85" i="13"/>
  <c r="I84" i="13"/>
  <c r="G84" i="13"/>
  <c r="I83" i="13"/>
  <c r="G83" i="13"/>
  <c r="I82" i="13"/>
  <c r="G82" i="13"/>
  <c r="I81" i="13"/>
  <c r="G81" i="13"/>
  <c r="I80" i="13"/>
  <c r="G80" i="13"/>
  <c r="I79" i="13"/>
  <c r="G79" i="13"/>
  <c r="I78" i="13"/>
  <c r="G78" i="13"/>
  <c r="I77" i="13"/>
  <c r="G77" i="13"/>
  <c r="I76" i="13"/>
  <c r="G76" i="13"/>
  <c r="I75" i="13"/>
  <c r="G75" i="13"/>
  <c r="I74" i="13"/>
  <c r="G74" i="13"/>
  <c r="I73" i="13"/>
  <c r="G73" i="13"/>
  <c r="I72" i="13"/>
  <c r="G72" i="13"/>
  <c r="I71" i="13"/>
  <c r="G71" i="13"/>
  <c r="I70" i="13"/>
  <c r="G70" i="13"/>
  <c r="I69" i="13"/>
  <c r="G69" i="13"/>
  <c r="I68" i="13"/>
  <c r="G68" i="13"/>
  <c r="I67" i="13"/>
  <c r="G67" i="13"/>
  <c r="I66" i="13"/>
  <c r="G66" i="13"/>
  <c r="I65" i="13"/>
  <c r="G65" i="13"/>
  <c r="I64" i="13"/>
  <c r="G64" i="13"/>
  <c r="I63" i="13"/>
  <c r="G63" i="13"/>
  <c r="I62" i="13"/>
  <c r="G62" i="13"/>
  <c r="I61" i="13"/>
  <c r="G61" i="13"/>
  <c r="J58" i="13"/>
  <c r="I57" i="13"/>
  <c r="G57" i="13"/>
  <c r="I56" i="13"/>
  <c r="G56" i="13"/>
  <c r="I55" i="13"/>
  <c r="G55" i="13"/>
  <c r="I54" i="13"/>
  <c r="G54" i="13"/>
  <c r="I53" i="13"/>
  <c r="G53" i="13"/>
  <c r="I52" i="13"/>
  <c r="G52" i="13"/>
  <c r="I51" i="13"/>
  <c r="G51" i="13"/>
  <c r="I50" i="13"/>
  <c r="G50" i="13"/>
  <c r="I49" i="13"/>
  <c r="G49" i="13"/>
  <c r="I48" i="13"/>
  <c r="G48" i="13"/>
  <c r="I47" i="13"/>
  <c r="G47" i="13"/>
  <c r="I46" i="13"/>
  <c r="G46" i="13"/>
  <c r="I45" i="13"/>
  <c r="G45" i="13"/>
  <c r="I44" i="13"/>
  <c r="G44" i="13"/>
  <c r="I43" i="13"/>
  <c r="G43" i="13"/>
  <c r="I42" i="13"/>
  <c r="G42" i="13"/>
  <c r="I41" i="13"/>
  <c r="G41" i="13"/>
  <c r="I40" i="13"/>
  <c r="G40" i="13"/>
  <c r="I39" i="13"/>
  <c r="G39" i="13"/>
  <c r="I38" i="13"/>
  <c r="G38" i="13"/>
  <c r="I37" i="13"/>
  <c r="G37" i="13"/>
  <c r="I36" i="13"/>
  <c r="G36" i="13"/>
  <c r="I35" i="13"/>
  <c r="G35" i="13"/>
  <c r="I34" i="13"/>
  <c r="G34" i="13"/>
  <c r="I33" i="13"/>
  <c r="G33" i="13"/>
  <c r="I32" i="13"/>
  <c r="G32" i="13"/>
  <c r="I31" i="13"/>
  <c r="G31" i="13"/>
  <c r="I29" i="13"/>
  <c r="G29" i="13"/>
  <c r="J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I9" i="13"/>
  <c r="G9" i="13"/>
  <c r="H105" i="3"/>
  <c r="H104" i="3"/>
  <c r="H2" i="3"/>
  <c r="AP59" i="7"/>
  <c r="AN59" i="7"/>
  <c r="AF59" i="7"/>
  <c r="AR58" i="7"/>
  <c r="AK58" i="7"/>
  <c r="AF58" i="7"/>
  <c r="T58" i="7"/>
  <c r="P58" i="7"/>
  <c r="D58" i="7"/>
  <c r="AR57" i="7"/>
  <c r="AK57" i="7"/>
  <c r="AF57" i="7"/>
  <c r="T57" i="7"/>
  <c r="AR56" i="7"/>
  <c r="AK56" i="7"/>
  <c r="AF56" i="7"/>
  <c r="AE56" i="7"/>
  <c r="AD56" i="7"/>
  <c r="AB56" i="7"/>
  <c r="AA56" i="7"/>
  <c r="U56" i="7"/>
  <c r="T56" i="7"/>
  <c r="I56" i="7"/>
  <c r="AR55" i="7"/>
  <c r="AK55" i="7"/>
  <c r="AF55" i="7"/>
  <c r="AE55" i="7"/>
  <c r="AD55" i="7"/>
  <c r="X55" i="7"/>
  <c r="S55" i="7"/>
  <c r="W55" i="7" s="1"/>
  <c r="I55" i="7"/>
  <c r="AR54" i="7"/>
  <c r="AK54" i="7"/>
  <c r="AF54" i="7"/>
  <c r="AE54" i="7"/>
  <c r="AD54" i="7"/>
  <c r="Y54" i="7"/>
  <c r="W54" i="7"/>
  <c r="S54" i="7"/>
  <c r="I54" i="7"/>
  <c r="AR53" i="7"/>
  <c r="AK53" i="7"/>
  <c r="AF53" i="7"/>
  <c r="AE53" i="7"/>
  <c r="AD53" i="7"/>
  <c r="Y53" i="7"/>
  <c r="S53" i="7"/>
  <c r="W53" i="7" s="1"/>
  <c r="I53" i="7"/>
  <c r="AQ52" i="7"/>
  <c r="AM52" i="7"/>
  <c r="AF52" i="7"/>
  <c r="Z52" i="7"/>
  <c r="S52" i="7"/>
  <c r="W52" i="7" s="1"/>
  <c r="M52" i="7"/>
  <c r="AQ51" i="7"/>
  <c r="AM51" i="7"/>
  <c r="AF51" i="7"/>
  <c r="Z51" i="7"/>
  <c r="S51" i="7"/>
  <c r="W51" i="7" s="1"/>
  <c r="M51" i="7"/>
  <c r="AR50" i="7"/>
  <c r="AK50" i="7"/>
  <c r="AF50" i="7"/>
  <c r="AB50" i="7"/>
  <c r="AA50" i="7"/>
  <c r="Z50" i="7"/>
  <c r="W50" i="7"/>
  <c r="S50" i="7"/>
  <c r="AR49" i="7"/>
  <c r="AK49" i="7"/>
  <c r="AF49" i="7"/>
  <c r="AE49" i="7"/>
  <c r="AD49" i="7"/>
  <c r="AB49" i="7"/>
  <c r="AA49" i="7"/>
  <c r="U49" i="7"/>
  <c r="T49" i="7"/>
  <c r="AR48" i="7"/>
  <c r="AK48" i="7"/>
  <c r="AF48" i="7"/>
  <c r="AE48" i="7"/>
  <c r="AD48" i="7"/>
  <c r="AB48" i="7"/>
  <c r="AA48" i="7"/>
  <c r="Y48" i="7"/>
  <c r="Y7" i="7" s="1"/>
  <c r="W48" i="7"/>
  <c r="S48" i="7"/>
  <c r="I48" i="7"/>
  <c r="AR47" i="7"/>
  <c r="AK47" i="7"/>
  <c r="AF47" i="7"/>
  <c r="AE47" i="7"/>
  <c r="AD47" i="7"/>
  <c r="Y47" i="7"/>
  <c r="S47" i="7"/>
  <c r="W47" i="7" s="1"/>
  <c r="I47" i="7"/>
  <c r="AR46" i="7"/>
  <c r="AK46" i="7"/>
  <c r="AF46" i="7"/>
  <c r="AE46" i="7"/>
  <c r="AD46" i="7"/>
  <c r="V46" i="7"/>
  <c r="V7" i="7" s="1"/>
  <c r="I46" i="7"/>
  <c r="AR45" i="7"/>
  <c r="AK45" i="7"/>
  <c r="AF45" i="7"/>
  <c r="AE45" i="7"/>
  <c r="AD45" i="7"/>
  <c r="AB45" i="7"/>
  <c r="AA45" i="7"/>
  <c r="S45" i="7"/>
  <c r="W45" i="7" s="1"/>
  <c r="I45" i="7"/>
  <c r="AR44" i="7"/>
  <c r="AK44" i="7"/>
  <c r="AF44" i="7"/>
  <c r="AE44" i="7"/>
  <c r="AD44" i="7"/>
  <c r="AB44" i="7"/>
  <c r="AA44" i="7"/>
  <c r="Y44" i="7"/>
  <c r="S44" i="7"/>
  <c r="W44" i="7" s="1"/>
  <c r="I44" i="7"/>
  <c r="D44" i="7"/>
  <c r="AR43" i="7"/>
  <c r="AK43" i="7"/>
  <c r="AF43" i="7"/>
  <c r="AE43" i="7"/>
  <c r="AD43" i="7"/>
  <c r="I43" i="7"/>
  <c r="AP42" i="7"/>
  <c r="AN42" i="7"/>
  <c r="AF42" i="7"/>
  <c r="AB42" i="7"/>
  <c r="AA42" i="7"/>
  <c r="Z42" i="7"/>
  <c r="W42" i="7"/>
  <c r="S42" i="7"/>
  <c r="AQ41" i="7"/>
  <c r="AM41" i="7"/>
  <c r="AF41" i="7"/>
  <c r="Z41" i="7"/>
  <c r="S41" i="7"/>
  <c r="W41" i="7" s="1"/>
  <c r="M41" i="7"/>
  <c r="AR40" i="7"/>
  <c r="AK40" i="7"/>
  <c r="AF40" i="7"/>
  <c r="AE40" i="7"/>
  <c r="AD40" i="7"/>
  <c r="U40" i="7"/>
  <c r="T40" i="7"/>
  <c r="I40" i="7"/>
  <c r="AR39" i="7"/>
  <c r="AK39" i="7"/>
  <c r="AE39" i="7"/>
  <c r="AD39" i="7"/>
  <c r="AB39" i="7"/>
  <c r="AA39" i="7"/>
  <c r="Y39" i="7"/>
  <c r="W39" i="7"/>
  <c r="S39" i="7"/>
  <c r="Q39" i="7"/>
  <c r="P39" i="7"/>
  <c r="AF39" i="7" s="1"/>
  <c r="E39" i="7"/>
  <c r="D39" i="7"/>
  <c r="AR38" i="7"/>
  <c r="AK38" i="7"/>
  <c r="AF38" i="7"/>
  <c r="AE38" i="7"/>
  <c r="AD38" i="7"/>
  <c r="AB38" i="7"/>
  <c r="AA38" i="7"/>
  <c r="Y38" i="7"/>
  <c r="S38" i="7"/>
  <c r="W38" i="7" s="1"/>
  <c r="I38" i="7"/>
  <c r="D38" i="7"/>
  <c r="AR37" i="7"/>
  <c r="AK37" i="7"/>
  <c r="AF37" i="7"/>
  <c r="AE37" i="7"/>
  <c r="AD37" i="7"/>
  <c r="I37" i="7"/>
  <c r="AM36" i="7"/>
  <c r="AF36" i="7"/>
  <c r="Z36" i="7"/>
  <c r="S36" i="7"/>
  <c r="W36" i="7" s="1"/>
  <c r="M36" i="7"/>
  <c r="AQ35" i="7"/>
  <c r="AP35" i="7"/>
  <c r="AN35" i="7"/>
  <c r="AF35" i="7"/>
  <c r="AB35" i="7"/>
  <c r="AA35" i="7"/>
  <c r="Z35" i="7"/>
  <c r="W35" i="7"/>
  <c r="S35" i="7"/>
  <c r="AR34" i="7"/>
  <c r="AK34" i="7"/>
  <c r="AF34" i="7"/>
  <c r="AE34" i="7"/>
  <c r="AD34" i="7"/>
  <c r="U34" i="7"/>
  <c r="T34" i="7"/>
  <c r="I34" i="7"/>
  <c r="AR33" i="7"/>
  <c r="AK33" i="7"/>
  <c r="AF33" i="7"/>
  <c r="AE33" i="7"/>
  <c r="AD33" i="7"/>
  <c r="I33" i="7"/>
  <c r="AQ32" i="7"/>
  <c r="AM32" i="7"/>
  <c r="AF32" i="7"/>
  <c r="Z32" i="7"/>
  <c r="W32" i="7"/>
  <c r="S32" i="7"/>
  <c r="M32" i="7"/>
  <c r="AP31" i="7"/>
  <c r="AN31" i="7"/>
  <c r="AF31" i="7"/>
  <c r="AB31" i="7"/>
  <c r="AA31" i="7"/>
  <c r="Z31" i="7"/>
  <c r="S31" i="7"/>
  <c r="W31" i="7" s="1"/>
  <c r="AR30" i="7"/>
  <c r="AK30" i="7"/>
  <c r="AF30" i="7"/>
  <c r="AE30" i="7"/>
  <c r="AD30" i="7"/>
  <c r="U30" i="7"/>
  <c r="T30" i="7"/>
  <c r="I30" i="7"/>
  <c r="AR29" i="7"/>
  <c r="AK29" i="7"/>
  <c r="AF29" i="7"/>
  <c r="AE29" i="7"/>
  <c r="AD29" i="7"/>
  <c r="AB29" i="7"/>
  <c r="AA29" i="7"/>
  <c r="Y29" i="7"/>
  <c r="S29" i="7"/>
  <c r="W29" i="7" s="1"/>
  <c r="I29" i="7"/>
  <c r="D29" i="7"/>
  <c r="AR28" i="7"/>
  <c r="AK28" i="7"/>
  <c r="AF28" i="7"/>
  <c r="AE28" i="7"/>
  <c r="AD28" i="7"/>
  <c r="AB28" i="7"/>
  <c r="AA28" i="7"/>
  <c r="Y28" i="7"/>
  <c r="S28" i="7"/>
  <c r="W28" i="7" s="1"/>
  <c r="I28" i="7"/>
  <c r="D28" i="7"/>
  <c r="AR27" i="7"/>
  <c r="AK27" i="7"/>
  <c r="AF27" i="7"/>
  <c r="AE27" i="7"/>
  <c r="AD27" i="7"/>
  <c r="I27" i="7"/>
  <c r="AP26" i="7"/>
  <c r="AN26" i="7"/>
  <c r="AF26" i="7"/>
  <c r="AB26" i="7"/>
  <c r="AA26" i="7"/>
  <c r="Z26" i="7"/>
  <c r="S26" i="7"/>
  <c r="W26" i="7" s="1"/>
  <c r="AQ25" i="7"/>
  <c r="AQ7" i="7" s="1"/>
  <c r="AM25" i="7"/>
  <c r="AF25" i="7"/>
  <c r="Z25" i="7"/>
  <c r="W25" i="7"/>
  <c r="S25" i="7"/>
  <c r="M25" i="7"/>
  <c r="AR24" i="7"/>
  <c r="AK24" i="7"/>
  <c r="AF24" i="7"/>
  <c r="AE24" i="7"/>
  <c r="AD24" i="7"/>
  <c r="U24" i="7"/>
  <c r="T24" i="7"/>
  <c r="I24" i="7"/>
  <c r="AR23" i="7"/>
  <c r="AK23" i="7"/>
  <c r="AF23" i="7"/>
  <c r="AE23" i="7"/>
  <c r="AD23" i="7"/>
  <c r="AB23" i="7"/>
  <c r="AA23" i="7"/>
  <c r="I23" i="7"/>
  <c r="AP22" i="7"/>
  <c r="AN22" i="7"/>
  <c r="AF22" i="7"/>
  <c r="AB22" i="7"/>
  <c r="AA22" i="7"/>
  <c r="Z22" i="7"/>
  <c r="W22" i="7"/>
  <c r="S22" i="7"/>
  <c r="AQ21" i="7"/>
  <c r="AM21" i="7"/>
  <c r="AM7" i="7" s="1"/>
  <c r="AF21" i="7"/>
  <c r="Z21" i="7"/>
  <c r="S21" i="7"/>
  <c r="W21" i="7" s="1"/>
  <c r="M21" i="7"/>
  <c r="AR20" i="7"/>
  <c r="AK20" i="7"/>
  <c r="AF20" i="7"/>
  <c r="AE20" i="7"/>
  <c r="AD20" i="7"/>
  <c r="U20" i="7"/>
  <c r="T20" i="7"/>
  <c r="I20" i="7"/>
  <c r="AR19" i="7"/>
  <c r="AK19" i="7"/>
  <c r="AF19" i="7"/>
  <c r="AE19" i="7"/>
  <c r="AD19" i="7"/>
  <c r="AB19" i="7"/>
  <c r="AA19" i="7"/>
  <c r="Y19" i="7"/>
  <c r="W19" i="7"/>
  <c r="S19" i="7"/>
  <c r="I19" i="7"/>
  <c r="AR18" i="7"/>
  <c r="AR7" i="7" s="1"/>
  <c r="AK18" i="7"/>
  <c r="AF18" i="7"/>
  <c r="AE18" i="7"/>
  <c r="AD18" i="7"/>
  <c r="AB18" i="7"/>
  <c r="AA18" i="7"/>
  <c r="Y18" i="7"/>
  <c r="W18" i="7"/>
  <c r="S18" i="7"/>
  <c r="I18" i="7"/>
  <c r="D18" i="7"/>
  <c r="AR17" i="7"/>
  <c r="AK17" i="7"/>
  <c r="AF17" i="7"/>
  <c r="AE17" i="7"/>
  <c r="AD17" i="7"/>
  <c r="I17" i="7"/>
  <c r="AP16" i="7"/>
  <c r="AN16" i="7"/>
  <c r="AF16" i="7"/>
  <c r="AB16" i="7"/>
  <c r="AA16" i="7"/>
  <c r="Z16" i="7"/>
  <c r="S16" i="7"/>
  <c r="AQ15" i="7"/>
  <c r="AM15" i="7"/>
  <c r="AF15" i="7"/>
  <c r="Z15" i="7"/>
  <c r="S15" i="7"/>
  <c r="W15" i="7" s="1"/>
  <c r="M15" i="7"/>
  <c r="M7" i="7" s="1"/>
  <c r="AR14" i="7"/>
  <c r="AK14" i="7"/>
  <c r="AF14" i="7"/>
  <c r="AE14" i="7"/>
  <c r="AD14" i="7"/>
  <c r="U14" i="7"/>
  <c r="T14" i="7"/>
  <c r="I14" i="7"/>
  <c r="AP13" i="7"/>
  <c r="AN13" i="7"/>
  <c r="AN7" i="7" s="1"/>
  <c r="AF13" i="7"/>
  <c r="AE13" i="7"/>
  <c r="AD13" i="7"/>
  <c r="I13" i="7"/>
  <c r="I7" i="7" s="1"/>
  <c r="AR12" i="7"/>
  <c r="AK12" i="7"/>
  <c r="AF12" i="7"/>
  <c r="AE12" i="7"/>
  <c r="AD12" i="7"/>
  <c r="AC12" i="7"/>
  <c r="AA12" i="7"/>
  <c r="AA7" i="7" s="1"/>
  <c r="X12" i="7"/>
  <c r="I12" i="7"/>
  <c r="AP11" i="7"/>
  <c r="AF11" i="7"/>
  <c r="AF7" i="7" s="1"/>
  <c r="AB11" i="7"/>
  <c r="AA11" i="7"/>
  <c r="Z11" i="7"/>
  <c r="W11" i="7"/>
  <c r="S11" i="7"/>
  <c r="AR10" i="7"/>
  <c r="AK10" i="7"/>
  <c r="AF10" i="7"/>
  <c r="AE10" i="7"/>
  <c r="AD10" i="7"/>
  <c r="AD7" i="7" s="1"/>
  <c r="X10" i="7"/>
  <c r="S10" i="7"/>
  <c r="I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T9" i="7"/>
  <c r="AT7" i="7" s="1"/>
  <c r="AR6" i="7" s="1"/>
  <c r="AS7" i="7"/>
  <c r="AL7" i="7"/>
  <c r="AJ7" i="7"/>
  <c r="AI7" i="7"/>
  <c r="AC7" i="7"/>
  <c r="AB7" i="7"/>
  <c r="X7" i="7"/>
  <c r="T7" i="7"/>
  <c r="L7" i="7"/>
  <c r="K7" i="7"/>
  <c r="J7" i="7"/>
  <c r="G7" i="7"/>
  <c r="H245" i="6"/>
  <c r="N245" i="6" s="1"/>
  <c r="H243" i="6"/>
  <c r="N243" i="6" s="1"/>
  <c r="H241" i="6"/>
  <c r="H238" i="6"/>
  <c r="N238" i="6" s="1"/>
  <c r="H237" i="6"/>
  <c r="J237" i="6" s="1"/>
  <c r="H235" i="6"/>
  <c r="H233" i="6"/>
  <c r="N233" i="6" s="1"/>
  <c r="H230" i="6"/>
  <c r="J230" i="6" s="1"/>
  <c r="H227" i="6"/>
  <c r="H225" i="6"/>
  <c r="N225" i="6" s="1"/>
  <c r="H223" i="6"/>
  <c r="N223" i="6" s="1"/>
  <c r="H219" i="6"/>
  <c r="J219" i="6" s="1"/>
  <c r="H216" i="6"/>
  <c r="N216" i="6" s="1"/>
  <c r="H214" i="6"/>
  <c r="J214" i="6" s="1"/>
  <c r="H212" i="6"/>
  <c r="N212" i="6" s="1"/>
  <c r="H210" i="6"/>
  <c r="N210" i="6" s="1"/>
  <c r="H208" i="6"/>
  <c r="H205" i="6"/>
  <c r="N205" i="6" s="1"/>
  <c r="H203" i="6"/>
  <c r="N203" i="6" s="1"/>
  <c r="H201" i="6"/>
  <c r="H199" i="6"/>
  <c r="J199" i="6" s="1"/>
  <c r="H197" i="6"/>
  <c r="J197" i="6" s="1"/>
  <c r="H194" i="6"/>
  <c r="N194" i="6" s="1"/>
  <c r="H192" i="6"/>
  <c r="H190" i="6"/>
  <c r="J190" i="6" s="1"/>
  <c r="H188" i="6"/>
  <c r="J188" i="6" s="1"/>
  <c r="H186" i="6"/>
  <c r="N186" i="6" s="1"/>
  <c r="H183" i="6"/>
  <c r="N183" i="6" s="1"/>
  <c r="H181" i="6"/>
  <c r="N181" i="6" s="1"/>
  <c r="H179" i="6"/>
  <c r="N179" i="6" s="1"/>
  <c r="H177" i="6"/>
  <c r="H175" i="6"/>
  <c r="J175" i="6" s="1"/>
  <c r="H172" i="6"/>
  <c r="H170" i="6"/>
  <c r="H168" i="6"/>
  <c r="J168" i="6" s="1"/>
  <c r="H166" i="6"/>
  <c r="N166" i="6" s="1"/>
  <c r="H164" i="6"/>
  <c r="N164" i="6" s="1"/>
  <c r="H162" i="6"/>
  <c r="H160" i="6"/>
  <c r="J160" i="6" s="1"/>
  <c r="H158" i="6"/>
  <c r="N158" i="6" s="1"/>
  <c r="H156" i="6"/>
  <c r="N156" i="6" s="1"/>
  <c r="H154" i="6"/>
  <c r="H152" i="6"/>
  <c r="J152" i="6" s="1"/>
  <c r="H150" i="6"/>
  <c r="J150" i="6" s="1"/>
  <c r="H148" i="6"/>
  <c r="N148" i="6" s="1"/>
  <c r="H146" i="6"/>
  <c r="H144" i="6"/>
  <c r="J144" i="6" s="1"/>
  <c r="H142" i="6"/>
  <c r="N142" i="6" s="1"/>
  <c r="H140" i="6"/>
  <c r="N140" i="6" s="1"/>
  <c r="H137" i="6"/>
  <c r="N137" i="6" s="1"/>
  <c r="H135" i="6"/>
  <c r="N135" i="6" s="1"/>
  <c r="H133" i="6"/>
  <c r="N133" i="6" s="1"/>
  <c r="H131" i="6"/>
  <c r="H129" i="6"/>
  <c r="N129" i="6" s="1"/>
  <c r="H127" i="6"/>
  <c r="N127" i="6" s="1"/>
  <c r="H125" i="6"/>
  <c r="N125" i="6" s="1"/>
  <c r="H122" i="6"/>
  <c r="H120" i="6"/>
  <c r="J120" i="6" s="1"/>
  <c r="H118" i="6"/>
  <c r="N118" i="6" s="1"/>
  <c r="H116" i="6"/>
  <c r="N116" i="6" s="1"/>
  <c r="H114" i="6"/>
  <c r="H111" i="6"/>
  <c r="N111" i="6" s="1"/>
  <c r="H109" i="6"/>
  <c r="N109" i="6" s="1"/>
  <c r="H107" i="6"/>
  <c r="H105" i="6"/>
  <c r="J105" i="6" s="1"/>
  <c r="H103" i="6"/>
  <c r="J103" i="6" s="1"/>
  <c r="H101" i="6"/>
  <c r="N101" i="6" s="1"/>
  <c r="H99" i="6"/>
  <c r="H96" i="6"/>
  <c r="N96" i="6" s="1"/>
  <c r="H94" i="6"/>
  <c r="N94" i="6" s="1"/>
  <c r="H92" i="6"/>
  <c r="H89" i="6"/>
  <c r="N89" i="6" s="1"/>
  <c r="H88" i="6"/>
  <c r="N88" i="6" s="1"/>
  <c r="H86" i="6"/>
  <c r="N86" i="6" s="1"/>
  <c r="H85" i="6"/>
  <c r="N85" i="6" s="1"/>
  <c r="H84" i="6"/>
  <c r="N84" i="6" s="1"/>
  <c r="H80" i="6"/>
  <c r="N80" i="6" s="1"/>
  <c r="H78" i="6"/>
  <c r="N78" i="6" s="1"/>
  <c r="H76" i="6"/>
  <c r="N76" i="6" s="1"/>
  <c r="H72" i="6"/>
  <c r="N72" i="6" s="1"/>
  <c r="H70" i="6"/>
  <c r="N70" i="6" s="1"/>
  <c r="H68" i="6"/>
  <c r="N68" i="6" s="1"/>
  <c r="H66" i="6"/>
  <c r="N66" i="6" s="1"/>
  <c r="H64" i="6"/>
  <c r="N64" i="6" s="1"/>
  <c r="H62" i="6"/>
  <c r="J62" i="6" s="1"/>
  <c r="H60" i="6"/>
  <c r="J60" i="6" s="1"/>
  <c r="H58" i="6"/>
  <c r="J58" i="6" s="1"/>
  <c r="H56" i="6"/>
  <c r="L56" i="6" s="1"/>
  <c r="H54" i="6"/>
  <c r="L54" i="6" s="1"/>
  <c r="H52" i="6"/>
  <c r="L52" i="6" s="1"/>
  <c r="H50" i="6"/>
  <c r="L50" i="6" s="1"/>
  <c r="H48" i="6"/>
  <c r="L48" i="6" s="1"/>
  <c r="H44" i="6"/>
  <c r="J44" i="6" s="1"/>
  <c r="H42" i="6"/>
  <c r="J42" i="6" s="1"/>
  <c r="H40" i="6"/>
  <c r="J40" i="6" s="1"/>
  <c r="H38" i="6"/>
  <c r="J38" i="6" s="1"/>
  <c r="H35" i="6"/>
  <c r="J35" i="6" s="1"/>
  <c r="H33" i="6"/>
  <c r="J33" i="6" s="1"/>
  <c r="H30" i="6"/>
  <c r="J30" i="6" s="1"/>
  <c r="H28" i="6"/>
  <c r="J28" i="6" s="1"/>
  <c r="H24" i="6"/>
  <c r="J24" i="6" s="1"/>
  <c r="H22" i="6"/>
  <c r="J22" i="6" s="1"/>
  <c r="H20" i="6"/>
  <c r="J20" i="6" s="1"/>
  <c r="H16" i="6"/>
  <c r="L16" i="6" s="1"/>
  <c r="H14" i="6"/>
  <c r="L14" i="6" s="1"/>
  <c r="H12" i="6"/>
  <c r="L12" i="6" s="1"/>
  <c r="H10" i="6"/>
  <c r="L10" i="6" s="1"/>
  <c r="H8" i="6"/>
  <c r="L8" i="6" s="1"/>
  <c r="H37" i="8" l="1"/>
  <c r="I37" i="8" s="1"/>
  <c r="I26" i="13"/>
  <c r="H9" i="12" s="1"/>
  <c r="I58" i="13"/>
  <c r="H10" i="12" s="1"/>
  <c r="G26" i="13"/>
  <c r="G9" i="12" s="1"/>
  <c r="G90" i="13"/>
  <c r="G11" i="12" s="1"/>
  <c r="G58" i="13"/>
  <c r="G10" i="12" s="1"/>
  <c r="I90" i="13"/>
  <c r="H11" i="12" s="1"/>
  <c r="N120" i="6"/>
  <c r="J212" i="6"/>
  <c r="J78" i="6"/>
  <c r="L22" i="6"/>
  <c r="N50" i="6"/>
  <c r="J72" i="6"/>
  <c r="N103" i="6"/>
  <c r="N150" i="6"/>
  <c r="J68" i="6"/>
  <c r="N237" i="6"/>
  <c r="J12" i="6"/>
  <c r="N14" i="6"/>
  <c r="L42" i="6"/>
  <c r="J64" i="6"/>
  <c r="N12" i="6"/>
  <c r="L38" i="6"/>
  <c r="N60" i="6"/>
  <c r="J118" i="6"/>
  <c r="N199" i="6"/>
  <c r="J245" i="6"/>
  <c r="L33" i="6"/>
  <c r="L58" i="6"/>
  <c r="J66" i="6"/>
  <c r="J70" i="6"/>
  <c r="J76" i="6"/>
  <c r="J80" i="6"/>
  <c r="N105" i="6"/>
  <c r="J129" i="6"/>
  <c r="J142" i="6"/>
  <c r="N160" i="6"/>
  <c r="J166" i="6"/>
  <c r="J181" i="6"/>
  <c r="N188" i="6"/>
  <c r="N219" i="6"/>
  <c r="J14" i="6"/>
  <c r="L28" i="6"/>
  <c r="N54" i="6"/>
  <c r="N58" i="6"/>
  <c r="J88" i="6"/>
  <c r="J125" i="6"/>
  <c r="N197" i="6"/>
  <c r="N230" i="6"/>
  <c r="L7" i="6"/>
  <c r="J10" i="6"/>
  <c r="J19" i="6"/>
  <c r="N48" i="6"/>
  <c r="N52" i="6"/>
  <c r="N56" i="6"/>
  <c r="L62" i="6"/>
  <c r="L64" i="6"/>
  <c r="L66" i="6"/>
  <c r="L68" i="6"/>
  <c r="L70" i="6"/>
  <c r="L72" i="6"/>
  <c r="L76" i="6"/>
  <c r="L78" i="6"/>
  <c r="L80" i="6"/>
  <c r="J89" i="6"/>
  <c r="J94" i="6"/>
  <c r="J101" i="6"/>
  <c r="J127" i="6"/>
  <c r="J135" i="6"/>
  <c r="N152" i="6"/>
  <c r="J158" i="6"/>
  <c r="J186" i="6"/>
  <c r="J194" i="6"/>
  <c r="J203" i="6"/>
  <c r="J210" i="6"/>
  <c r="J223" i="6"/>
  <c r="J243" i="6"/>
  <c r="J8" i="6"/>
  <c r="N10" i="6"/>
  <c r="J16" i="6"/>
  <c r="L20" i="6"/>
  <c r="L24" i="6"/>
  <c r="L30" i="6"/>
  <c r="L35" i="6"/>
  <c r="L40" i="6"/>
  <c r="L44" i="6"/>
  <c r="L60" i="6"/>
  <c r="N62" i="6"/>
  <c r="L89" i="6"/>
  <c r="J109" i="6"/>
  <c r="J116" i="6"/>
  <c r="N144" i="6"/>
  <c r="J179" i="6"/>
  <c r="N190" i="6"/>
  <c r="N214" i="6"/>
  <c r="N8" i="6"/>
  <c r="N16" i="6"/>
  <c r="N83" i="6"/>
  <c r="N168" i="6"/>
  <c r="N175" i="6"/>
  <c r="N20" i="6"/>
  <c r="N22" i="6"/>
  <c r="N24" i="6"/>
  <c r="N28" i="6"/>
  <c r="N30" i="6"/>
  <c r="N33" i="6"/>
  <c r="N35" i="6"/>
  <c r="N38" i="6"/>
  <c r="N40" i="6"/>
  <c r="N42" i="6"/>
  <c r="N44" i="6"/>
  <c r="J84" i="6"/>
  <c r="J85" i="6"/>
  <c r="J86" i="6"/>
  <c r="L88" i="6"/>
  <c r="N99" i="6"/>
  <c r="J99" i="6"/>
  <c r="N114" i="6"/>
  <c r="J114" i="6"/>
  <c r="J133" i="6"/>
  <c r="J140" i="6"/>
  <c r="J148" i="6"/>
  <c r="J156" i="6"/>
  <c r="J164" i="6"/>
  <c r="N208" i="6"/>
  <c r="J208" i="6"/>
  <c r="K6" i="7"/>
  <c r="I6" i="7"/>
  <c r="AK7" i="7"/>
  <c r="AJ6" i="7" s="1"/>
  <c r="Z7" i="7"/>
  <c r="X6" i="7" s="1"/>
  <c r="AP7" i="7"/>
  <c r="AO6" i="7" s="1"/>
  <c r="U7" i="7"/>
  <c r="J48" i="6"/>
  <c r="J50" i="6"/>
  <c r="J52" i="6"/>
  <c r="J54" i="6"/>
  <c r="J56" i="6"/>
  <c r="L84" i="6"/>
  <c r="L85" i="6"/>
  <c r="L86" i="6"/>
  <c r="N92" i="6"/>
  <c r="N91" i="6" s="1"/>
  <c r="J92" i="6"/>
  <c r="N107" i="6"/>
  <c r="J107" i="6"/>
  <c r="N122" i="6"/>
  <c r="J122" i="6"/>
  <c r="N177" i="6"/>
  <c r="J177" i="6"/>
  <c r="N192" i="6"/>
  <c r="J192" i="6"/>
  <c r="N201" i="6"/>
  <c r="J201" i="6"/>
  <c r="N227" i="6"/>
  <c r="N218" i="6" s="1"/>
  <c r="S7" i="7"/>
  <c r="N131" i="6"/>
  <c r="J131" i="6"/>
  <c r="N146" i="6"/>
  <c r="J146" i="6"/>
  <c r="N154" i="6"/>
  <c r="J154" i="6"/>
  <c r="N162" i="6"/>
  <c r="J162" i="6"/>
  <c r="N170" i="6"/>
  <c r="J170" i="6"/>
  <c r="N241" i="6"/>
  <c r="N240" i="6" s="1"/>
  <c r="J241" i="6"/>
  <c r="T6" i="7"/>
  <c r="AE7" i="7"/>
  <c r="AD6" i="7" s="1"/>
  <c r="N172" i="6"/>
  <c r="N235" i="6"/>
  <c r="N229" i="6" s="1"/>
  <c r="J235" i="6"/>
  <c r="J225" i="6"/>
  <c r="J233" i="6"/>
  <c r="W16" i="7"/>
  <c r="W7" i="7" s="1"/>
  <c r="H12" i="14"/>
  <c r="C28" i="24"/>
  <c r="C28" i="20"/>
  <c r="C28" i="17"/>
  <c r="C28" i="14"/>
  <c r="C28" i="4"/>
  <c r="J227" i="6" l="1"/>
  <c r="J218" i="6" s="1"/>
  <c r="L47" i="6"/>
  <c r="J205" i="6"/>
  <c r="J185" i="6" s="1"/>
  <c r="F18" i="5" s="1"/>
  <c r="N139" i="6"/>
  <c r="N185" i="6"/>
  <c r="J183" i="6"/>
  <c r="L19" i="6"/>
  <c r="N47" i="6"/>
  <c r="N7" i="6"/>
  <c r="E10" i="5"/>
  <c r="J174" i="6"/>
  <c r="J240" i="6"/>
  <c r="N174" i="6"/>
  <c r="N207" i="6"/>
  <c r="J7" i="6"/>
  <c r="J96" i="6"/>
  <c r="J91" i="6" s="1"/>
  <c r="L83" i="6"/>
  <c r="N98" i="6"/>
  <c r="J83" i="6"/>
  <c r="J47" i="6"/>
  <c r="E11" i="5" s="1"/>
  <c r="J137" i="6"/>
  <c r="J113" i="6" s="1"/>
  <c r="J238" i="6"/>
  <c r="J229" i="6" s="1"/>
  <c r="J216" i="6"/>
  <c r="J207" i="6" s="1"/>
  <c r="N113" i="6"/>
  <c r="J172" i="6"/>
  <c r="J139" i="6" s="1"/>
  <c r="J111" i="6"/>
  <c r="J98" i="6" s="1"/>
  <c r="N19" i="6"/>
  <c r="I124" i="26"/>
  <c r="G124" i="26"/>
  <c r="I112" i="26"/>
  <c r="G112" i="26"/>
  <c r="I111" i="26"/>
  <c r="G111" i="26"/>
  <c r="I110" i="26"/>
  <c r="G110" i="26"/>
  <c r="I109" i="26"/>
  <c r="G109" i="26"/>
  <c r="I108" i="26"/>
  <c r="G108" i="26"/>
  <c r="I121" i="26"/>
  <c r="G121" i="26"/>
  <c r="I107" i="26"/>
  <c r="G107" i="26"/>
  <c r="L6" i="6" l="1"/>
  <c r="N6" i="6"/>
  <c r="F13" i="5"/>
  <c r="F16" i="5"/>
  <c r="F14" i="5"/>
  <c r="F20" i="5"/>
  <c r="E12" i="5"/>
  <c r="F22" i="5"/>
  <c r="F21" i="5"/>
  <c r="E9" i="5"/>
  <c r="F17" i="5"/>
  <c r="F19" i="5"/>
  <c r="F15" i="5"/>
  <c r="I123" i="26"/>
  <c r="G123" i="26"/>
  <c r="I12" i="22"/>
  <c r="G12" i="22"/>
  <c r="I11" i="22"/>
  <c r="E25" i="5" l="1"/>
  <c r="J6" i="6"/>
  <c r="F25" i="5"/>
  <c r="G34" i="19"/>
  <c r="G48" i="19"/>
  <c r="G47" i="19"/>
  <c r="G46" i="19"/>
  <c r="G45" i="19"/>
  <c r="G44" i="19"/>
  <c r="G43" i="19"/>
  <c r="G42" i="19"/>
  <c r="G41" i="19"/>
  <c r="G40" i="19"/>
  <c r="I36" i="19"/>
  <c r="G36" i="19"/>
  <c r="I35" i="19"/>
  <c r="G35" i="19"/>
  <c r="I33" i="19"/>
  <c r="G33" i="19"/>
  <c r="I32" i="19"/>
  <c r="G32" i="19"/>
  <c r="I31" i="19"/>
  <c r="G31" i="19"/>
  <c r="I30" i="19"/>
  <c r="G30" i="19"/>
  <c r="I29" i="19"/>
  <c r="G29" i="19"/>
  <c r="I28" i="19"/>
  <c r="G28" i="19"/>
  <c r="I27" i="19"/>
  <c r="G27" i="19"/>
  <c r="I26" i="19"/>
  <c r="G26" i="19"/>
  <c r="I25" i="19"/>
  <c r="G25" i="19"/>
  <c r="I24" i="19"/>
  <c r="G24" i="19"/>
  <c r="I23" i="19"/>
  <c r="G23" i="19"/>
  <c r="I22" i="19"/>
  <c r="G22" i="19"/>
  <c r="I21" i="19"/>
  <c r="G21" i="19"/>
  <c r="I20" i="19"/>
  <c r="G20" i="19"/>
  <c r="I19" i="19"/>
  <c r="G19" i="19"/>
  <c r="I18" i="19"/>
  <c r="G18" i="19"/>
  <c r="I17" i="19"/>
  <c r="G17" i="19"/>
  <c r="I16" i="19"/>
  <c r="G16" i="19"/>
  <c r="I15" i="19"/>
  <c r="G15" i="19"/>
  <c r="I14" i="19"/>
  <c r="G14" i="19"/>
  <c r="I13" i="19"/>
  <c r="G13" i="19"/>
  <c r="I12" i="19"/>
  <c r="G12" i="19"/>
  <c r="I11" i="19"/>
  <c r="G11" i="19"/>
  <c r="I10" i="19"/>
  <c r="G10" i="19"/>
  <c r="I3" i="19"/>
  <c r="C2" i="19"/>
  <c r="C1" i="19"/>
  <c r="F13" i="18"/>
  <c r="F14" i="2" s="1"/>
  <c r="E13" i="18"/>
  <c r="E14" i="2" s="1"/>
  <c r="I13" i="18"/>
  <c r="I14" i="2" s="1"/>
  <c r="G13" i="18"/>
  <c r="G14" i="2" s="1"/>
  <c r="I4" i="18"/>
  <c r="I3" i="18"/>
  <c r="C3" i="18"/>
  <c r="C2" i="18"/>
  <c r="C1" i="18"/>
  <c r="I31" i="17"/>
  <c r="I29" i="17"/>
  <c r="I28" i="17"/>
  <c r="I27" i="17"/>
  <c r="I26" i="17"/>
  <c r="I25" i="17"/>
  <c r="I24" i="17"/>
  <c r="E24" i="17"/>
  <c r="I23" i="17"/>
  <c r="I22" i="17"/>
  <c r="E22" i="17"/>
  <c r="I21" i="17"/>
  <c r="I20" i="17"/>
  <c r="I19" i="17"/>
  <c r="I18" i="17"/>
  <c r="H12" i="17"/>
  <c r="I11" i="17"/>
  <c r="C11" i="17"/>
  <c r="C10" i="17"/>
  <c r="C7" i="17"/>
  <c r="C5" i="17"/>
  <c r="C4" i="17"/>
  <c r="D17" i="17" l="1"/>
  <c r="D23" i="17"/>
  <c r="E23" i="17" s="1"/>
  <c r="D18" i="17"/>
  <c r="E18" i="17" s="1"/>
  <c r="D19" i="17"/>
  <c r="E19" i="17" s="1"/>
  <c r="G38" i="19"/>
  <c r="H9" i="18" s="1"/>
  <c r="H13" i="18" s="1"/>
  <c r="G50" i="19"/>
  <c r="H10" i="18" s="1"/>
  <c r="I50" i="19"/>
  <c r="E17" i="17"/>
  <c r="D20" i="17" l="1"/>
  <c r="H14" i="2"/>
  <c r="K14" i="2" s="1"/>
  <c r="E20" i="17" l="1"/>
  <c r="D21" i="17"/>
  <c r="E21" i="17" l="1"/>
  <c r="D25" i="17"/>
  <c r="E25" i="17" l="1"/>
  <c r="H30" i="17"/>
  <c r="H33" i="17" l="1"/>
  <c r="I30" i="17"/>
  <c r="I122" i="26"/>
  <c r="G122" i="26"/>
  <c r="I120" i="26"/>
  <c r="G120" i="26"/>
  <c r="I119" i="26"/>
  <c r="G119" i="26"/>
  <c r="I118" i="26"/>
  <c r="G118" i="26"/>
  <c r="I117" i="26"/>
  <c r="G117" i="26"/>
  <c r="I106" i="26"/>
  <c r="G106" i="26"/>
  <c r="I105" i="26"/>
  <c r="G105" i="26"/>
  <c r="I104" i="26"/>
  <c r="G104" i="26"/>
  <c r="I103" i="26"/>
  <c r="G103" i="26"/>
  <c r="I102" i="26"/>
  <c r="G102" i="26"/>
  <c r="I97" i="26"/>
  <c r="G97" i="26"/>
  <c r="I96" i="26"/>
  <c r="G96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H36" i="17" l="1"/>
  <c r="I36" i="17" s="1"/>
  <c r="I33" i="17"/>
  <c r="G126" i="26"/>
  <c r="H14" i="25" s="1"/>
  <c r="G99" i="26"/>
  <c r="G12" i="25" s="1"/>
  <c r="G114" i="26"/>
  <c r="H13" i="25" s="1"/>
  <c r="H37" i="17" l="1"/>
  <c r="I37" i="17" s="1"/>
  <c r="I77" i="23"/>
  <c r="G77" i="23"/>
  <c r="I76" i="23"/>
  <c r="G76" i="23"/>
  <c r="I75" i="23"/>
  <c r="G75" i="23"/>
  <c r="I74" i="23"/>
  <c r="G74" i="23"/>
  <c r="I73" i="23"/>
  <c r="G73" i="23"/>
  <c r="I72" i="23"/>
  <c r="G72" i="23"/>
  <c r="I71" i="23"/>
  <c r="G71" i="23"/>
  <c r="I70" i="23"/>
  <c r="G70" i="23"/>
  <c r="I69" i="23"/>
  <c r="G69" i="23"/>
  <c r="I68" i="23"/>
  <c r="G68" i="23"/>
  <c r="I67" i="23"/>
  <c r="G67" i="23"/>
  <c r="I66" i="23"/>
  <c r="G66" i="23"/>
  <c r="I65" i="23"/>
  <c r="G65" i="23"/>
  <c r="I64" i="23"/>
  <c r="G64" i="23"/>
  <c r="I63" i="23"/>
  <c r="G63" i="23"/>
  <c r="I62" i="23"/>
  <c r="G62" i="23"/>
  <c r="I61" i="23"/>
  <c r="G61" i="23"/>
  <c r="I60" i="23"/>
  <c r="G60" i="23"/>
  <c r="I59" i="23"/>
  <c r="G59" i="23"/>
  <c r="I58" i="23"/>
  <c r="G58" i="23"/>
  <c r="I57" i="23"/>
  <c r="G57" i="23"/>
  <c r="I56" i="23"/>
  <c r="G56" i="23"/>
  <c r="I55" i="23"/>
  <c r="G55" i="23"/>
  <c r="I54" i="23"/>
  <c r="G54" i="23"/>
  <c r="I53" i="23"/>
  <c r="G53" i="23"/>
  <c r="I52" i="23"/>
  <c r="G52" i="23"/>
  <c r="I51" i="23"/>
  <c r="G51" i="23"/>
  <c r="I50" i="23"/>
  <c r="G50" i="23"/>
  <c r="I49" i="23"/>
  <c r="G49" i="23"/>
  <c r="I38" i="23"/>
  <c r="G38" i="23"/>
  <c r="I37" i="23"/>
  <c r="G37" i="23"/>
  <c r="I36" i="23"/>
  <c r="G36" i="23"/>
  <c r="I35" i="23"/>
  <c r="G35" i="23"/>
  <c r="I34" i="23"/>
  <c r="G34" i="23"/>
  <c r="I33" i="23"/>
  <c r="G33" i="23"/>
  <c r="I32" i="23"/>
  <c r="G32" i="23"/>
  <c r="I31" i="23"/>
  <c r="G31" i="23"/>
  <c r="I30" i="23"/>
  <c r="G30" i="23"/>
  <c r="I29" i="23"/>
  <c r="G29" i="23"/>
  <c r="I28" i="23"/>
  <c r="G28" i="23"/>
  <c r="I27" i="23"/>
  <c r="G27" i="23"/>
  <c r="I26" i="23"/>
  <c r="G26" i="23"/>
  <c r="I25" i="23"/>
  <c r="G25" i="23"/>
  <c r="I24" i="23"/>
  <c r="G24" i="23"/>
  <c r="I23" i="23"/>
  <c r="G23" i="23"/>
  <c r="I22" i="23"/>
  <c r="G22" i="23"/>
  <c r="I21" i="23"/>
  <c r="G21" i="23"/>
  <c r="I20" i="23"/>
  <c r="G20" i="23"/>
  <c r="I19" i="23"/>
  <c r="G19" i="23"/>
  <c r="I18" i="23"/>
  <c r="G18" i="23"/>
  <c r="I17" i="23"/>
  <c r="G17" i="23"/>
  <c r="I16" i="23"/>
  <c r="G16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I272" i="22"/>
  <c r="G272" i="22"/>
  <c r="I271" i="22"/>
  <c r="G271" i="22"/>
  <c r="I270" i="22"/>
  <c r="G270" i="22"/>
  <c r="I269" i="22"/>
  <c r="G269" i="22"/>
  <c r="I268" i="22"/>
  <c r="G268" i="22"/>
  <c r="I255" i="22"/>
  <c r="G255" i="22"/>
  <c r="I254" i="22"/>
  <c r="G254" i="22"/>
  <c r="I253" i="22"/>
  <c r="G253" i="22"/>
  <c r="I252" i="22"/>
  <c r="G252" i="22"/>
  <c r="I267" i="22"/>
  <c r="G267" i="22"/>
  <c r="I266" i="22"/>
  <c r="G266" i="22"/>
  <c r="I265" i="22"/>
  <c r="G265" i="22"/>
  <c r="I264" i="22"/>
  <c r="G264" i="22"/>
  <c r="I263" i="22"/>
  <c r="G263" i="22"/>
  <c r="I262" i="22"/>
  <c r="G262" i="22"/>
  <c r="I261" i="22"/>
  <c r="G261" i="22"/>
  <c r="I260" i="22"/>
  <c r="G260" i="22"/>
  <c r="I259" i="22"/>
  <c r="G259" i="22"/>
  <c r="I258" i="22"/>
  <c r="G258" i="22"/>
  <c r="I257" i="22"/>
  <c r="G257" i="22"/>
  <c r="I251" i="22"/>
  <c r="G251" i="22"/>
  <c r="I250" i="22"/>
  <c r="G250" i="22"/>
  <c r="I249" i="22"/>
  <c r="G249" i="22"/>
  <c r="I248" i="22"/>
  <c r="G248" i="22"/>
  <c r="I247" i="22"/>
  <c r="G247" i="22"/>
  <c r="I246" i="22"/>
  <c r="G246" i="22"/>
  <c r="I245" i="22"/>
  <c r="G245" i="22"/>
  <c r="I244" i="22"/>
  <c r="G244" i="22"/>
  <c r="I243" i="22"/>
  <c r="G243" i="22"/>
  <c r="I242" i="22"/>
  <c r="G242" i="22"/>
  <c r="I241" i="22"/>
  <c r="G241" i="22"/>
  <c r="I240" i="22"/>
  <c r="G240" i="22"/>
  <c r="I239" i="22"/>
  <c r="G239" i="22"/>
  <c r="I238" i="22"/>
  <c r="G238" i="22"/>
  <c r="I236" i="22"/>
  <c r="G236" i="22"/>
  <c r="I235" i="22"/>
  <c r="G235" i="22"/>
  <c r="I234" i="22"/>
  <c r="G234" i="22"/>
  <c r="I233" i="22"/>
  <c r="G233" i="22"/>
  <c r="I232" i="22"/>
  <c r="G232" i="22"/>
  <c r="I231" i="22"/>
  <c r="G231" i="22"/>
  <c r="I230" i="22"/>
  <c r="G230" i="22"/>
  <c r="I229" i="22"/>
  <c r="G229" i="22"/>
  <c r="I228" i="22"/>
  <c r="G228" i="22"/>
  <c r="I227" i="22"/>
  <c r="G227" i="22"/>
  <c r="I226" i="22"/>
  <c r="G226" i="22"/>
  <c r="I225" i="22"/>
  <c r="G225" i="22"/>
  <c r="I224" i="22"/>
  <c r="G224" i="22"/>
  <c r="I223" i="22"/>
  <c r="G223" i="22"/>
  <c r="I222" i="22"/>
  <c r="G222" i="22"/>
  <c r="I221" i="22"/>
  <c r="G221" i="22"/>
  <c r="I220" i="22"/>
  <c r="G220" i="22"/>
  <c r="I219" i="22"/>
  <c r="G219" i="22"/>
  <c r="I218" i="22"/>
  <c r="G218" i="22"/>
  <c r="I217" i="22"/>
  <c r="G217" i="22"/>
  <c r="I216" i="22"/>
  <c r="G216" i="22"/>
  <c r="I207" i="22"/>
  <c r="G207" i="22"/>
  <c r="I206" i="22"/>
  <c r="G206" i="22"/>
  <c r="I205" i="22"/>
  <c r="G205" i="22"/>
  <c r="I204" i="22"/>
  <c r="G204" i="22"/>
  <c r="I203" i="22"/>
  <c r="G203" i="22"/>
  <c r="I202" i="22"/>
  <c r="G202" i="22"/>
  <c r="I201" i="22"/>
  <c r="G201" i="22"/>
  <c r="I200" i="22"/>
  <c r="G200" i="22"/>
  <c r="I199" i="22"/>
  <c r="G199" i="22"/>
  <c r="I198" i="22"/>
  <c r="G198" i="22"/>
  <c r="I197" i="22"/>
  <c r="G197" i="22"/>
  <c r="I196" i="22"/>
  <c r="G196" i="22"/>
  <c r="I195" i="22"/>
  <c r="G195" i="22"/>
  <c r="I194" i="22"/>
  <c r="G194" i="22"/>
  <c r="I193" i="22"/>
  <c r="G193" i="22"/>
  <c r="I192" i="22"/>
  <c r="G192" i="22"/>
  <c r="I191" i="22"/>
  <c r="G191" i="22"/>
  <c r="I190" i="22"/>
  <c r="G190" i="22"/>
  <c r="I189" i="22"/>
  <c r="G189" i="22"/>
  <c r="I188" i="22"/>
  <c r="G188" i="22"/>
  <c r="I187" i="22"/>
  <c r="G187" i="22"/>
  <c r="I186" i="22"/>
  <c r="G186" i="22"/>
  <c r="I185" i="22"/>
  <c r="G185" i="22"/>
  <c r="I184" i="22"/>
  <c r="G184" i="22"/>
  <c r="I183" i="22"/>
  <c r="G183" i="22"/>
  <c r="I182" i="22"/>
  <c r="G182" i="22"/>
  <c r="I181" i="22"/>
  <c r="G181" i="22"/>
  <c r="I180" i="22"/>
  <c r="G180" i="22"/>
  <c r="I179" i="22"/>
  <c r="G179" i="22"/>
  <c r="I178" i="22"/>
  <c r="G178" i="22"/>
  <c r="I177" i="22"/>
  <c r="G177" i="22"/>
  <c r="I175" i="22"/>
  <c r="G175" i="22"/>
  <c r="I174" i="22"/>
  <c r="G174" i="22"/>
  <c r="I173" i="22"/>
  <c r="G173" i="22"/>
  <c r="I172" i="22"/>
  <c r="G172" i="22"/>
  <c r="I171" i="22"/>
  <c r="G171" i="22"/>
  <c r="I170" i="22"/>
  <c r="G170" i="22"/>
  <c r="I169" i="22"/>
  <c r="G169" i="22"/>
  <c r="I168" i="22"/>
  <c r="G168" i="22"/>
  <c r="I167" i="22"/>
  <c r="G167" i="22"/>
  <c r="I166" i="22"/>
  <c r="G166" i="22"/>
  <c r="I165" i="22"/>
  <c r="G165" i="22"/>
  <c r="I164" i="22"/>
  <c r="G164" i="22"/>
  <c r="I163" i="22"/>
  <c r="G163" i="22"/>
  <c r="I162" i="22"/>
  <c r="G162" i="22"/>
  <c r="I161" i="22"/>
  <c r="G161" i="22"/>
  <c r="I160" i="22"/>
  <c r="G160" i="22"/>
  <c r="I159" i="22"/>
  <c r="G159" i="22"/>
  <c r="I158" i="22"/>
  <c r="G158" i="22"/>
  <c r="I157" i="22"/>
  <c r="G157" i="22"/>
  <c r="I156" i="22"/>
  <c r="G156" i="22"/>
  <c r="I155" i="22"/>
  <c r="G155" i="22"/>
  <c r="I154" i="22"/>
  <c r="G154" i="22"/>
  <c r="I153" i="22"/>
  <c r="G153" i="22"/>
  <c r="I152" i="22"/>
  <c r="G152" i="22"/>
  <c r="I151" i="22"/>
  <c r="G151" i="22"/>
  <c r="I150" i="22"/>
  <c r="G150" i="22"/>
  <c r="I149" i="22"/>
  <c r="G149" i="22"/>
  <c r="I148" i="22"/>
  <c r="G148" i="22"/>
  <c r="I147" i="22"/>
  <c r="G147" i="22"/>
  <c r="I146" i="22"/>
  <c r="G146" i="22"/>
  <c r="I145" i="22"/>
  <c r="G145" i="22"/>
  <c r="I144" i="22"/>
  <c r="G144" i="22"/>
  <c r="I143" i="22"/>
  <c r="G143" i="22"/>
  <c r="I142" i="22"/>
  <c r="G142" i="22"/>
  <c r="I141" i="22"/>
  <c r="G141" i="22"/>
  <c r="I140" i="22"/>
  <c r="G140" i="22"/>
  <c r="I139" i="22"/>
  <c r="G139" i="22"/>
  <c r="I138" i="22"/>
  <c r="G138" i="22"/>
  <c r="I137" i="22"/>
  <c r="G137" i="22"/>
  <c r="I136" i="22"/>
  <c r="G136" i="22"/>
  <c r="I135" i="22"/>
  <c r="G135" i="22"/>
  <c r="I133" i="22"/>
  <c r="G133" i="22"/>
  <c r="I132" i="22"/>
  <c r="G132" i="22"/>
  <c r="I131" i="22"/>
  <c r="G131" i="22"/>
  <c r="I130" i="22"/>
  <c r="G130" i="22"/>
  <c r="I129" i="22"/>
  <c r="G129" i="22"/>
  <c r="I128" i="22"/>
  <c r="G128" i="22"/>
  <c r="I127" i="22"/>
  <c r="G127" i="22"/>
  <c r="I126" i="22"/>
  <c r="G126" i="22"/>
  <c r="I125" i="22"/>
  <c r="G125" i="22"/>
  <c r="I124" i="22"/>
  <c r="G124" i="22"/>
  <c r="I123" i="22"/>
  <c r="G123" i="22"/>
  <c r="I122" i="22"/>
  <c r="G122" i="22"/>
  <c r="I121" i="22"/>
  <c r="G121" i="22"/>
  <c r="I120" i="22"/>
  <c r="G120" i="22"/>
  <c r="I119" i="22"/>
  <c r="G119" i="22"/>
  <c r="I118" i="22"/>
  <c r="G118" i="22"/>
  <c r="I117" i="22"/>
  <c r="G117" i="22"/>
  <c r="I116" i="22"/>
  <c r="G116" i="22"/>
  <c r="I115" i="22"/>
  <c r="G115" i="22"/>
  <c r="I114" i="22"/>
  <c r="G114" i="22"/>
  <c r="I113" i="22"/>
  <c r="G113" i="22"/>
  <c r="I112" i="22"/>
  <c r="G112" i="22"/>
  <c r="I111" i="22"/>
  <c r="G111" i="22"/>
  <c r="I110" i="22"/>
  <c r="G110" i="22"/>
  <c r="G79" i="23" l="1"/>
  <c r="F210" i="22"/>
  <c r="I88" i="22"/>
  <c r="I79" i="22" l="1"/>
  <c r="G79" i="22"/>
  <c r="I78" i="22"/>
  <c r="G78" i="22"/>
  <c r="C11" i="14" l="1"/>
  <c r="F23" i="15" l="1"/>
  <c r="C10" i="24"/>
  <c r="C10" i="20"/>
  <c r="C10" i="14"/>
  <c r="C10" i="11"/>
  <c r="C10" i="4"/>
  <c r="I320" i="22"/>
  <c r="G320" i="22"/>
  <c r="I319" i="22"/>
  <c r="G319" i="22"/>
  <c r="I318" i="22"/>
  <c r="G318" i="22"/>
  <c r="I317" i="22"/>
  <c r="G317" i="22"/>
  <c r="I316" i="22"/>
  <c r="G316" i="22"/>
  <c r="I315" i="22"/>
  <c r="G315" i="22"/>
  <c r="I314" i="22"/>
  <c r="G314" i="22"/>
  <c r="I313" i="22"/>
  <c r="G313" i="22"/>
  <c r="I312" i="22"/>
  <c r="G312" i="22"/>
  <c r="I307" i="22"/>
  <c r="G307" i="22"/>
  <c r="I306" i="22"/>
  <c r="G306" i="22"/>
  <c r="I305" i="22"/>
  <c r="G305" i="22"/>
  <c r="I298" i="22"/>
  <c r="G298" i="22"/>
  <c r="I297" i="22"/>
  <c r="G297" i="22"/>
  <c r="I296" i="22"/>
  <c r="G296" i="22"/>
  <c r="I295" i="22"/>
  <c r="G295" i="22"/>
  <c r="I294" i="22"/>
  <c r="G294" i="22"/>
  <c r="I293" i="22"/>
  <c r="G293" i="22"/>
  <c r="I292" i="22"/>
  <c r="G292" i="22"/>
  <c r="I291" i="22"/>
  <c r="G291" i="22"/>
  <c r="I290" i="22"/>
  <c r="G290" i="22"/>
  <c r="I289" i="22"/>
  <c r="G289" i="22"/>
  <c r="I288" i="22"/>
  <c r="G288" i="22"/>
  <c r="I287" i="22"/>
  <c r="G287" i="22"/>
  <c r="I286" i="22"/>
  <c r="G286" i="22"/>
  <c r="I285" i="22"/>
  <c r="G285" i="22"/>
  <c r="I284" i="22"/>
  <c r="G284" i="22"/>
  <c r="I283" i="22"/>
  <c r="G283" i="22"/>
  <c r="I282" i="22"/>
  <c r="G282" i="22"/>
  <c r="I281" i="22"/>
  <c r="G281" i="22"/>
  <c r="I280" i="22"/>
  <c r="G280" i="22"/>
  <c r="I279" i="22"/>
  <c r="G279" i="22"/>
  <c r="I274" i="22"/>
  <c r="G274" i="22"/>
  <c r="I273" i="22"/>
  <c r="G273" i="22"/>
  <c r="I99" i="22"/>
  <c r="G99" i="22"/>
  <c r="I105" i="22"/>
  <c r="G105" i="22"/>
  <c r="I104" i="22"/>
  <c r="G104" i="22"/>
  <c r="I103" i="22"/>
  <c r="G103" i="22"/>
  <c r="I102" i="22"/>
  <c r="G102" i="22"/>
  <c r="I101" i="22"/>
  <c r="G101" i="22"/>
  <c r="I100" i="22"/>
  <c r="G100" i="22"/>
  <c r="I98" i="22"/>
  <c r="G98" i="22"/>
  <c r="I97" i="22"/>
  <c r="G97" i="22"/>
  <c r="I96" i="22"/>
  <c r="G96" i="22"/>
  <c r="I95" i="22"/>
  <c r="G95" i="22"/>
  <c r="I94" i="22"/>
  <c r="G94" i="22"/>
  <c r="I93" i="22"/>
  <c r="G93" i="22"/>
  <c r="I92" i="22"/>
  <c r="G92" i="22"/>
  <c r="I91" i="22"/>
  <c r="G91" i="22"/>
  <c r="I90" i="22"/>
  <c r="G90" i="22"/>
  <c r="I89" i="22"/>
  <c r="G89" i="22"/>
  <c r="G88" i="22"/>
  <c r="I87" i="22"/>
  <c r="G87" i="22"/>
  <c r="I86" i="22"/>
  <c r="G86" i="22"/>
  <c r="I85" i="22"/>
  <c r="G85" i="22"/>
  <c r="I76" i="22"/>
  <c r="G76" i="22"/>
  <c r="I75" i="22"/>
  <c r="G75" i="22"/>
  <c r="I73" i="22"/>
  <c r="G73" i="22"/>
  <c r="I72" i="22"/>
  <c r="G72" i="22"/>
  <c r="I70" i="22"/>
  <c r="G70" i="22"/>
  <c r="I69" i="22"/>
  <c r="G69" i="22"/>
  <c r="I67" i="22"/>
  <c r="G67" i="22"/>
  <c r="I66" i="22"/>
  <c r="G66" i="22"/>
  <c r="I64" i="22"/>
  <c r="G64" i="22"/>
  <c r="I63" i="22"/>
  <c r="G63" i="22"/>
  <c r="I61" i="22"/>
  <c r="G61" i="22"/>
  <c r="I59" i="22"/>
  <c r="G59" i="22"/>
  <c r="I57" i="22"/>
  <c r="G57" i="22"/>
  <c r="I56" i="22"/>
  <c r="G56" i="22"/>
  <c r="I54" i="22"/>
  <c r="G54" i="22"/>
  <c r="I53" i="22"/>
  <c r="G53" i="22"/>
  <c r="I51" i="22"/>
  <c r="G51" i="22"/>
  <c r="I50" i="22"/>
  <c r="G50" i="22"/>
  <c r="I48" i="22"/>
  <c r="G48" i="22"/>
  <c r="I47" i="22"/>
  <c r="G47" i="22"/>
  <c r="I45" i="22"/>
  <c r="G45" i="22"/>
  <c r="I44" i="22"/>
  <c r="G44" i="22"/>
  <c r="I42" i="22"/>
  <c r="G42" i="22"/>
  <c r="I41" i="22"/>
  <c r="G41" i="22"/>
  <c r="I39" i="22"/>
  <c r="G39" i="22"/>
  <c r="I38" i="22"/>
  <c r="G38" i="22"/>
  <c r="I36" i="22"/>
  <c r="G36" i="22"/>
  <c r="I35" i="22"/>
  <c r="G35" i="22"/>
  <c r="I33" i="22"/>
  <c r="G33" i="22"/>
  <c r="I32" i="22"/>
  <c r="G32" i="22"/>
  <c r="I30" i="22"/>
  <c r="G30" i="22"/>
  <c r="I29" i="22"/>
  <c r="G29" i="22"/>
  <c r="I27" i="22"/>
  <c r="G27" i="22"/>
  <c r="I25" i="22"/>
  <c r="G25" i="22"/>
  <c r="I24" i="22"/>
  <c r="G24" i="22"/>
  <c r="I22" i="22"/>
  <c r="G22" i="22"/>
  <c r="I21" i="22"/>
  <c r="G21" i="22"/>
  <c r="I90" i="23"/>
  <c r="G90" i="23"/>
  <c r="I89" i="23"/>
  <c r="G89" i="23"/>
  <c r="I88" i="23"/>
  <c r="G88" i="23"/>
  <c r="E42" i="23"/>
  <c r="G300" i="22" l="1"/>
  <c r="H14" i="21" s="1"/>
  <c r="G209" i="22"/>
  <c r="F211" i="22" s="1"/>
  <c r="I300" i="22"/>
  <c r="I107" i="22"/>
  <c r="G107" i="22"/>
  <c r="H11" i="21" s="1"/>
  <c r="G40" i="23"/>
  <c r="G32" i="26" l="1"/>
  <c r="G9" i="25" s="1"/>
  <c r="C2" i="23" l="1"/>
  <c r="C2" i="26"/>
  <c r="C2" i="22"/>
  <c r="C2" i="16"/>
  <c r="C2" i="13"/>
  <c r="C1" i="26"/>
  <c r="C1" i="22"/>
  <c r="C1" i="16"/>
  <c r="C1" i="13"/>
  <c r="C3" i="5"/>
  <c r="C2" i="5"/>
  <c r="C1" i="5"/>
  <c r="C7" i="4"/>
  <c r="C2" i="3" s="1"/>
  <c r="C5" i="4"/>
  <c r="C4" i="4"/>
  <c r="C4" i="21"/>
  <c r="C3" i="22" s="1"/>
  <c r="I27" i="20"/>
  <c r="I26" i="20"/>
  <c r="I25" i="20"/>
  <c r="I24" i="20"/>
  <c r="E24" i="20"/>
  <c r="I23" i="20"/>
  <c r="I28" i="20"/>
  <c r="I22" i="20"/>
  <c r="E22" i="20"/>
  <c r="I20" i="20"/>
  <c r="I19" i="20"/>
  <c r="H12" i="20"/>
  <c r="I11" i="20"/>
  <c r="C11" i="20"/>
  <c r="C7" i="20"/>
  <c r="C5" i="20"/>
  <c r="C4" i="20"/>
  <c r="I29" i="2"/>
  <c r="H29" i="2"/>
  <c r="A106" i="3"/>
  <c r="A105" i="3"/>
  <c r="H103" i="3"/>
  <c r="I34" i="2" s="1"/>
  <c r="I36" i="2" s="1"/>
  <c r="H27" i="1" s="1"/>
  <c r="I27" i="1" s="1"/>
  <c r="F103" i="3"/>
  <c r="A101" i="3"/>
  <c r="H100" i="3"/>
  <c r="A99" i="3"/>
  <c r="H98" i="3"/>
  <c r="A98" i="3"/>
  <c r="A97" i="3"/>
  <c r="H96" i="3"/>
  <c r="A96" i="3"/>
  <c r="A95" i="3"/>
  <c r="H94" i="3"/>
  <c r="F93" i="3"/>
  <c r="A91" i="3"/>
  <c r="H90" i="3"/>
  <c r="A90" i="3"/>
  <c r="A89" i="3"/>
  <c r="H88" i="3"/>
  <c r="A88" i="3"/>
  <c r="A87" i="3"/>
  <c r="H86" i="3"/>
  <c r="A86" i="3"/>
  <c r="A85" i="3"/>
  <c r="H84" i="3"/>
  <c r="A84" i="3"/>
  <c r="A83" i="3"/>
  <c r="H82" i="3"/>
  <c r="A82" i="3"/>
  <c r="A81" i="3"/>
  <c r="H80" i="3"/>
  <c r="A80" i="3"/>
  <c r="F79" i="3"/>
  <c r="A79" i="3" s="1"/>
  <c r="A77" i="3"/>
  <c r="A75" i="3"/>
  <c r="H74" i="3"/>
  <c r="A74" i="3"/>
  <c r="F73" i="3"/>
  <c r="A71" i="3"/>
  <c r="A70" i="3"/>
  <c r="A68" i="3"/>
  <c r="H67" i="3"/>
  <c r="A67" i="3"/>
  <c r="A66" i="3"/>
  <c r="H65" i="3"/>
  <c r="A64" i="3"/>
  <c r="H63" i="3"/>
  <c r="A63" i="3"/>
  <c r="A62" i="3"/>
  <c r="H61" i="3"/>
  <c r="A60" i="3"/>
  <c r="H59" i="3"/>
  <c r="A58" i="3"/>
  <c r="H57" i="3"/>
  <c r="F56" i="3"/>
  <c r="F55" i="3" s="1"/>
  <c r="F49" i="3"/>
  <c r="A47" i="3"/>
  <c r="H46" i="3"/>
  <c r="A46" i="3"/>
  <c r="A45" i="3"/>
  <c r="H44" i="3"/>
  <c r="A44" i="3"/>
  <c r="A43" i="3"/>
  <c r="H42" i="3"/>
  <c r="H41" i="3"/>
  <c r="F34" i="2" s="1"/>
  <c r="F36" i="2" s="1"/>
  <c r="H24" i="1" s="1"/>
  <c r="I24" i="1" s="1"/>
  <c r="A42" i="3"/>
  <c r="F41" i="3"/>
  <c r="A41" i="3" s="1"/>
  <c r="A39" i="3"/>
  <c r="H38" i="3"/>
  <c r="A38" i="3"/>
  <c r="A37" i="3"/>
  <c r="H36" i="3"/>
  <c r="A35" i="3"/>
  <c r="H34" i="3"/>
  <c r="A34" i="3"/>
  <c r="F33" i="3"/>
  <c r="A32" i="3"/>
  <c r="H31" i="3"/>
  <c r="A31" i="3"/>
  <c r="A30" i="3"/>
  <c r="H29" i="3"/>
  <c r="A28" i="3"/>
  <c r="H27" i="3"/>
  <c r="A27" i="3"/>
  <c r="A26" i="3"/>
  <c r="H25" i="3"/>
  <c r="A25" i="3"/>
  <c r="A23" i="3"/>
  <c r="H22" i="3"/>
  <c r="A22" i="3"/>
  <c r="A21" i="3"/>
  <c r="H20" i="3"/>
  <c r="A20" i="3"/>
  <c r="A19" i="3"/>
  <c r="H18" i="3"/>
  <c r="A18" i="3"/>
  <c r="A17" i="3"/>
  <c r="H16" i="3"/>
  <c r="A16" i="3"/>
  <c r="A15" i="3"/>
  <c r="H14" i="3"/>
  <c r="A14" i="3"/>
  <c r="H13" i="3"/>
  <c r="A13" i="3"/>
  <c r="H12" i="3"/>
  <c r="H9" i="3" s="1"/>
  <c r="A12" i="3"/>
  <c r="A11" i="3"/>
  <c r="H10" i="3"/>
  <c r="A10" i="3"/>
  <c r="F9" i="3"/>
  <c r="A9" i="3"/>
  <c r="H3" i="3"/>
  <c r="C4" i="25"/>
  <c r="C3" i="26" s="1"/>
  <c r="I20" i="24"/>
  <c r="I24" i="24"/>
  <c r="I17" i="25"/>
  <c r="I16" i="2" s="1"/>
  <c r="D23" i="24"/>
  <c r="E23" i="24" s="1"/>
  <c r="I3" i="26"/>
  <c r="I2" i="26"/>
  <c r="I26" i="24"/>
  <c r="I19" i="24"/>
  <c r="F17" i="25"/>
  <c r="F16" i="2" s="1"/>
  <c r="E17" i="25"/>
  <c r="E16" i="2" s="1"/>
  <c r="H16" i="25"/>
  <c r="H15" i="25"/>
  <c r="I4" i="25"/>
  <c r="I3" i="25"/>
  <c r="C3" i="25"/>
  <c r="C2" i="25"/>
  <c r="C1" i="25"/>
  <c r="I27" i="24"/>
  <c r="E24" i="24"/>
  <c r="I22" i="24"/>
  <c r="E22" i="24"/>
  <c r="H12" i="24"/>
  <c r="I11" i="24"/>
  <c r="C11" i="24"/>
  <c r="C7" i="24"/>
  <c r="C5" i="24"/>
  <c r="C4" i="24"/>
  <c r="I14" i="22"/>
  <c r="E94" i="23"/>
  <c r="G94" i="23" s="1"/>
  <c r="F11" i="22" s="1"/>
  <c r="G11" i="22" s="1"/>
  <c r="F24" i="3"/>
  <c r="I21" i="20"/>
  <c r="I18" i="20"/>
  <c r="F8" i="3"/>
  <c r="A8" i="3" s="1"/>
  <c r="G17" i="25"/>
  <c r="G16" i="2" s="1"/>
  <c r="I29" i="20"/>
  <c r="I31" i="20"/>
  <c r="I25" i="24"/>
  <c r="I23" i="24"/>
  <c r="G210" i="22"/>
  <c r="I10" i="22"/>
  <c r="I9" i="22"/>
  <c r="A29" i="3"/>
  <c r="I18" i="24"/>
  <c r="I28" i="24"/>
  <c r="G42" i="23"/>
  <c r="E81" i="23"/>
  <c r="G81" i="23" s="1"/>
  <c r="I82" i="22"/>
  <c r="C3" i="13"/>
  <c r="I4" i="12"/>
  <c r="J3" i="13" s="1"/>
  <c r="I3" i="12"/>
  <c r="J2" i="13" s="1"/>
  <c r="C3" i="12"/>
  <c r="C2" i="12"/>
  <c r="C1" i="12"/>
  <c r="C28" i="11"/>
  <c r="H12" i="11"/>
  <c r="C11" i="11"/>
  <c r="C7" i="11"/>
  <c r="C5" i="11"/>
  <c r="C4" i="11"/>
  <c r="I27" i="11"/>
  <c r="I20" i="11"/>
  <c r="I19" i="11"/>
  <c r="I26" i="11"/>
  <c r="I24" i="11"/>
  <c r="I19" i="12"/>
  <c r="I11" i="2" s="1"/>
  <c r="E19" i="12"/>
  <c r="D17" i="11" s="1"/>
  <c r="E17" i="11" s="1"/>
  <c r="E24" i="11"/>
  <c r="I22" i="11"/>
  <c r="E22" i="11"/>
  <c r="I11" i="11"/>
  <c r="C3" i="16"/>
  <c r="I2" i="16"/>
  <c r="I3" i="16"/>
  <c r="I4" i="15"/>
  <c r="I3" i="15"/>
  <c r="C3" i="15"/>
  <c r="C2" i="15"/>
  <c r="C1" i="15"/>
  <c r="C7" i="14"/>
  <c r="C5" i="14"/>
  <c r="C4" i="14"/>
  <c r="I27" i="14"/>
  <c r="I23" i="14"/>
  <c r="I20" i="14"/>
  <c r="I23" i="15"/>
  <c r="D23" i="14" s="1"/>
  <c r="E23" i="14" s="1"/>
  <c r="H23" i="15"/>
  <c r="G23" i="15"/>
  <c r="D19" i="14" s="1"/>
  <c r="E19" i="14" s="1"/>
  <c r="E23" i="15"/>
  <c r="D17" i="14" s="1"/>
  <c r="E17" i="14" s="1"/>
  <c r="I24" i="14"/>
  <c r="E24" i="14"/>
  <c r="I22" i="14"/>
  <c r="E22" i="14"/>
  <c r="I11" i="14"/>
  <c r="I40" i="23"/>
  <c r="I322" i="22"/>
  <c r="I304" i="22"/>
  <c r="G304" i="22"/>
  <c r="I303" i="22"/>
  <c r="G303" i="22"/>
  <c r="C11" i="4"/>
  <c r="I3" i="23"/>
  <c r="I2" i="23"/>
  <c r="C1" i="23"/>
  <c r="I3" i="22"/>
  <c r="I4" i="21"/>
  <c r="I3" i="21"/>
  <c r="C3" i="21"/>
  <c r="C2" i="21"/>
  <c r="C1" i="21"/>
  <c r="F26" i="21"/>
  <c r="E26" i="21"/>
  <c r="H25" i="21"/>
  <c r="H24" i="21"/>
  <c r="I3" i="5"/>
  <c r="I3" i="2"/>
  <c r="I4" i="2"/>
  <c r="C4" i="2"/>
  <c r="C3" i="2"/>
  <c r="C2" i="2"/>
  <c r="C1" i="2"/>
  <c r="E24" i="1"/>
  <c r="I22" i="1"/>
  <c r="E22" i="1"/>
  <c r="I11" i="1"/>
  <c r="H25" i="5"/>
  <c r="D20" i="4" s="1"/>
  <c r="E20" i="4" s="1"/>
  <c r="I25" i="5"/>
  <c r="D23" i="4" s="1"/>
  <c r="E23" i="4" s="1"/>
  <c r="G25" i="5"/>
  <c r="D19" i="4" s="1"/>
  <c r="E19" i="4" s="1"/>
  <c r="I4" i="5"/>
  <c r="I27" i="4"/>
  <c r="I19" i="4"/>
  <c r="I24" i="4"/>
  <c r="E24" i="4"/>
  <c r="I22" i="4"/>
  <c r="E22" i="4"/>
  <c r="I11" i="4"/>
  <c r="I26" i="4"/>
  <c r="I20" i="4"/>
  <c r="F41" i="23"/>
  <c r="G41" i="23" s="1"/>
  <c r="D20" i="14"/>
  <c r="E20" i="14"/>
  <c r="H13" i="2"/>
  <c r="I21" i="24"/>
  <c r="G82" i="22"/>
  <c r="H10" i="21" s="1"/>
  <c r="I26" i="14"/>
  <c r="I19" i="14"/>
  <c r="I213" i="22"/>
  <c r="F19" i="12"/>
  <c r="D18" i="11" s="1"/>
  <c r="I29" i="24"/>
  <c r="I23" i="11"/>
  <c r="I23" i="4"/>
  <c r="I31" i="24"/>
  <c r="I25" i="14"/>
  <c r="I28" i="14"/>
  <c r="I25" i="11"/>
  <c r="I28" i="11"/>
  <c r="I18" i="14"/>
  <c r="I25" i="4"/>
  <c r="I28" i="4"/>
  <c r="I18" i="11"/>
  <c r="I21" i="14"/>
  <c r="I21" i="11"/>
  <c r="I18" i="4"/>
  <c r="I29" i="14"/>
  <c r="I21" i="4"/>
  <c r="I29" i="11"/>
  <c r="I31" i="11"/>
  <c r="I29" i="4"/>
  <c r="I31" i="14"/>
  <c r="I31" i="4"/>
  <c r="I2" i="22" l="1"/>
  <c r="I2" i="19"/>
  <c r="C1" i="3"/>
  <c r="H56" i="3"/>
  <c r="C3" i="23"/>
  <c r="H93" i="3"/>
  <c r="G27" i="2" s="1"/>
  <c r="G29" i="2" s="1"/>
  <c r="H20" i="1" s="1"/>
  <c r="I20" i="1" s="1"/>
  <c r="E13" i="2"/>
  <c r="H24" i="3"/>
  <c r="H8" i="3" s="1"/>
  <c r="E34" i="2" s="1"/>
  <c r="E36" i="2" s="1"/>
  <c r="H23" i="1" s="1"/>
  <c r="I23" i="1" s="1"/>
  <c r="E11" i="2"/>
  <c r="D17" i="24"/>
  <c r="E17" i="24" s="1"/>
  <c r="H33" i="3"/>
  <c r="H79" i="3"/>
  <c r="F27" i="2" s="1"/>
  <c r="F29" i="2" s="1"/>
  <c r="H19" i="1" s="1"/>
  <c r="I19" i="1" s="1"/>
  <c r="I9" i="2"/>
  <c r="I13" i="2"/>
  <c r="G13" i="2"/>
  <c r="G309" i="22"/>
  <c r="H19" i="21" s="1"/>
  <c r="G322" i="22"/>
  <c r="I20" i="21" s="1"/>
  <c r="I26" i="21" s="1"/>
  <c r="D23" i="20" s="1"/>
  <c r="E23" i="20" s="1"/>
  <c r="I18" i="22"/>
  <c r="I309" i="22"/>
  <c r="G211" i="22"/>
  <c r="I276" i="22"/>
  <c r="G276" i="22"/>
  <c r="H13" i="21" s="1"/>
  <c r="G44" i="23"/>
  <c r="F9" i="22" s="1"/>
  <c r="G9" i="22" s="1"/>
  <c r="I95" i="23"/>
  <c r="G92" i="23"/>
  <c r="F93" i="23" s="1"/>
  <c r="G93" i="23" s="1"/>
  <c r="G95" i="23" s="1"/>
  <c r="G14" i="22" s="1"/>
  <c r="D19" i="24"/>
  <c r="E19" i="24" s="1"/>
  <c r="G93" i="26"/>
  <c r="H11" i="25" s="1"/>
  <c r="E18" i="11"/>
  <c r="F11" i="2"/>
  <c r="A24" i="3"/>
  <c r="D18" i="20"/>
  <c r="E18" i="20" s="1"/>
  <c r="F15" i="2"/>
  <c r="D23" i="11"/>
  <c r="E23" i="11" s="1"/>
  <c r="D18" i="24"/>
  <c r="G9" i="2"/>
  <c r="H9" i="2"/>
  <c r="E15" i="2"/>
  <c r="D17" i="20"/>
  <c r="A33" i="3" l="1"/>
  <c r="A36" i="3" s="1"/>
  <c r="G50" i="26"/>
  <c r="H10" i="25" s="1"/>
  <c r="D17" i="4"/>
  <c r="I15" i="2"/>
  <c r="I19" i="2" s="1"/>
  <c r="D23" i="1" s="1"/>
  <c r="E23" i="1" s="1"/>
  <c r="G213" i="22"/>
  <c r="H12" i="21" s="1"/>
  <c r="F80" i="23"/>
  <c r="G80" i="23" s="1"/>
  <c r="G83" i="23" s="1"/>
  <c r="H19" i="12"/>
  <c r="H11" i="2" s="1"/>
  <c r="E17" i="20"/>
  <c r="E18" i="24"/>
  <c r="G19" i="12"/>
  <c r="A49" i="3" l="1"/>
  <c r="A50" i="3" s="1"/>
  <c r="H17" i="25"/>
  <c r="D20" i="24" s="1"/>
  <c r="E20" i="24" s="1"/>
  <c r="D23" i="21"/>
  <c r="H23" i="21" s="1"/>
  <c r="H26" i="21" s="1"/>
  <c r="E9" i="2"/>
  <c r="F10" i="22"/>
  <c r="G10" i="22" s="1"/>
  <c r="G16" i="22" s="1"/>
  <c r="D20" i="11"/>
  <c r="E20" i="11" s="1"/>
  <c r="D19" i="11"/>
  <c r="G11" i="2"/>
  <c r="K11" i="2" s="1"/>
  <c r="D18" i="4"/>
  <c r="E18" i="4" s="1"/>
  <c r="F9" i="2"/>
  <c r="E17" i="4"/>
  <c r="E19" i="2" l="1"/>
  <c r="D17" i="1" s="1"/>
  <c r="E17" i="1" s="1"/>
  <c r="K9" i="2"/>
  <c r="D21" i="24"/>
  <c r="E21" i="24" s="1"/>
  <c r="H16" i="2"/>
  <c r="K16" i="2" s="1"/>
  <c r="H15" i="2"/>
  <c r="D20" i="20"/>
  <c r="E20" i="20" s="1"/>
  <c r="F17" i="22"/>
  <c r="G17" i="22" s="1"/>
  <c r="G18" i="22"/>
  <c r="G9" i="21" s="1"/>
  <c r="G26" i="21" s="1"/>
  <c r="F13" i="2"/>
  <c r="D18" i="14"/>
  <c r="D21" i="4"/>
  <c r="D25" i="4" s="1"/>
  <c r="E19" i="11"/>
  <c r="D21" i="11"/>
  <c r="F19" i="2" l="1"/>
  <c r="D18" i="1" s="1"/>
  <c r="K13" i="2"/>
  <c r="H19" i="2"/>
  <c r="D20" i="1" s="1"/>
  <c r="E20" i="1" s="1"/>
  <c r="D25" i="24"/>
  <c r="H30" i="24" s="1"/>
  <c r="I30" i="24" s="1"/>
  <c r="E21" i="4"/>
  <c r="G15" i="2"/>
  <c r="D19" i="20"/>
  <c r="D21" i="14"/>
  <c r="E18" i="14"/>
  <c r="D25" i="11"/>
  <c r="E21" i="11"/>
  <c r="H30" i="4"/>
  <c r="E25" i="4"/>
  <c r="G19" i="2" l="1"/>
  <c r="D19" i="1" s="1"/>
  <c r="E19" i="1" s="1"/>
  <c r="K15" i="2"/>
  <c r="K19" i="2" s="1"/>
  <c r="H33" i="24"/>
  <c r="H36" i="24" s="1"/>
  <c r="I36" i="24" s="1"/>
  <c r="E25" i="24"/>
  <c r="H76" i="3"/>
  <c r="H73" i="3" s="1"/>
  <c r="H34" i="2" s="1"/>
  <c r="H36" i="2" s="1"/>
  <c r="H26" i="1" s="1"/>
  <c r="I26" i="1" s="1"/>
  <c r="E19" i="20"/>
  <c r="D21" i="20"/>
  <c r="D25" i="14"/>
  <c r="E21" i="14"/>
  <c r="E18" i="1"/>
  <c r="I30" i="4"/>
  <c r="H33" i="4"/>
  <c r="H30" i="11"/>
  <c r="E25" i="11"/>
  <c r="G50" i="3" l="1"/>
  <c r="A53" i="3" s="1"/>
  <c r="G69" i="3"/>
  <c r="H69" i="3" s="1"/>
  <c r="H55" i="3" s="1"/>
  <c r="G34" i="2" s="1"/>
  <c r="K34" i="2" s="1"/>
  <c r="K36" i="2" s="1"/>
  <c r="D21" i="1"/>
  <c r="E21" i="1" s="1"/>
  <c r="I33" i="24"/>
  <c r="A52" i="3"/>
  <c r="E21" i="20"/>
  <c r="D25" i="20"/>
  <c r="H37" i="24"/>
  <c r="I37" i="24" s="1"/>
  <c r="E25" i="14"/>
  <c r="H30" i="14"/>
  <c r="I33" i="4"/>
  <c r="H36" i="4"/>
  <c r="I36" i="4" s="1"/>
  <c r="I30" i="11"/>
  <c r="H33" i="11"/>
  <c r="D25" i="1" l="1"/>
  <c r="H30" i="1" s="1"/>
  <c r="I30" i="1" s="1"/>
  <c r="A51" i="3"/>
  <c r="A55" i="3" s="1"/>
  <c r="A56" i="3" s="1"/>
  <c r="A57" i="3" s="1"/>
  <c r="G36" i="2"/>
  <c r="H25" i="1" s="1"/>
  <c r="I25" i="1" s="1"/>
  <c r="H50" i="3"/>
  <c r="H49" i="3" s="1"/>
  <c r="E27" i="2" s="1"/>
  <c r="K27" i="2" s="1"/>
  <c r="K29" i="2" s="1"/>
  <c r="E25" i="20"/>
  <c r="H30" i="20"/>
  <c r="I30" i="14"/>
  <c r="H33" i="14"/>
  <c r="E25" i="1"/>
  <c r="H37" i="4"/>
  <c r="I37" i="4" s="1"/>
  <c r="I33" i="11"/>
  <c r="H36" i="11"/>
  <c r="I36" i="11" s="1"/>
  <c r="E29" i="2" l="1"/>
  <c r="H18" i="1" s="1"/>
  <c r="I18" i="1" s="1"/>
  <c r="H28" i="1"/>
  <c r="I28" i="1" s="1"/>
  <c r="I30" i="20"/>
  <c r="H33" i="20"/>
  <c r="H37" i="11"/>
  <c r="I37" i="11" s="1"/>
  <c r="H36" i="14"/>
  <c r="I36" i="14" s="1"/>
  <c r="I33" i="14"/>
  <c r="A59" i="3"/>
  <c r="A61" i="3" s="1"/>
  <c r="H21" i="1" l="1"/>
  <c r="H29" i="1" s="1"/>
  <c r="H31" i="1" s="1"/>
  <c r="H33" i="1" s="1"/>
  <c r="H36" i="1" s="1"/>
  <c r="I36" i="1" s="1"/>
  <c r="H37" i="14"/>
  <c r="I37" i="14" s="1"/>
  <c r="I33" i="20"/>
  <c r="H36" i="20"/>
  <c r="I36" i="20" s="1"/>
  <c r="A65" i="3"/>
  <c r="I21" i="1" l="1"/>
  <c r="I29" i="1"/>
  <c r="I33" i="1"/>
  <c r="I31" i="1"/>
  <c r="A69" i="3"/>
  <c r="A73" i="3" s="1"/>
  <c r="A76" i="3" s="1"/>
  <c r="H37" i="20"/>
  <c r="I37" i="20" s="1"/>
  <c r="H37" i="1"/>
  <c r="I37" i="1" s="1"/>
  <c r="A93" i="3" l="1"/>
  <c r="A94" i="3" l="1"/>
  <c r="A100" i="3" s="1"/>
  <c r="A103" i="3" s="1"/>
  <c r="A104" i="3" s="1"/>
</calcChain>
</file>

<file path=xl/comments1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2.xml><?xml version="1.0" encoding="utf-8"?>
<comments xmlns="http://schemas.openxmlformats.org/spreadsheetml/2006/main">
  <authors>
    <author>Polišenský Miloš</author>
    <author>Dvoracek</author>
    <author>Polisensky</author>
  </authors>
  <commentList>
    <comment ref="H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  <comment ref="F50" authorId="1" shapeId="0">
      <text>
        <r>
          <rPr>
            <sz val="9"/>
            <color indexed="81"/>
            <rFont val="Tahoma"/>
            <family val="2"/>
            <charset val="238"/>
          </rPr>
          <t xml:space="preserve">1,0% - izolace, nátěry a stavební práce na provozních souborech
1,1% - opravy a údržba, parkové úpravy, nátěry konstrukcí
1,3% - opravy a údržba mostů
2,4% - budovy pro bydlení
2,9% - budovy a haly občanské výstavby
3,3% - komunikace, vedení trubní a elektrická
3,8% - tunely, metro
3,9% - hráze a objekty na tocích, úprava toků, kanály
4,2% - výstavba mostů
7,9% - provozní soubory (bez stavebních prací)
</t>
        </r>
      </text>
    </comment>
    <comment ref="E6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9" authorId="1" shapeId="0">
      <text>
        <r>
          <rPr>
            <sz val="9"/>
            <color indexed="81"/>
            <rFont val="Tahoma"/>
            <family val="2"/>
            <charset val="238"/>
          </rPr>
          <t xml:space="preserve">0,6-2,2% - stavební část
2,5-4,5% - technologická část
</t>
        </r>
      </text>
    </comment>
    <comment ref="E7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6" authorId="1" shapeId="0">
      <text>
        <r>
          <rPr>
            <sz val="9"/>
            <color indexed="81"/>
            <rFont val="Tahoma"/>
            <family val="2"/>
            <charset val="238"/>
          </rPr>
          <t xml:space="preserve">1,0% - izolace, nátěry a stavební práce na provozních souborech
1,1% - opravy a údržba, parkové úpravy, nátěry konstrukcí
1,3% - opravy a údržba mostů
2,4% - budovy pro bydlení
2,9% - budovy a haly občanské výstavby
3,3% - komunikace, vedení trubní a elektrická
3,8% - tunely, metro
3,9% - hráze a objekty na tocích, úprava toků, kanály
4,2% - výstavba mostů
7,9% - provozní soubory (bez stavebních prací)
</t>
        </r>
      </text>
    </comment>
    <comment ref="G76" authorId="2" shapeId="0">
      <text>
        <r>
          <rPr>
            <b/>
            <sz val="9"/>
            <color indexed="10"/>
            <rFont val="Tahoma"/>
            <family val="2"/>
            <charset val="238"/>
          </rPr>
          <t>Polisensky:</t>
        </r>
        <r>
          <rPr>
            <sz val="9"/>
            <color indexed="10"/>
            <rFont val="Tahoma"/>
            <family val="2"/>
            <charset val="238"/>
          </rPr>
          <t xml:space="preserve">
částka 150000,- Kč zůstane vyplněna</t>
        </r>
      </text>
    </comment>
    <comment ref="F80" authorId="1" shapeId="0">
      <text>
        <r>
          <rPr>
            <sz val="9"/>
            <color indexed="81"/>
            <rFont val="Tahoma"/>
            <family val="2"/>
            <charset val="238"/>
          </rPr>
          <t xml:space="preserve">3,5% pro stavby ve výšce 700 - 900m.n.m.
</t>
        </r>
      </text>
    </comment>
    <comment ref="E8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0" authorId="1" shapeId="0">
      <text>
        <r>
          <rPr>
            <b/>
            <sz val="9"/>
            <color indexed="81"/>
            <rFont val="Tahoma"/>
            <family val="2"/>
            <charset val="238"/>
          </rPr>
          <t>DLE CENOVÝCH ZPRÁV 
URS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6" authorId="1" shapeId="0">
      <text>
        <r>
          <rPr>
            <sz val="9"/>
            <color indexed="81"/>
            <rFont val="Tahoma"/>
            <family val="2"/>
            <charset val="238"/>
          </rPr>
          <t xml:space="preserve">1,5 - 2,5% </t>
        </r>
      </text>
    </comment>
  </commentList>
</comments>
</file>

<file path=xl/comments3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4.xml><?xml version="1.0" encoding="utf-8"?>
<comments xmlns="http://schemas.openxmlformats.org/spreadsheetml/2006/main">
  <authors>
    <author>Polišenský Miloš</author>
  </authors>
  <commentList>
    <comment ref="N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5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6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7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8.xml><?xml version="1.0" encoding="utf-8"?>
<comments xmlns="http://schemas.openxmlformats.org/spreadsheetml/2006/main">
  <authors>
    <author>Polišenský Miloš</author>
  </authors>
  <commentList>
    <comment ref="J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9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0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1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2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3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4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5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6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17.xml><?xml version="1.0" encoding="utf-8"?>
<comments xmlns="http://schemas.openxmlformats.org/spreadsheetml/2006/main">
  <authors>
    <author>Polišenský Miloš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PRO DODRŽENÍ PŘENOSU, SPRÁVNÉ FUNKCE A MATEMATIKY, 
</t>
        </r>
        <r>
          <rPr>
            <b/>
            <sz val="8"/>
            <color indexed="10"/>
            <rFont val="Tahoma"/>
            <family val="2"/>
            <charset val="238"/>
          </rPr>
          <t>VYPLŇTE POUZE ŽLUTĚ OZNAČENÁ POLE V JEDNOTLIVÝCH LISTECH CELÉHO SEŠITU.</t>
        </r>
        <r>
          <rPr>
            <b/>
            <sz val="8"/>
            <color indexed="81"/>
            <rFont val="Tahoma"/>
            <family val="2"/>
            <charset val="238"/>
          </rPr>
          <t xml:space="preserve"> 
FORMÁT CELÉHO LISTU NENÍ UZAMČEN A JE PŘÍSTUPNÝ BEZ OMEZENÍ. 
</t>
        </r>
        <r>
          <rPr>
            <i/>
            <sz val="8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sharedStrings.xml><?xml version="1.0" encoding="utf-8"?>
<sst xmlns="http://schemas.openxmlformats.org/spreadsheetml/2006/main" count="3956" uniqueCount="1523">
  <si>
    <t>Izolace kanalizace</t>
  </si>
  <si>
    <t>Izolace rozvodu vody</t>
  </si>
  <si>
    <t>Přesun hmot pro izolace tepelné, výšky do 12 m</t>
  </si>
  <si>
    <t>721 17-6134.R00</t>
  </si>
  <si>
    <t>Potrubí HT svodné (ležaté) zavěšené DN 70 x 1,9 mm</t>
  </si>
  <si>
    <t>Potrubí HT připojovací DN 100 x 2,7 mm</t>
  </si>
  <si>
    <t>Vyvedení odpadních výpustek D 40 x 1,8</t>
  </si>
  <si>
    <t>8</t>
  </si>
  <si>
    <t>9</t>
  </si>
  <si>
    <t>Přesun hmot pro vnitřní kanalizaci, výšky do 12 m</t>
  </si>
  <si>
    <t>Montáž rozvodů z plastů polyfúz. svařováním DN 20</t>
  </si>
  <si>
    <t>Montáž rozvodů z plastů polyfúz. svařováním DN 25</t>
  </si>
  <si>
    <t>Vyvedení a upevnění výpustek DN 20</t>
  </si>
  <si>
    <t>Nástěnka K 247, pro baterii G 1/2</t>
  </si>
  <si>
    <t>Montáž vodovodních armatur,1závit, G 1/2</t>
  </si>
  <si>
    <t>722 23-9103.R00</t>
  </si>
  <si>
    <t>722 29-0226.R00</t>
  </si>
  <si>
    <t>Zkouška tlaku potrubí závitového DN 50</t>
  </si>
  <si>
    <t>Přesun hmot pro vnitřní vodovod, výšky do 12 m</t>
  </si>
  <si>
    <t>Montáž umyvadel na šrouby do zdiva</t>
  </si>
  <si>
    <t>725 82-9301.R00</t>
  </si>
  <si>
    <t>Montáž baterie umyv.a dřezové stojánkové</t>
  </si>
  <si>
    <t>Stacionární výlevka s mřížkou</t>
  </si>
  <si>
    <t>551-47033</t>
  </si>
  <si>
    <t>Splachovač nádržkový z PH úsporný T2454</t>
  </si>
  <si>
    <t>Baterie nástěnná dřezová</t>
  </si>
  <si>
    <t>Montáž výlevky diturvitové, bez nádrže a armatur</t>
  </si>
  <si>
    <t>725 11-9105.R00</t>
  </si>
  <si>
    <t>Montáž splachovacích nádrží vysokopoložených</t>
  </si>
  <si>
    <t>725 82-9201.R00</t>
  </si>
  <si>
    <t>Montáž baterie umyv.a dřezové nástěnné chromové</t>
  </si>
  <si>
    <t>Silikonový tmel bílý</t>
  </si>
  <si>
    <t>Přesun hmot pro zařizovací předměty, výšky do 12 m</t>
  </si>
  <si>
    <t>998 76-7102.R00</t>
  </si>
  <si>
    <t>Přesun hmot pro zámečnické konstr., výšky do 12 m</t>
  </si>
  <si>
    <t>hmot/MJ</t>
  </si>
  <si>
    <t>hmotnost celkem</t>
  </si>
  <si>
    <t>[Kč]</t>
  </si>
  <si>
    <t>763: Konstrukce montované</t>
  </si>
  <si>
    <t>763131751</t>
  </si>
  <si>
    <t>Montáž parotěsné zábrany do SDK podhledu</t>
  </si>
  <si>
    <t>MC1</t>
  </si>
  <si>
    <t>MC2</t>
  </si>
  <si>
    <t>006: Úpravy povrchu</t>
  </si>
  <si>
    <t>003: Svislé konstrukce</t>
  </si>
  <si>
    <t>009: Ostatní konstrukce a práce</t>
  </si>
  <si>
    <t>099: Přesun hmot HSV</t>
  </si>
  <si>
    <t>771: Podlahy z dlaždic</t>
  </si>
  <si>
    <t xml:space="preserve">Položkový rozpočet </t>
  </si>
  <si>
    <t>Stavba :</t>
  </si>
  <si>
    <t>Objekt :</t>
  </si>
  <si>
    <t>množství</t>
  </si>
  <si>
    <t>Rozpočet:</t>
  </si>
  <si>
    <t>stavební díl :</t>
  </si>
  <si>
    <t>Datum:</t>
  </si>
  <si>
    <t>REKAPITULACE  STAVEBNÍHO  OBJEKTU</t>
  </si>
  <si>
    <t>Stavební díl</t>
  </si>
  <si>
    <t>HSV</t>
  </si>
  <si>
    <t>PSV</t>
  </si>
  <si>
    <t>Dodávka</t>
  </si>
  <si>
    <t>Montáž</t>
  </si>
  <si>
    <t>HZS</t>
  </si>
  <si>
    <t>01</t>
  </si>
  <si>
    <t>-------------</t>
  </si>
  <si>
    <t>02</t>
  </si>
  <si>
    <t>04</t>
  </si>
  <si>
    <t>03</t>
  </si>
  <si>
    <t>05</t>
  </si>
  <si>
    <t>06</t>
  </si>
  <si>
    <t xml:space="preserve"> </t>
  </si>
  <si>
    <t>CELKEM  OBJEKT</t>
  </si>
  <si>
    <t>VEDLEJŠÍ ROZPOČTOVÉ  NÁKLADY</t>
  </si>
  <si>
    <t>Název VRN</t>
  </si>
  <si>
    <t>03  zařízení staveniště</t>
  </si>
  <si>
    <t>06 územní vlivy</t>
  </si>
  <si>
    <t>07 provozní vlivy</t>
  </si>
  <si>
    <t>CELKEM VRN</t>
  </si>
  <si>
    <t>OSTATNÍ ROZPOČTOVÉ  NÁKLADY</t>
  </si>
  <si>
    <t>01 průzkumné práce</t>
  </si>
  <si>
    <t>02 příprava staveniště</t>
  </si>
  <si>
    <t>04 inženýrská činnost</t>
  </si>
  <si>
    <t xml:space="preserve">05 finanční náklady  </t>
  </si>
  <si>
    <t>09 ostatní náklady</t>
  </si>
  <si>
    <t>CELKEM ON</t>
  </si>
  <si>
    <t>KRYCÍ LIST ROZPOČTU</t>
  </si>
  <si>
    <t>Název stavby :</t>
  </si>
  <si>
    <t>JKSO :</t>
  </si>
  <si>
    <t>Název objektu :</t>
  </si>
  <si>
    <t>SKP :</t>
  </si>
  <si>
    <t>Stavební díl :</t>
  </si>
  <si>
    <t>Název stavebního dílu :</t>
  </si>
  <si>
    <t>Cenová soustava:</t>
  </si>
  <si>
    <t>SOUHRNNÝ ROZPOČET</t>
  </si>
  <si>
    <t>URS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</si>
  <si>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</si>
  <si>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</si>
  <si>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</si>
  <si>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</si>
  <si>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</si>
  <si>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</si>
  <si>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</si>
  <si>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PROMOS s.r.o., Nerudova 32, Šumperk</t>
  </si>
  <si>
    <t>ROZPOČTOVÉ NÁKLADY</t>
  </si>
  <si>
    <t>Základní rozpočtové náklady</t>
  </si>
  <si>
    <t>Vedlejší náklady</t>
  </si>
  <si>
    <t>HSV celkem</t>
  </si>
  <si>
    <t>Vedlejší rozpočtové náklady (VRN)</t>
  </si>
  <si>
    <t>Z</t>
  </si>
  <si>
    <t>PSV celkem</t>
  </si>
  <si>
    <t>03-Zařízení staveniště</t>
  </si>
  <si>
    <t>R</t>
  </si>
  <si>
    <t>Dodávka celkem</t>
  </si>
  <si>
    <t>06-Územní vlivy</t>
  </si>
  <si>
    <t>N</t>
  </si>
  <si>
    <t>Montáž celkem</t>
  </si>
  <si>
    <t>07-Provozní vlivy</t>
  </si>
  <si>
    <t>ZRN celkem</t>
  </si>
  <si>
    <t>VRN celkem</t>
  </si>
  <si>
    <t>Ostatní rozpočtové náklady (ORN)</t>
  </si>
  <si>
    <t>01-Průzkum a geodet.</t>
  </si>
  <si>
    <t>02- Příprava staveniště</t>
  </si>
  <si>
    <t>ZRN+HZS</t>
  </si>
  <si>
    <t>04-Inženýrská činnost</t>
  </si>
  <si>
    <t>Vypracoval</t>
  </si>
  <si>
    <t>05-Finanční náklady</t>
  </si>
  <si>
    <t>Jméno :</t>
  </si>
  <si>
    <t>09-Ostatní náklady</t>
  </si>
  <si>
    <t>Datum :</t>
  </si>
  <si>
    <t>ORN Celkem</t>
  </si>
  <si>
    <t>Podpis:</t>
  </si>
  <si>
    <t>Vedlejší náklady celkem (VRN+ORN)</t>
  </si>
  <si>
    <t>Objednatel</t>
  </si>
  <si>
    <t>VN celkem</t>
  </si>
  <si>
    <t>Cena bez DPH</t>
  </si>
  <si>
    <t>Zhotovitel</t>
  </si>
  <si>
    <t>% DPH</t>
  </si>
  <si>
    <t>Cena vč. DPH</t>
  </si>
  <si>
    <t>poznámka:</t>
  </si>
  <si>
    <t>P.Č.</t>
  </si>
  <si>
    <t>KCN</t>
  </si>
  <si>
    <t>Kód položky</t>
  </si>
  <si>
    <t>m.j.</t>
  </si>
  <si>
    <t>Množství</t>
  </si>
  <si>
    <t>Jednotková
cena</t>
  </si>
  <si>
    <t>Cena
celkem</t>
  </si>
  <si>
    <t>.</t>
  </si>
  <si>
    <t>Vedlejší a ostatní rozpočtové náklady</t>
  </si>
  <si>
    <t>PRŮZKUMNÉ, GEODETICKÉ A PROJEKTOVÉ PRÁCE</t>
  </si>
  <si>
    <t>kpl</t>
  </si>
  <si>
    <t>011</t>
  </si>
  <si>
    <t>Průzkumné práce:</t>
  </si>
  <si>
    <t>01111</t>
  </si>
  <si>
    <t>Inženýrsko geologický průzkum</t>
  </si>
  <si>
    <t>sc</t>
  </si>
  <si>
    <t>upřesnění zakládání stavby a zajištění stability svahů, vsakování srážkových vod</t>
  </si>
  <si>
    <t>01112</t>
  </si>
  <si>
    <t>radonový průzkum</t>
  </si>
  <si>
    <t>01113</t>
  </si>
  <si>
    <t>hydrogeologický průzkum</t>
  </si>
  <si>
    <t>01114</t>
  </si>
  <si>
    <t>pedologický průzkum</t>
  </si>
  <si>
    <t>0112</t>
  </si>
  <si>
    <t>botanický a zoologický průzkum</t>
  </si>
  <si>
    <t>Zjištění možného výskytu rostlin a živočichů, chráněných zákonem</t>
  </si>
  <si>
    <t>0113</t>
  </si>
  <si>
    <t>archeologická činnost</t>
  </si>
  <si>
    <t>archeologický dohled při realizací prací a archeologický průzkum</t>
  </si>
  <si>
    <t>0114</t>
  </si>
  <si>
    <t>průzkum výskytu nebezpečných látek</t>
  </si>
  <si>
    <t>Výskyt průmyslového a komunálního odpadu, výskyt výbušnin a jiných nebezpečných látek</t>
  </si>
  <si>
    <t>0115</t>
  </si>
  <si>
    <t>stavební průzkum</t>
  </si>
  <si>
    <t>Zjištění umělecko historických hodnot, stavebně statického stavu a tepelně izolačních vlastností</t>
  </si>
  <si>
    <t>012</t>
  </si>
  <si>
    <t>Geodetické práce:</t>
  </si>
  <si>
    <t>0121</t>
  </si>
  <si>
    <t>práce prováděné před výstavbou</t>
  </si>
  <si>
    <t>Vytyčení hranic pozemku, výšková měření, určení průběhu stávajících a plánovaných inženýrských síti</t>
  </si>
  <si>
    <t>0122</t>
  </si>
  <si>
    <t>práce prováděné v průběhu výstavby</t>
  </si>
  <si>
    <t>kontrolní a upřesňující měření výšek a ploch</t>
  </si>
  <si>
    <t>0123</t>
  </si>
  <si>
    <t>práce prováděné po výstavbě</t>
  </si>
  <si>
    <t>zaměření skutečného provedení</t>
  </si>
  <si>
    <t>0124</t>
  </si>
  <si>
    <t>vyhotovení  geodetického plánu sítě</t>
  </si>
  <si>
    <t>013</t>
  </si>
  <si>
    <t>Projektové práce</t>
  </si>
  <si>
    <t>01324</t>
  </si>
  <si>
    <t>dokumentace pro provádění stavby</t>
  </si>
  <si>
    <t>dle přílohy 2 vyhlášky 499/2006Sb.</t>
  </si>
  <si>
    <t>01325</t>
  </si>
  <si>
    <t>dokumentace skutečného provedení</t>
  </si>
  <si>
    <t>příloha č.3 vyhlášky 499/2006Sb.</t>
  </si>
  <si>
    <t>0133</t>
  </si>
  <si>
    <t>Náklady na ocenění stavby</t>
  </si>
  <si>
    <t>Prováděcí a kontrolní rozpočet</t>
  </si>
  <si>
    <t>PŘÍPRAVA STAVENIŠTĚ</t>
  </si>
  <si>
    <t>021</t>
  </si>
  <si>
    <t>Záchranné práce</t>
  </si>
  <si>
    <t>hod</t>
  </si>
  <si>
    <t xml:space="preserve">Zabezpečení přírodních a archeologických hodnot </t>
  </si>
  <si>
    <t>022</t>
  </si>
  <si>
    <t>Přeložení konstrukcí</t>
  </si>
  <si>
    <t>Odstranění materiálu a konstrukcí</t>
  </si>
  <si>
    <t>VRN</t>
  </si>
  <si>
    <t>ZAŘÍZENÍ STAVENIŠTĚ</t>
  </si>
  <si>
    <t>031</t>
  </si>
  <si>
    <t>Zřízení, vybavení, zabezpečení a připojení na inž.  Sítě</t>
  </si>
  <si>
    <t>náklady na energie včetně zřízení odběrných míst</t>
  </si>
  <si>
    <t>náklady na osvětlení, zřízení přechodů přes výkopy,  náklady na informační tabule, náklady na strážní službu</t>
  </si>
  <si>
    <t>INŽENÝRSKÁ ČINNOST</t>
  </si>
  <si>
    <t>041</t>
  </si>
  <si>
    <t>dozor</t>
  </si>
  <si>
    <t>0411</t>
  </si>
  <si>
    <t>autorský dozor projektanta</t>
  </si>
  <si>
    <t>Pokud není zahrnut v ceně projektových prací</t>
  </si>
  <si>
    <t>0412</t>
  </si>
  <si>
    <t>Technický dozor investora</t>
  </si>
  <si>
    <t>Provádí investor na své náklady</t>
  </si>
  <si>
    <t>0414</t>
  </si>
  <si>
    <t>Dozor koordinátora BOZP</t>
  </si>
  <si>
    <t>Dle plánu BOZP</t>
  </si>
  <si>
    <t>042</t>
  </si>
  <si>
    <t>posudky</t>
  </si>
  <si>
    <t>Průkaz energetické náročnosti budovy, energetický štítek, tepelný audit</t>
  </si>
  <si>
    <t>043</t>
  </si>
  <si>
    <t>zkoušky a měření</t>
  </si>
  <si>
    <t>Úřední tlakové zkoušky, zatěžkávací zkoušky,měření osvětlení</t>
  </si>
  <si>
    <t>044</t>
  </si>
  <si>
    <t>revize</t>
  </si>
  <si>
    <t>revize dočasných objektů a zařízení staveniště</t>
  </si>
  <si>
    <t>045</t>
  </si>
  <si>
    <t>Komplexní vyzkoušení a měření, zajištění dodávek, zakreslování změn v průběhu stavby, přebírání dílů a objektů, technická pomoc a zajišťování posudků a protokolů</t>
  </si>
  <si>
    <t>Koordinace prací a dodávek mezi dodavateli, předání staveniště subdodavatelům, stanovení harmonogramu prováděných prací</t>
  </si>
  <si>
    <t>FINANČNÍ NÁKLADY</t>
  </si>
  <si>
    <t>051</t>
  </si>
  <si>
    <t>pojistné</t>
  </si>
  <si>
    <t>052</t>
  </si>
  <si>
    <t>Rezerva investora na nepředvídané náklady při rekonstrukcích, změnách norem a legislativy, změn požadavků v průběhu výstavby</t>
  </si>
  <si>
    <t>ÚZEMNÍ VLIVY</t>
  </si>
  <si>
    <t>061</t>
  </si>
  <si>
    <t>Vliv klimatických podmínek</t>
  </si>
  <si>
    <t>v oblastech nad 700m.n.m</t>
  </si>
  <si>
    <t>062</t>
  </si>
  <si>
    <t>ztížené dopravní podmínky</t>
  </si>
  <si>
    <t>odlehčení vagonů nebo aut, použití nezvyklých dopravních prostředků</t>
  </si>
  <si>
    <t>063</t>
  </si>
  <si>
    <t>doprava zaměstnanců, stravné nocležné</t>
  </si>
  <si>
    <t>Při ubytování vzdáleném více než 2km od staveniště</t>
  </si>
  <si>
    <t>064</t>
  </si>
  <si>
    <t>práce na těžko dostupných místech</t>
  </si>
  <si>
    <t>Práce v podzemí, ve výškách, ve stísněném prostoru a s tím související náklady</t>
  </si>
  <si>
    <t>065</t>
  </si>
  <si>
    <t>Práce ve zdraví škodlivém prostředí</t>
  </si>
  <si>
    <t>066</t>
  </si>
  <si>
    <t>Mimostaveništní doprava</t>
  </si>
  <si>
    <t>doprava strojů, rozvaděčů a technologických celků, pokud není v ceně výrobku</t>
  </si>
  <si>
    <t>PROVOZNÍ VLIVY</t>
  </si>
  <si>
    <t>071</t>
  </si>
  <si>
    <t>Provoz investora</t>
  </si>
  <si>
    <t>072</t>
  </si>
  <si>
    <t>Silniční provoz</t>
  </si>
  <si>
    <t>Zvýšení náklady při zasahování silničního provozu do prováděných prací</t>
  </si>
  <si>
    <t>075</t>
  </si>
  <si>
    <t>Ochranná pásma</t>
  </si>
  <si>
    <t>Práce v ochranných pásmech inženýrských sítí, komunikací a technických provozů</t>
  </si>
  <si>
    <t>079</t>
  </si>
  <si>
    <t>Ostatní provozní vlivy</t>
  </si>
  <si>
    <t>09</t>
  </si>
  <si>
    <t>OSTATNÍ NÁKLADY</t>
  </si>
  <si>
    <t>091</t>
  </si>
  <si>
    <t>Zkušební provoz</t>
  </si>
  <si>
    <t>Náklady na publicitu</t>
  </si>
  <si>
    <t>HSV+PSV</t>
  </si>
  <si>
    <t>ks</t>
  </si>
  <si>
    <t>ochrana půd proti erozi, stanovení mocnosti skrývky, vyjmutí ze ZPF</t>
  </si>
  <si>
    <t>kartografické práce</t>
  </si>
  <si>
    <t>Přesun stávajících konstrukcí a komunikací, přeložky sítí, vyznačení objížďky, zřízení provizorní komunikace</t>
  </si>
  <si>
    <t>Vyklizení objektu, demolice, odstranění zeleně, dekontaminace</t>
  </si>
  <si>
    <t>náklady na zřízení, demontáž a opotřebení stavebních buněk, zřízení mobilních WC, případně zřízení vybavení ve stávajících objektech, pronájem skladovacích a parkovacích ploch, náklady na provoz</t>
  </si>
  <si>
    <t>Kompletační a koordinační činnost</t>
  </si>
  <si>
    <t>zákonné pojištění dodavatele, zákonné stavebně montážní pojištění apod.</t>
  </si>
  <si>
    <t>rizikové prostředí (kanalizace, spalovny, krematoria a pod), práce se škodlivými materiály, extrémně prašné prostředí</t>
  </si>
  <si>
    <t>Probíhající provoz investora nebo dalšího subjektu na staveništi</t>
  </si>
  <si>
    <t>Náklady na zkušební provoz, ověření zda stavba dosahuje požadovaných parametrů, další požadavky investora</t>
  </si>
  <si>
    <t>STAVBA JAKO CELEK</t>
  </si>
  <si>
    <t>952901111</t>
  </si>
  <si>
    <t>Vyčištění budov bytové a občanské výstavby při výšce podlaží do 4 m</t>
  </si>
  <si>
    <t>766: Konstrukce truhlářské</t>
  </si>
  <si>
    <t>767: Konstrukce zámečnické</t>
  </si>
  <si>
    <t>784: Malby</t>
  </si>
  <si>
    <t>p.č.</t>
  </si>
  <si>
    <t>č.položky</t>
  </si>
  <si>
    <t>popis položky</t>
  </si>
  <si>
    <t>mj.</t>
  </si>
  <si>
    <t>cena/mj.</t>
  </si>
  <si>
    <t>cena celkem</t>
  </si>
  <si>
    <t>Nh/mj.</t>
  </si>
  <si>
    <t>Nh celkem</t>
  </si>
  <si>
    <t>Materiál elektromontážní</t>
  </si>
  <si>
    <t>kabel CYKY 3x2,5</t>
  </si>
  <si>
    <t>kabel CYKY 5x1,5</t>
  </si>
  <si>
    <t>smršťovací trubice KZ3/6-25(3x6)</t>
  </si>
  <si>
    <t>kabelové oko Cu lisovací 6x6 KU</t>
  </si>
  <si>
    <t>rámeček pro 1 přístroj Tango 3901A-B10</t>
  </si>
  <si>
    <t>součet</t>
  </si>
  <si>
    <t>Elektromontáže</t>
  </si>
  <si>
    <t>kabel(-CYKY) pevně uložený do 3x6/4x4/7x2,5</t>
  </si>
  <si>
    <t>ukončení kabelu smršťovací trubicí do 4x10</t>
  </si>
  <si>
    <t>ukončení kabelu smršťovací trubicí do 5x10</t>
  </si>
  <si>
    <t>krabice plast pro P rozvod vč.zapojení 8111</t>
  </si>
  <si>
    <t>krabice přístrojová bez zapojení</t>
  </si>
  <si>
    <t>zásuvka domovní zapuštěná vč.zapojení průběžně</t>
  </si>
  <si>
    <t>Ostatní náklady</t>
  </si>
  <si>
    <t>21M</t>
  </si>
  <si>
    <t>Výchozí revize</t>
  </si>
  <si>
    <t>Vzduchotechnika</t>
  </si>
  <si>
    <t>823 31</t>
  </si>
  <si>
    <t xml:space="preserve">Projektová dokumentace stanoví technické a uživatelské standardy staveb. Konkrétní materiály a výrobky uvedené v projektové dokumentaci a tomto výkazu výměr určují specifikaci požadovaných fyzikálních, technických, estetických a kvalitativních vlastností (viz. technické listy výrobků), jež musí splňovat případné alternativy. Konkrétní názvy výrobků byly použity pouze v případech, kde nebylo možné popsat daný prvek jiným způsobemnebo na ně byly provedeny technické výpočty pro dosažení zadaných a projektovaných parametrů. Záměny materiálů a výrobků jsou akceptovatelné za předpokladu, že budou tyto vlastnosti a parametry dodrženy a nevyvolají zásadní změny v projektovém řešení. </t>
  </si>
  <si>
    <t>m3</t>
  </si>
  <si>
    <t>Stavební část</t>
  </si>
  <si>
    <t>Stavební práce</t>
  </si>
  <si>
    <t>Zařízení pro vytápění</t>
  </si>
  <si>
    <t>Zdravotechnika</t>
  </si>
  <si>
    <t>Dodávky zařízení</t>
  </si>
  <si>
    <t>mezisoučet</t>
  </si>
  <si>
    <t>přirážka na dopravu</t>
  </si>
  <si>
    <t>vodič CY 4  /H07V-U/</t>
  </si>
  <si>
    <t>výměra dle soupisu vodičů</t>
  </si>
  <si>
    <t>přirážka na prořez</t>
  </si>
  <si>
    <t>podružný materiál</t>
  </si>
  <si>
    <t>vodič Cu(-CY,CYA) pevně uložený do 1x35</t>
  </si>
  <si>
    <t>poplatek za recyklaci svítidla</t>
  </si>
  <si>
    <t>poplatek za recyklaci světelného zdroje</t>
  </si>
  <si>
    <t>Výchozí revize a HZS</t>
  </si>
  <si>
    <t>HZS celkem</t>
  </si>
  <si>
    <t>dodávky zařízení</t>
  </si>
  <si>
    <t>materiál</t>
  </si>
  <si>
    <t>montáž</t>
  </si>
  <si>
    <t>-</t>
  </si>
  <si>
    <t>Podíl prací jiných profesí:</t>
  </si>
  <si>
    <t>druh</t>
  </si>
  <si>
    <t>základna</t>
  </si>
  <si>
    <t>silnoproud</t>
  </si>
  <si>
    <t>hromosvod</t>
  </si>
  <si>
    <t>zemní práce</t>
  </si>
  <si>
    <t>Materiál nosný</t>
  </si>
  <si>
    <t>podružný (%)</t>
  </si>
  <si>
    <t>Výroba rozvaděče (Nh)</t>
  </si>
  <si>
    <t>*</t>
  </si>
  <si>
    <t>4</t>
  </si>
  <si>
    <t>711: Izolace proti vodě</t>
  </si>
  <si>
    <t>kg</t>
  </si>
  <si>
    <t>781: Obklady keramické</t>
  </si>
  <si>
    <t>kabel CYKY 2x1,5</t>
  </si>
  <si>
    <t>kabel CYKY 3Ax1,5</t>
  </si>
  <si>
    <t>kabelové oko Cu lisovací 25x8 KU</t>
  </si>
  <si>
    <t>krabice univerz/rozvodka KU68-1903 vč.KO68 +S66</t>
  </si>
  <si>
    <t>SESTAVA  spínač 1pól Tango 10A/250Vstř řaz.1</t>
  </si>
  <si>
    <t>spínač/strojek 10A/250Vstř 3558-A01340 řaz. 1,1So</t>
  </si>
  <si>
    <t>kryt spínače 1-duchý 3558A-A651 pro ř.1,6,7,1/0</t>
  </si>
  <si>
    <t>kryt spín 3558A-A653 pro ř.1So,6So,S,1/0So,S,7So</t>
  </si>
  <si>
    <t>ovladač/strojek 10A/250Vstř 3558-A91342 ř.1/0,S,So</t>
  </si>
  <si>
    <t>ukončení na svorkovnici vodič do 16mm2</t>
  </si>
  <si>
    <t>krabicová rozvodka vč.svorkovn.a zapojení(-KR68)</t>
  </si>
  <si>
    <t>spínač zapuštěný vč.zapojení 1pólový/řazení 1</t>
  </si>
  <si>
    <t>přepínač zapuštěný vč.zapojení střídavý/řazení 6</t>
  </si>
  <si>
    <t>svorka řadová KR02F  2,5mm2/35A/fázová</t>
  </si>
  <si>
    <t>proudový chránič 4pol PF7-40/4/003</t>
  </si>
  <si>
    <t>Jaroslava Pohlová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</si>
  <si>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</si>
  <si>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</si>
  <si>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</si>
  <si>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</si>
  <si>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</si>
  <si>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</si>
  <si>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</si>
  <si>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</si>
  <si>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767</t>
  </si>
  <si>
    <t>Konstrukce zámečnické</t>
  </si>
  <si>
    <t>Díl:</t>
  </si>
  <si>
    <t>713 41-1111.R00</t>
  </si>
  <si>
    <t>1</t>
  </si>
  <si>
    <t>2</t>
  </si>
  <si>
    <t>5</t>
  </si>
  <si>
    <t>998 71-3102.R00</t>
  </si>
  <si>
    <t>Celkem za</t>
  </si>
  <si>
    <t>721 17-6105.R00</t>
  </si>
  <si>
    <t>721 19-4104.R00</t>
  </si>
  <si>
    <t>721 19-4105.R00</t>
  </si>
  <si>
    <t>721 19-4109.R00</t>
  </si>
  <si>
    <t>721 29-0111.R00</t>
  </si>
  <si>
    <t>998 72-1102.R00</t>
  </si>
  <si>
    <t>722 17-6112.R00</t>
  </si>
  <si>
    <t>722 17-6113.R00</t>
  </si>
  <si>
    <t>722 22-9101.R00</t>
  </si>
  <si>
    <t>722 19-0402.R00</t>
  </si>
  <si>
    <t>722 22-0121.R00</t>
  </si>
  <si>
    <t>pár</t>
  </si>
  <si>
    <t>722 19-1111.R00</t>
  </si>
  <si>
    <t>3</t>
  </si>
  <si>
    <t>998 72-2102.R00</t>
  </si>
  <si>
    <t>722 29-0234.R00</t>
  </si>
  <si>
    <t>725 21-9401.R00</t>
  </si>
  <si>
    <t>725 85-9102.R00</t>
  </si>
  <si>
    <t>725 33-9101.R00</t>
  </si>
  <si>
    <t>7</t>
  </si>
  <si>
    <t>998 72-5102.R00</t>
  </si>
  <si>
    <t>Dodávky svítidla</t>
  </si>
  <si>
    <t>smršťovací trubice KZ4X/6-16(4x16)</t>
  </si>
  <si>
    <t>kabelové oko Cu lisovací 16x8 KU</t>
  </si>
  <si>
    <t>smršťovací trubice KZ4X/16-50(4x25)</t>
  </si>
  <si>
    <t>smršťovací trubice RPK 30/8</t>
  </si>
  <si>
    <t>kabel(-CYKY) pevně uložený do 5x6/7x4/12x1,5</t>
  </si>
  <si>
    <t>ukončení kabelu smršťovací trubicí do 4x25</t>
  </si>
  <si>
    <t>rozvodnice do hmotnosti 20kg</t>
  </si>
  <si>
    <t>ochranná přípojnice FeZn30/4</t>
  </si>
  <si>
    <t>Rozpis rozvaděče MS1</t>
  </si>
  <si>
    <t>Zkouška rozvaděče</t>
  </si>
  <si>
    <t>Dodávky celkem</t>
  </si>
  <si>
    <t>Svítidla celkem</t>
  </si>
  <si>
    <t>Materiál celkem</t>
  </si>
  <si>
    <t>Ostatní náklady celkem</t>
  </si>
  <si>
    <t>Svítidla</t>
  </si>
  <si>
    <t>úložný materiál dle výkresu 12-15</t>
  </si>
  <si>
    <t>kabel CYKY 7x1,5</t>
  </si>
  <si>
    <t>Měření a regulace</t>
  </si>
  <si>
    <t>08</t>
  </si>
  <si>
    <t>Silnoproudá zařízení</t>
  </si>
  <si>
    <t>Slaboproudá zařízení</t>
  </si>
  <si>
    <t>Slaboproudé zařízení</t>
  </si>
  <si>
    <t>Silnoproudé zařízení</t>
  </si>
  <si>
    <t>%</t>
  </si>
  <si>
    <t>H</t>
  </si>
  <si>
    <t>m</t>
  </si>
  <si>
    <t>t</t>
  </si>
  <si>
    <t>07</t>
  </si>
  <si>
    <t>MJ</t>
  </si>
  <si>
    <t>ON</t>
  </si>
  <si>
    <t>SP</t>
  </si>
  <si>
    <t>m2</t>
  </si>
  <si>
    <t>Kód</t>
  </si>
  <si>
    <t>Typ</t>
  </si>
  <si>
    <t>kus</t>
  </si>
  <si>
    <t>Popis</t>
  </si>
  <si>
    <t>soubor</t>
  </si>
  <si>
    <t>Ztratné</t>
  </si>
  <si>
    <t>Poř.</t>
  </si>
  <si>
    <t>Výměra</t>
  </si>
  <si>
    <t>Elektrický zámek</t>
  </si>
  <si>
    <t>Instalační rámeček malý</t>
  </si>
  <si>
    <t>Instalační rámeček velký</t>
  </si>
  <si>
    <t>CELKEM dodávka MDC V02</t>
  </si>
  <si>
    <t xml:space="preserve">Kontrola a otestování rozvodného vedení </t>
  </si>
  <si>
    <t>Kontrola provozu a zaškolení</t>
  </si>
  <si>
    <t>CELKEM montáž dodávek MDC V02</t>
  </si>
  <si>
    <t>Kabel CHKE-R 2 x 1,5</t>
  </si>
  <si>
    <t>CELKEM montážní materiál</t>
  </si>
  <si>
    <t xml:space="preserve">CELKEM montáž </t>
  </si>
  <si>
    <t>Ing. Josef Dvořáček</t>
  </si>
  <si>
    <t>rozv ocep BP-U-800/15C Zapu v.1500mm 9x35M  293322</t>
  </si>
  <si>
    <t>tyč plochá Cu12/5(0,54kg/m)</t>
  </si>
  <si>
    <t>svorka řadová KR16F  16mm2/85A/fázová</t>
  </si>
  <si>
    <t>svorka řadová KR35F  35mm2/168A/fázová</t>
  </si>
  <si>
    <t>spínač páčkový IS40/3 3pol 40A na lištu</t>
  </si>
  <si>
    <t>pojistková patrona válcová PV14(6-50A)gG</t>
  </si>
  <si>
    <t>jednotka pomocných kontaktů Z7-HK</t>
  </si>
  <si>
    <t>proudový chránič 4pol PF7-25/4/003</t>
  </si>
  <si>
    <t>ovladač XB5AA43.. pr22/IP65/1Vyp stiskací lícující</t>
  </si>
  <si>
    <t>signálka XB5AVM. pr22/IP65/LED 230-240Vstř</t>
  </si>
  <si>
    <t>relé pomocné RP208/3P, 230V</t>
  </si>
  <si>
    <t>relé multifu časové MCR/1P/0,25s-64min/AC230V/1M</t>
  </si>
  <si>
    <t>Rozpis rozvaděče RS2.2</t>
  </si>
  <si>
    <t>Specifikace rozvaděče</t>
  </si>
  <si>
    <t>rozvodnice Nedbox 1x 8M    nástěnná IP30/40 601200</t>
  </si>
  <si>
    <t>zvuková signalizace na lištu Z-SUM230</t>
  </si>
  <si>
    <t>Poruchová signalizace PVA 82.3/230 Siemens</t>
  </si>
  <si>
    <t>Rozvaděč oceloplechový                ozn.RS2.2</t>
  </si>
  <si>
    <t>Rozvaděč oceloplechový                ozn.RS2.1</t>
  </si>
  <si>
    <t>Ovládací skříň                               ozn.MS1</t>
  </si>
  <si>
    <t>Svítidla - materiál</t>
  </si>
  <si>
    <t>E1-svít zář AURA8 NK-E18/013 1x18W IP20 pr300 s NM</t>
  </si>
  <si>
    <t>zářivka 1-paticová(G24q2) 18W</t>
  </si>
  <si>
    <t>WC u pokojů</t>
  </si>
  <si>
    <t xml:space="preserve">E2-svít zář AURA10 NK E26/014 1x26W IP44 pr360 s NM </t>
  </si>
  <si>
    <t>zářivka 1-paticová(G24q3) 26W</t>
  </si>
  <si>
    <t>sprchy u pokojů</t>
  </si>
  <si>
    <t>předsíňky u pokojů</t>
  </si>
  <si>
    <t>E6-svítidlo záři ALMA 2 NK-E13/123 1x13W IP41 pr350 s NM</t>
  </si>
  <si>
    <t>zářivka 1-paticová(G24q1) 13W</t>
  </si>
  <si>
    <t>noční a nouzové, pokoje</t>
  </si>
  <si>
    <t>E7-svítidlo záři ALMA 1 NZ-7/121 1x7W IP41 pr250 s NM</t>
  </si>
  <si>
    <t>zářivka 1-paticová(G24q1) 7W</t>
  </si>
  <si>
    <t>nouzové</t>
  </si>
  <si>
    <t xml:space="preserve">E8-svítidlo záři AURA 4 E-26K74/072 2x26 IP43 pr420 </t>
  </si>
  <si>
    <t>zářivka 1-paticová(G24q1) 26W</t>
  </si>
  <si>
    <t xml:space="preserve"> pokoje</t>
  </si>
  <si>
    <t>E9-svítidlo záři AURA 4 NKC-226/13/072 2x26W IP43 pr420 s NM</t>
  </si>
  <si>
    <t>pokoje</t>
  </si>
  <si>
    <t xml:space="preserve">E10-svítidlo záři MODUS EVAS 128 ADLP 1x28W/IP20 </t>
  </si>
  <si>
    <t>zářivka lineární T8 pr26mm/L590mm/G13 28W</t>
  </si>
  <si>
    <t xml:space="preserve">E11-svítidlo záři ARGUS TL 2016/21 21W tř.II IP20 </t>
  </si>
  <si>
    <t>zářivka lineární T8 pr26mm/L590mm/G13 21W</t>
  </si>
  <si>
    <t>pokoje, lůžka</t>
  </si>
  <si>
    <t xml:space="preserve">E12-svít zář AURA 11  E-26BT15/015  2x26W IP44 pr420 </t>
  </si>
  <si>
    <t>zářivka 1-paticová(G24q) 26W</t>
  </si>
  <si>
    <t>E13-svít zář AURA 11  NKC-226/13/015  2x26W IP44 pr420 s NM</t>
  </si>
  <si>
    <t>zářivka lineární T4 pr26mm/L590mm/G13 14W</t>
  </si>
  <si>
    <t>chodba</t>
  </si>
  <si>
    <t>E17-svítidlo záři LLX218AL 2x18W/IP20 EP leštěná mřížka</t>
  </si>
  <si>
    <t>zářivka lineární T8 pr26mm/L1200mm/G13 18W</t>
  </si>
  <si>
    <t>E18-svítidlo záři LLX318AL 3x18W/IP20 EP leštěná mřížka</t>
  </si>
  <si>
    <t>E22-svítidlo záři LLX236AL 2x36W/IP20 leštěná mřížka</t>
  </si>
  <si>
    <t>zářivka lineární T8 pr26mm/L1200mm/G13 36W</t>
  </si>
  <si>
    <t>Svítidla montáž</t>
  </si>
  <si>
    <t>svítidlo zářivkové příložné kompaktní s nouz.modulem (E1)</t>
  </si>
  <si>
    <t>svítidlo zářivkové příložné kompaktní s nouz.modulem (E2)</t>
  </si>
  <si>
    <t>svítidlo zářivkové příložné kompaktní (E3)</t>
  </si>
  <si>
    <t>svítidlo zářivkové příložné kompaktní (E4)</t>
  </si>
  <si>
    <t>svítidlo zářivkové příložné kompaktní s nouz. modulem (E6)</t>
  </si>
  <si>
    <t>nouzové orientační svítidlo zářivkové (E7)</t>
  </si>
  <si>
    <t>svítidlo zářivkové příložné kompaktní (E8)</t>
  </si>
  <si>
    <t>svítidlo zářivkové příložné kompaktní s nouz.modulem (E9)</t>
  </si>
  <si>
    <t>svítidlo zářivkové bytové stropní/1 zdroj (E10)</t>
  </si>
  <si>
    <t>svítidlo zářivkové bytové stropní/1 zdroj (E11)</t>
  </si>
  <si>
    <t>svítidlo zářivkové příložné kompaktní s nouz.modulem (E12)</t>
  </si>
  <si>
    <t>svítidlo zářivkové příložné kompaktní s nouz.modulem (E13)</t>
  </si>
  <si>
    <t>svítidlo zářivkové bytové vestavné/4 zdroje (E14)</t>
  </si>
  <si>
    <t>svítidlo zářivkové bytové vestavné/LED (E15)</t>
  </si>
  <si>
    <t>svítidlo zářivkové bytové stropní/LED s nouz. modulem (E16)</t>
  </si>
  <si>
    <t>svítidlo zářivkové bytové stropní/2 zdroje (E17)</t>
  </si>
  <si>
    <t>svítidlo zářivkové bytové stropní/3 zdroje (E18)</t>
  </si>
  <si>
    <t>svítidlo zářivkové bytové stropní/4 zdroje (E19)</t>
  </si>
  <si>
    <t>svítidlo zářivkové bytové stropní/3 zdroje (E20)</t>
  </si>
  <si>
    <t>svítidlo zářivkové bytové stropní/2 zdroje (E22)</t>
  </si>
  <si>
    <t>svítidlo zářivkové bytové stropní/2 zdroje (E23)</t>
  </si>
  <si>
    <t>Svítidla elektromontáže</t>
  </si>
  <si>
    <t>vodič CY 16  /H07V-U/</t>
  </si>
  <si>
    <t>kabel CYKY 5x4</t>
  </si>
  <si>
    <t>kabel CYKY 12x1,5</t>
  </si>
  <si>
    <t>smršťovací trubice RPK 25/10</t>
  </si>
  <si>
    <t>krabice lištová tango LK80X28T  81x81x28</t>
  </si>
  <si>
    <t>krabice lištová tango LK80X28 2T  150x81x28</t>
  </si>
  <si>
    <t>krabice lištová hran LK80/3  82x82x16 +VLK80+S66</t>
  </si>
  <si>
    <t>lišta vkládací LHD 40x20</t>
  </si>
  <si>
    <t>/LHD 40x20/ kryt koncový 8631</t>
  </si>
  <si>
    <t>/LHD 40x20/ kryt ohybový 8633</t>
  </si>
  <si>
    <t>/LHD 40x20/ kryt odbočný 8634</t>
  </si>
  <si>
    <t>/LHD 40x20/ kryt rohový vnitřní 8635</t>
  </si>
  <si>
    <t>/LHD 40x20/ kryt rohový vnější 8636</t>
  </si>
  <si>
    <t>lišta vkládací LH 40x40</t>
  </si>
  <si>
    <t>/LH 40x40/ kryt koncový 8641</t>
  </si>
  <si>
    <t>/LH 40x40/ kryt ohybový 8643</t>
  </si>
  <si>
    <t>/LH 40x40/ kryt odbočný 8644</t>
  </si>
  <si>
    <t>/LH 40x40/ kryt rohový vnitřní 8645</t>
  </si>
  <si>
    <t>/LH 40x40/ kryt rohový vnější 8646</t>
  </si>
  <si>
    <t>parapetní kanál PK 210x70D</t>
  </si>
  <si>
    <t>/PK210x70/ kryt koncový 8491</t>
  </si>
  <si>
    <t>/PK210x70/ kryt spojovací 8492</t>
  </si>
  <si>
    <t>/kanál PK/ krabice přístrojová KP PK</t>
  </si>
  <si>
    <t>SESTAVA  spínač 1pól Tango 10A/250Vstř řaz.1So</t>
  </si>
  <si>
    <t>doutnavka orientační 3916-12221</t>
  </si>
  <si>
    <t>SESTAVA  přepín střídavý Tango 10A/250Vstř řaz.6</t>
  </si>
  <si>
    <t>přepínač/strojek 10A/250Vstř 3558-A06340 řaz.6,6So</t>
  </si>
  <si>
    <t>SESTAVA  přepínač křížový Tango 10A/250Vstř ř.7</t>
  </si>
  <si>
    <t>přepínač/strojek 10A/250Vstř 3558-A07340 řaz.7,7So</t>
  </si>
  <si>
    <t>SESTAVA  ovladač zapín Tango 10A/250Vstř řaz.1/0</t>
  </si>
  <si>
    <t>rámeček pro 1 přístroj Tango 1725-0-1494</t>
  </si>
  <si>
    <t>úložný materiál dle výkresu 11-13</t>
  </si>
  <si>
    <t>kabel(-1kV CHKE)pevně 3x50/4x35/5x25/24x2,5/37x1,5</t>
  </si>
  <si>
    <t>ukončení kabelu smršťovací trubicí do 7x4</t>
  </si>
  <si>
    <t>ukončení kabelu smršťovací trubicí do 12x4</t>
  </si>
  <si>
    <t>krabice lištová bez zapojení(-LK80/2)</t>
  </si>
  <si>
    <t>krabice lištová vč.svorkovn. a zapojení(-LK80/3)</t>
  </si>
  <si>
    <t>lišta vkládací úplná pevně uložená do š.40mm</t>
  </si>
  <si>
    <t>kabelový žlab s víkem do š.170mm</t>
  </si>
  <si>
    <t>krabice do kabelového žlabu bez zapoj vodičů</t>
  </si>
  <si>
    <t>spínač zapuštěný vč.zapojení 1pólový+signalis./1S</t>
  </si>
  <si>
    <t>přepínač zapuštěný vč.zapojení křížový/řazení 7</t>
  </si>
  <si>
    <t>ovladač zapuštěný vč.zapojení tlačítkový/ř.1/0</t>
  </si>
  <si>
    <t>rozvodnice do hmotnosti 150kg</t>
  </si>
  <si>
    <t>Demontáže</t>
  </si>
  <si>
    <t>Demontáže celkem</t>
  </si>
  <si>
    <t>lišta plast úplná bez krabic pevně L60 prota /dmtž</t>
  </si>
  <si>
    <t>krabice lištová bez zapojení(-LK80/2) /dmtž</t>
  </si>
  <si>
    <t>krabice lištová vč.svorkovn. a zapojení(-LK8 /dmtž</t>
  </si>
  <si>
    <t>kabel(-CYKY) pevně uložený do 3x6/4x4/7x2,5 /dmtž</t>
  </si>
  <si>
    <t>ukončení kabelu smršťovací trubicí do 4x10 /dmtž</t>
  </si>
  <si>
    <t>přepínač zapuštěný vč.zapojení sériový/řazen /dmtž</t>
  </si>
  <si>
    <t>zásuvka domovní zapuštěná vč.zapojení /dmtž</t>
  </si>
  <si>
    <t>spínač 3pól/25A/400V(sporák přípoj)vč.zapoj  /dmtž</t>
  </si>
  <si>
    <t>ovladač dorozumívacího zařízení, vč.zapoj/dmtž</t>
  </si>
  <si>
    <t>zvonkové tablo vč.zapojení/2 tlačítka /dmtž</t>
  </si>
  <si>
    <t>transparent svítidlo vč.žárovek a zapojení t /dmtž</t>
  </si>
  <si>
    <t>ovládací nebo signální přístroj modul vč.zap /dmtž</t>
  </si>
  <si>
    <t>rozvodnice do hmotnosti 100kg /dmtž</t>
  </si>
  <si>
    <t>rozvodnice do hmotnosti 20kg /dmtž</t>
  </si>
  <si>
    <t>rozvodnice do hmotnosti 50kg /dmtž</t>
  </si>
  <si>
    <t>svítidlo žárovkové bytové stropní/1 zdroj /dmtž</t>
  </si>
  <si>
    <t>svítidlo žárovkové bytové závěsné /dmtž</t>
  </si>
  <si>
    <t>svítidlo zářivkové bytové stropní/2 zdroje /dmtž</t>
  </si>
  <si>
    <t>svítidlo zářivkové bytové stropní/1 zdroj /dmtž</t>
  </si>
  <si>
    <t>nouzové orientační svítidlo zářivkové /dmtž</t>
  </si>
  <si>
    <t xml:space="preserve">21M </t>
  </si>
  <si>
    <t>demontáž</t>
  </si>
  <si>
    <t>vysekání kapsy/zeď cihla/ do 100x100x100mm</t>
  </si>
  <si>
    <t>vysekání rýhy/zeď cihla/ hl.do 30mm/š.do 30mm</t>
  </si>
  <si>
    <t>zazdívka otvoru ve zdivu/cihla/do 1,00m2/tl.0,15m</t>
  </si>
  <si>
    <t>zjištění stavu rozvaděče/pole nad 30 přístrojů</t>
  </si>
  <si>
    <t>zjištění stavu rozvaděče zapouzdřeného</t>
  </si>
  <si>
    <t>zjištění stavu ELokruhu/prostor bezp/od 10 vývodů</t>
  </si>
  <si>
    <t>měření izolačního odporu na přívodu do rozvaděče</t>
  </si>
  <si>
    <t>měření izolačního odporu vnitřního zapoj.rozvaděče</t>
  </si>
  <si>
    <t>měření izolačního odporu rozvaděč/okruh od 10vývod</t>
  </si>
  <si>
    <t>měření přechod.odporu ochran.spojení/pospojování</t>
  </si>
  <si>
    <t>vypnutí vedení, zajištění vyp.stavu, opět zapnutí</t>
  </si>
  <si>
    <t>vypracov zprávy/period revize do 40 hodin/25% ceny</t>
  </si>
  <si>
    <t>SO 01 Vlastní objekt</t>
  </si>
  <si>
    <t>Investor:</t>
  </si>
  <si>
    <t>Město Šumperk</t>
  </si>
  <si>
    <t>801 11</t>
  </si>
  <si>
    <t xml:space="preserve">Investor: </t>
  </si>
  <si>
    <t>Izolace tepelná  montáž</t>
  </si>
  <si>
    <t>Ochrana potrubí plstěnými pásy do  DN 100</t>
  </si>
  <si>
    <t>721 17-0975.R00</t>
  </si>
  <si>
    <t>Oprava potrubí z PVC, krácení trub DN 110</t>
  </si>
  <si>
    <t>721 14-0915.R00</t>
  </si>
  <si>
    <t>Oprava - propojení dosavadního potrubí DN 100</t>
  </si>
  <si>
    <t>Zkouška těsnosti kanalizace vodou DN 125</t>
  </si>
  <si>
    <t>721 30-0912.R00</t>
  </si>
  <si>
    <t>Pročištění svislých odpadů, jedno podl., do DN 200</t>
  </si>
  <si>
    <t>721 15-3204.R00</t>
  </si>
  <si>
    <t>Potrubí  PE připojovací, D 40 x 3,0</t>
  </si>
  <si>
    <t>721 15-3205.R00</t>
  </si>
  <si>
    <t>Potrubí  PE připojovací, D 50 x 3,0</t>
  </si>
  <si>
    <t>Vyvedení odpadních výpustek D 50 x 1,8</t>
  </si>
  <si>
    <t>Vyvedení odpadních výpustek D 110 x 2,3</t>
  </si>
  <si>
    <t>721 17-1803.R00</t>
  </si>
  <si>
    <t>Demontáž potrubí z PVC do DN 75</t>
  </si>
  <si>
    <t>721 17-1808.R00</t>
  </si>
  <si>
    <t>Demontáž potrubí z PVC do DN 114</t>
  </si>
  <si>
    <t>721 29-0822.R00</t>
  </si>
  <si>
    <t>Přesun vybouraných hmot - kanalizace, H 6 - 12 m</t>
  </si>
  <si>
    <t>Poplatek za skládku ( skládkovné)</t>
  </si>
  <si>
    <t>Doprava na skládkuZKD 1 KM přes 1 KM t*(10-1)</t>
  </si>
  <si>
    <t>Výměry viz půdorys rozvodu vody</t>
  </si>
  <si>
    <t>722 17-2411.R00</t>
  </si>
  <si>
    <t>Potrubí z PPR Wavin, D 20/2,2 mm</t>
  </si>
  <si>
    <t>722 17-2412.R00</t>
  </si>
  <si>
    <t>Potrubí z PPR Wavin, D 25/2,3 mm</t>
  </si>
  <si>
    <t>Kulový kohout rohový DN 15</t>
  </si>
  <si>
    <t>Hadice flexibilní k baterii,DN 15 x M10,délka 0,4m</t>
  </si>
  <si>
    <t>Kulový kohout uzavírací DN 20</t>
  </si>
  <si>
    <t>Kulový kohout uzavírací DN 25</t>
  </si>
  <si>
    <t>722 17-0911.R00</t>
  </si>
  <si>
    <t>Oprava potrubí z PE trub.,vsaz.odbočky  do DN 32</t>
  </si>
  <si>
    <t>722 17-1912.R00</t>
  </si>
  <si>
    <t>Odříznutí plastové trubky  DN 20</t>
  </si>
  <si>
    <t>722 17-1913.R00</t>
  </si>
  <si>
    <t>Odříznutí plastové trubky  DN 25</t>
  </si>
  <si>
    <t>722 17-1914.R00</t>
  </si>
  <si>
    <t>Odříznutí plastové trubky  DN 32</t>
  </si>
  <si>
    <t>722 17-1915.R00</t>
  </si>
  <si>
    <t>Odříznutí plastové trubky  DN 40</t>
  </si>
  <si>
    <t>Proplach a dezinfekce vodovod.potrubí DN 80</t>
  </si>
  <si>
    <t>722 19-0901.R00</t>
  </si>
  <si>
    <t>Uzavření/otevření vodovodního potrubí při opravě</t>
  </si>
  <si>
    <t>722 13-0801.R00</t>
  </si>
  <si>
    <t>Demontáž potrubí ocelových závitových</t>
  </si>
  <si>
    <t>722 18-1812.R00</t>
  </si>
  <si>
    <t>Demontáž plstěných pásů z trub D 50</t>
  </si>
  <si>
    <t>722 29-0822.R00</t>
  </si>
  <si>
    <t>Přesun vybouraných hmot - vodovody, H 6 - 12 m</t>
  </si>
  <si>
    <t>Poplatek za skládku (skládkovné)</t>
  </si>
  <si>
    <t>Dopravné na skládku ZKD 1 KM t* (10-1)</t>
  </si>
  <si>
    <t>725 01-7134.R00</t>
  </si>
  <si>
    <t>Umyvadlo na šrouby OLYMP 60 x 45 cm, bílé</t>
  </si>
  <si>
    <t>725 01-7331.R00</t>
  </si>
  <si>
    <t>Umývátko na šrouby OLYMP 45 x 37 cm, bílé</t>
  </si>
  <si>
    <t>725 86-0109.R00</t>
  </si>
  <si>
    <t>Uzávěrka zápachová umyvadlová T 1016,D 40</t>
  </si>
  <si>
    <t>725 82-9201.RT1</t>
  </si>
  <si>
    <t>Montáž baterie umyv.a dřezové nástěnné chromové včetně dodávky pákové baterie</t>
  </si>
  <si>
    <t>725 82-3111.R00</t>
  </si>
  <si>
    <t>Baterie umyvadlová stoján. ruční, bez otvír.odpadu</t>
  </si>
  <si>
    <t>Montáž ventilu odpadního do DN 50</t>
  </si>
  <si>
    <t>725 01-3135.R00</t>
  </si>
  <si>
    <t>Klozet kombi OLYMP,nádrž s armat.odpad vodor+sedát Výška sedátka 500</t>
  </si>
  <si>
    <t>725 11-9305.R00</t>
  </si>
  <si>
    <t>Montáž klozetových mís kombinovaných</t>
  </si>
  <si>
    <t>725 84-5111.RT1</t>
  </si>
  <si>
    <t>Baterie sprchová nástěnná ruční standardní</t>
  </si>
  <si>
    <t>725 83-9203.R00</t>
  </si>
  <si>
    <t>Montáž baterie nástěnné G 1/2</t>
  </si>
  <si>
    <t>551-45300</t>
  </si>
  <si>
    <t>Držák pevný SPC201</t>
  </si>
  <si>
    <t>725 84-9302.R00</t>
  </si>
  <si>
    <t>Montáž držáku sprchy</t>
  </si>
  <si>
    <t>Sprchová zástěna dveře otočné 90 cm k instalaci s pevnou stěnou</t>
  </si>
  <si>
    <t>725 21-0821.R00</t>
  </si>
  <si>
    <t>Demontáž umyvadel bez výtokových armatur</t>
  </si>
  <si>
    <t>725 82-0801.R00</t>
  </si>
  <si>
    <t>Demontáž baterie nástěnné do G 3/4 U+VL</t>
  </si>
  <si>
    <t>725 84-0850.R00</t>
  </si>
  <si>
    <t>Demontáž baterie sprch.diferenciální G 3/4x1</t>
  </si>
  <si>
    <t>725 24-0811.R00</t>
  </si>
  <si>
    <t>Demontáž sprchových kabin bez výtokových armatur</t>
  </si>
  <si>
    <t>725 86-0811.R00</t>
  </si>
  <si>
    <t>725 11-0811.R00</t>
  </si>
  <si>
    <t>Demontáž klozetů splachovacích</t>
  </si>
  <si>
    <t>725 33-0820.R00</t>
  </si>
  <si>
    <t>Demontáž výlevky diturvitové</t>
  </si>
  <si>
    <t>725 59-0812.R00</t>
  </si>
  <si>
    <t>Přesun vybour.hmot, zařizovací předměty H 12 m</t>
  </si>
  <si>
    <t>Doprava na skládku ZKD 1 KM přes 1 KM</t>
  </si>
  <si>
    <t>Konzoly, závěsy, objímky</t>
  </si>
  <si>
    <t>MT ostatních atyp kov. konstr.</t>
  </si>
  <si>
    <t>Zařízení č.1</t>
  </si>
  <si>
    <t>1.001</t>
  </si>
  <si>
    <t>751 11-1132</t>
  </si>
  <si>
    <t>Časové relé DT 3 TD-500/160-dvouotáčkový</t>
  </si>
  <si>
    <t>1.002</t>
  </si>
  <si>
    <t>Manžeta VBM o160 mm element</t>
  </si>
  <si>
    <t>1.003</t>
  </si>
  <si>
    <t>751 34-4112</t>
  </si>
  <si>
    <t>Tlumič hluku MAA  o160/ 600 mm</t>
  </si>
  <si>
    <t>1.004</t>
  </si>
  <si>
    <t>751 51-1183</t>
  </si>
  <si>
    <t>Potrubí SPIRO 160  pozink 3m</t>
  </si>
  <si>
    <t>1.005</t>
  </si>
  <si>
    <t>751 51-4179</t>
  </si>
  <si>
    <t>Oblouk segmentový 90°- SPIRO  OS 160</t>
  </si>
  <si>
    <t>1.006</t>
  </si>
  <si>
    <t>751 51-4288</t>
  </si>
  <si>
    <t>Odbočka jednostranná 90°-SPIRO 160/100</t>
  </si>
  <si>
    <t>1.007</t>
  </si>
  <si>
    <t>751 39-8041</t>
  </si>
  <si>
    <t>Žaluz. klapka PER-160 W</t>
  </si>
  <si>
    <t>1.008</t>
  </si>
  <si>
    <t>751 32-2012</t>
  </si>
  <si>
    <t>Talíř.vent.plast.odvod VEF 160</t>
  </si>
  <si>
    <t>1.009</t>
  </si>
  <si>
    <t>Talíř.vent.plast.odvod VEF 100</t>
  </si>
  <si>
    <t>1.010</t>
  </si>
  <si>
    <t>Potrubí SPIRO 100  pozink 3m</t>
  </si>
  <si>
    <t>1.011</t>
  </si>
  <si>
    <t>Oblouk segmentový 90°- SPIRO  OS 100</t>
  </si>
  <si>
    <t>1.012</t>
  </si>
  <si>
    <t xml:space="preserve">Nosné konstrukce, závěsy </t>
  </si>
  <si>
    <t>1.013</t>
  </si>
  <si>
    <t xml:space="preserve">Spojovací a těsnící materiál </t>
  </si>
  <si>
    <t>1.014</t>
  </si>
  <si>
    <t>751 58-1311</t>
  </si>
  <si>
    <t>Izolace potr.VZT poz.pl.0,8m Izolace lamel.rohoží tl.20mm,</t>
  </si>
  <si>
    <t>CELKEM</t>
  </si>
  <si>
    <t>Zařízení č.2</t>
  </si>
  <si>
    <t>2.001</t>
  </si>
  <si>
    <t>2.002</t>
  </si>
  <si>
    <t>Manžeta VBM o250 mm element</t>
  </si>
  <si>
    <t>2.003</t>
  </si>
  <si>
    <t>Tlumič hluku MAA  o250/ 900 mm</t>
  </si>
  <si>
    <t>2.004</t>
  </si>
  <si>
    <t>Potrubí SPIRO 250  pozink 3m</t>
  </si>
  <si>
    <t>2.006</t>
  </si>
  <si>
    <t>Oblouk segmentový 90°- SPIRO  OS 250</t>
  </si>
  <si>
    <t>2.005</t>
  </si>
  <si>
    <t>Žaluz. klapka PER-250 W</t>
  </si>
  <si>
    <t>2.007</t>
  </si>
  <si>
    <t>2.008</t>
  </si>
  <si>
    <t>751 51-4479</t>
  </si>
  <si>
    <t>2.009</t>
  </si>
  <si>
    <t>Požární klapka PKTM těsná .01 355 x 200 ovl.ruční a teplotní (tavná poj.)</t>
  </si>
  <si>
    <t>2.010</t>
  </si>
  <si>
    <t>751 51-1022</t>
  </si>
  <si>
    <t>Potrubí čtyřhr.sk.I-trouby TR-obvod 1500 pozink.pl.</t>
  </si>
  <si>
    <t>bm</t>
  </si>
  <si>
    <t>2.011</t>
  </si>
  <si>
    <t>Potrubí čtyřhr.sk.I-tvarovky TV-obvod 1500 pozink.pl. -oblouk</t>
  </si>
  <si>
    <t>2.012</t>
  </si>
  <si>
    <t>Potrubí čtyřhr.sk.I-tvarovky TV-obvod 1500 pozink.pl.- odbočka</t>
  </si>
  <si>
    <t>2.013</t>
  </si>
  <si>
    <t>Potrubí čtyřhr.sk.I-tvarovky TV-obvod 1500 pozink.pl.- přechod</t>
  </si>
  <si>
    <t>2.014</t>
  </si>
  <si>
    <t>751 51-1021</t>
  </si>
  <si>
    <t>Potrubí čtyřhr.sk.I-trouby TR-obvod 1050 pozink.pl.</t>
  </si>
  <si>
    <t>2.015</t>
  </si>
  <si>
    <t>Potrubí čtyřhr.sk.I-tvarovky TR-obvod 1050 pozink.pl. - oblouk</t>
  </si>
  <si>
    <t>2.016</t>
  </si>
  <si>
    <t>Potrubí čtyřhr.sk.I-tvarovky TR-obvod 1050 pozink.pl. - přechod</t>
  </si>
  <si>
    <t>2.017</t>
  </si>
  <si>
    <t>2.018</t>
  </si>
  <si>
    <t>2.019</t>
  </si>
  <si>
    <t>2.020</t>
  </si>
  <si>
    <t>Potrubí SPIRO 100  pozink 3m  - odbočka</t>
  </si>
  <si>
    <t>2.021</t>
  </si>
  <si>
    <t>2.022</t>
  </si>
  <si>
    <t>2.023</t>
  </si>
  <si>
    <t>Škrtící  klapka těsná MSKT 160</t>
  </si>
  <si>
    <t>2.024</t>
  </si>
  <si>
    <t>2.025</t>
  </si>
  <si>
    <t>2.026</t>
  </si>
  <si>
    <t>Zařízení č.3</t>
  </si>
  <si>
    <t>3.001</t>
  </si>
  <si>
    <t>3.002</t>
  </si>
  <si>
    <t>3.003</t>
  </si>
  <si>
    <t>3.004</t>
  </si>
  <si>
    <t>3.005</t>
  </si>
  <si>
    <t>3.006</t>
  </si>
  <si>
    <t>3.007</t>
  </si>
  <si>
    <t>3.008</t>
  </si>
  <si>
    <t>3.009</t>
  </si>
  <si>
    <t>3.010</t>
  </si>
  <si>
    <t>3.011</t>
  </si>
  <si>
    <t>3.012</t>
  </si>
  <si>
    <t>3.013</t>
  </si>
  <si>
    <t>3.014</t>
  </si>
  <si>
    <t>3.015</t>
  </si>
  <si>
    <t>3.016</t>
  </si>
  <si>
    <t>3.017</t>
  </si>
  <si>
    <t>3.018</t>
  </si>
  <si>
    <t>Odbočka 90°- 160/160  -SPIRO  OS 160</t>
  </si>
  <si>
    <t>3.019</t>
  </si>
  <si>
    <t>3.020</t>
  </si>
  <si>
    <t>3.021</t>
  </si>
  <si>
    <t>3.022</t>
  </si>
  <si>
    <t>3.023</t>
  </si>
  <si>
    <t>3.024</t>
  </si>
  <si>
    <t>3.025</t>
  </si>
  <si>
    <t>3.026</t>
  </si>
  <si>
    <t>dodávka/mj</t>
  </si>
  <si>
    <t>dodávka celkem</t>
  </si>
  <si>
    <t>montáž celekm</t>
  </si>
  <si>
    <t>motáž/
mj</t>
  </si>
  <si>
    <t>hmotnost</t>
  </si>
  <si>
    <t>968072455</t>
  </si>
  <si>
    <t>Vybourání kovových dveřních zárubní pl do 2 m2</t>
  </si>
  <si>
    <t>968072456</t>
  </si>
  <si>
    <t>Vybourání kovových dveřních zárubní pl přes 2 m2</t>
  </si>
  <si>
    <t>971052341</t>
  </si>
  <si>
    <t>Vybourání nebo prorážení otvorů v ŽB příčkách a zdech pl do 0,09 m2 tl do 300 mm</t>
  </si>
  <si>
    <t>978059541</t>
  </si>
  <si>
    <t>Poplatek za uložení stavebního směsného odpadu na skládce (skládkovné)</t>
  </si>
  <si>
    <t>998711202</t>
  </si>
  <si>
    <t>55331612</t>
  </si>
  <si>
    <t>998763402</t>
  </si>
  <si>
    <t>998766202</t>
  </si>
  <si>
    <t>767581802</t>
  </si>
  <si>
    <t>Demontáž podhledu lamel</t>
  </si>
  <si>
    <t>998767202</t>
  </si>
  <si>
    <t>998771202</t>
  </si>
  <si>
    <t>776: Podlahy povlakové</t>
  </si>
  <si>
    <t>998776202</t>
  </si>
  <si>
    <t>998781202</t>
  </si>
  <si>
    <t>Náklady jiné než v uvedených provozních vlivech, skládky mimo stavby, prostorové omezení zásobování staveniště, práce mimo pracovní dobu       a práce úklidové a desinfekce</t>
  </si>
  <si>
    <t>,</t>
  </si>
  <si>
    <t>umyvadla</t>
  </si>
  <si>
    <t xml:space="preserve">Ing. Pavel Spáčil </t>
  </si>
  <si>
    <t>E3-svít zář AURA3 LED 1L13B07K64/062 HF.000 s IČ</t>
  </si>
  <si>
    <t xml:space="preserve">E4-svít zář NEVA 2 E-16U9/228  1x26W IP20 pr240 </t>
  </si>
  <si>
    <t xml:space="preserve">E14-svítidlo záři PRIZMA EPV 414 DA 4x14W/IP20 </t>
  </si>
  <si>
    <t xml:space="preserve">E15-svítidlo LED HAMSA DPO 2k3/IP20 </t>
  </si>
  <si>
    <t>E16-svítidlo LED HAMSA DPO 2k3/ IP20 s NM</t>
  </si>
  <si>
    <t>E23-svítidlo záři LLX236B 2x36W/IP20 bílá mřížka</t>
  </si>
  <si>
    <t>koupelna 344</t>
  </si>
  <si>
    <t>koupelna 343</t>
  </si>
  <si>
    <t>m.č. 338, 340, 346</t>
  </si>
  <si>
    <t>m.č. 339, 345</t>
  </si>
  <si>
    <t>m.č. 304, 339</t>
  </si>
  <si>
    <t>kuchyňka</t>
  </si>
  <si>
    <t>m.č. 331, 348</t>
  </si>
  <si>
    <t>kabel CYKY 3Cx1,5</t>
  </si>
  <si>
    <t>kabel 1kV PRAFlaDur PH120-R 5x16</t>
  </si>
  <si>
    <t>kabel 1kV PRAFlaDur PH120-R 5x25</t>
  </si>
  <si>
    <t>kabel SYKFY 2x2x0,5</t>
  </si>
  <si>
    <t>kabel F/UTP Cat.5 4x2xAWG24 PVC plášť modrý</t>
  </si>
  <si>
    <t>krabice univerzální/přístrojová KU68/1</t>
  </si>
  <si>
    <t>krabice REFLEX 1799-0-0295 jednonásobná, panel.</t>
  </si>
  <si>
    <t>krabice REFLEX 1799-0-0345 dvojnásobná, panel.</t>
  </si>
  <si>
    <t>trubka ohebná PVC monoflex 1416E</t>
  </si>
  <si>
    <t>trubka ohebná PVC superflex 1220</t>
  </si>
  <si>
    <t>lišta vkládací LHD 20x10</t>
  </si>
  <si>
    <t>/LHD 20x10/ kryt ohybový 8923</t>
  </si>
  <si>
    <t>/LHD 20x10/ kryt odbočný 8924</t>
  </si>
  <si>
    <t>lišta vkládací LHD 25x15</t>
  </si>
  <si>
    <t>/LHD 25x15/ kryt ohybový 8693</t>
  </si>
  <si>
    <t>/LHD 25x15/ kryt odbočný 8694</t>
  </si>
  <si>
    <t>kab žlab JUPITER 3000mm děro  KZI 35X150X0.75 F</t>
  </si>
  <si>
    <t>/kab žlab/ víko kabel žlabu 2000mm  V 150 F</t>
  </si>
  <si>
    <t>krabice KSK100/IP66 101x101x61mm HF</t>
  </si>
  <si>
    <t>svorkovnice typ EPS1  ekvipotenciální</t>
  </si>
  <si>
    <t>zásuvka 16A/250Vstř Tango 5518A-A2349</t>
  </si>
  <si>
    <t>zásuvka 16A/250Vstř REFLEX 5519B-A02347B bílá</t>
  </si>
  <si>
    <t>zásuvka 16A/250Vstř REFLEX 5519B-A02347Z zelená</t>
  </si>
  <si>
    <t>SESTAVA  spínač 2pól Tango 10A/250Vstř řaz.2</t>
  </si>
  <si>
    <t>spínač/strojek 10A/250Vstř 3558-A02340 ř.2,2S</t>
  </si>
  <si>
    <t>kryt spínače 3558A-A655 pro řaz. 2,2S</t>
  </si>
  <si>
    <t>SESTAVA  signální svítidlo Tango 250V, 10mA</t>
  </si>
  <si>
    <t>sig.svítidlo tango 2917U-A00053, červené LED</t>
  </si>
  <si>
    <t>sporáková přípojka 25A/380Vstř zapušť. 39563-23C</t>
  </si>
  <si>
    <t>spínač vačkový VS25 3patra/6kontaktů</t>
  </si>
  <si>
    <t>kryt UKM pro spínač VS</t>
  </si>
  <si>
    <t>kabel SYKY/SYKFY/JXFE/JXKE do 30x3x0,5 pevně ul.</t>
  </si>
  <si>
    <t>kabel pevně uložený jednotková hmotnost do 0,4kg</t>
  </si>
  <si>
    <t>krabice plast pro P rozvod vč.zapojení 8118</t>
  </si>
  <si>
    <t>trubka plast ohebná,pod omítkou,typ 2316/pr.16</t>
  </si>
  <si>
    <t>trubka plast ohebná,pod omítkou,typ 2323/pr.23</t>
  </si>
  <si>
    <t>kabelový žlab MARS 125/50 úplný</t>
  </si>
  <si>
    <t>spínač zapuštěný vč.zapojení 2pólový/řazení 2</t>
  </si>
  <si>
    <t>ovladač zapuštěný vč.zapojení tlačítkový/ř.1/0 So</t>
  </si>
  <si>
    <t>ovladač ventilátoru - montáž</t>
  </si>
  <si>
    <t>spínač 3pól/25A/400V(sporák přípoj)vč.zapoj zapušť</t>
  </si>
  <si>
    <t>zhotovení otvoru ve 4mm plechu do pr.21mm</t>
  </si>
  <si>
    <t>vypínače vestavné(-typ VS) bez otvoru a zapojení</t>
  </si>
  <si>
    <t>ochranná svorkovnice(nulový můstek)vč.zapoj.do 63A</t>
  </si>
  <si>
    <t>montáž ventilátoru/stáv konstr bez zapoj/do 5kW</t>
  </si>
  <si>
    <t>montáž a zapojení WIFI routeru</t>
  </si>
  <si>
    <t>Rozpis rozvaděče RS3.1</t>
  </si>
  <si>
    <t>spínač páčkový APN-63-3 3pol 63A na lištu</t>
  </si>
  <si>
    <t>odp poj OPVP14-3 Ie 63 A, Ue AC 690 V / DC 440 V,</t>
  </si>
  <si>
    <t>jistič PL7 1pól/ch.B/10kA 6A</t>
  </si>
  <si>
    <t>jistič PL7 1+Npól/ch.B/10kA 10A</t>
  </si>
  <si>
    <t>jistič PL7 1+Npól/ch.B/10kA 16A</t>
  </si>
  <si>
    <t>jistič PL7 3pól/ch.B/10kA 6A</t>
  </si>
  <si>
    <t>jistič PL7 3pól/ch.B/10kA 20A</t>
  </si>
  <si>
    <t>jistič PL7 3pól/ch.B/10kA 25A</t>
  </si>
  <si>
    <t>jistič PL7 3pól/ch.B/10kA 32A</t>
  </si>
  <si>
    <t>stykač 3pól DILM50-22 50A/cívka 230V</t>
  </si>
  <si>
    <t>mechanické blokování DILM 65-XMV</t>
  </si>
  <si>
    <t>relé pomocné RP208/3P/230V</t>
  </si>
  <si>
    <t>impulsní relé Y-S230/SS/AC230V/8A/1modul</t>
  </si>
  <si>
    <t>stykač 1pól Y-R230/S, 20A na lištu</t>
  </si>
  <si>
    <t>svodič 3+Npól SVC-350-3N-MZS 350V/20kA typ2</t>
  </si>
  <si>
    <t>rozv ocep BP-O-800/15C Nást v.1500mm 9x35M  293322</t>
  </si>
  <si>
    <t>jistič PL7 1pól/ch.B/10kA 10A</t>
  </si>
  <si>
    <t>jistič PL7 1pól/ch.B/10kA 16A</t>
  </si>
  <si>
    <t>stykač 3pól DILM50-22, 50A/440V/cívka 230V</t>
  </si>
  <si>
    <t>mechanické blokování DILM65-XMV</t>
  </si>
  <si>
    <t>Dodávka MDC V03</t>
  </si>
  <si>
    <t>Terminál personálu IP</t>
  </si>
  <si>
    <t>Zásuvka ethernet IP</t>
  </si>
  <si>
    <t>Systémový server VoIP</t>
  </si>
  <si>
    <t>SW licence účastníka</t>
  </si>
  <si>
    <t>SW historie volání</t>
  </si>
  <si>
    <t>Lůžková jednotka IP</t>
  </si>
  <si>
    <t>Závěs lůžkové jednotky s konektorem IP</t>
  </si>
  <si>
    <t>Zásuvka účastníka IP</t>
  </si>
  <si>
    <t>Komunikační jednotka IP</t>
  </si>
  <si>
    <t>Signalizační jednotka IP</t>
  </si>
  <si>
    <t>Vchodová komunikační jednotka IP</t>
  </si>
  <si>
    <t>Služební jednotka IP</t>
  </si>
  <si>
    <t>Tlačítko nouzového volání IP</t>
  </si>
  <si>
    <t>Táhlo nouzového volání IP</t>
  </si>
  <si>
    <t>Svítidlo IP</t>
  </si>
  <si>
    <t>Ovladač elektrického zámku IP</t>
  </si>
  <si>
    <t>Switch modul ZPT IP</t>
  </si>
  <si>
    <t>Napáječ 250 W IP</t>
  </si>
  <si>
    <t>Datový rozvaděč 19"</t>
  </si>
  <si>
    <t>Konektor včetně proměření</t>
  </si>
  <si>
    <t xml:space="preserve">Montážní materiál MDC V03 </t>
  </si>
  <si>
    <t>Trubka HFX prům. 25 mm</t>
  </si>
  <si>
    <t>Vodič protahovací AZ2,5</t>
  </si>
  <si>
    <t>Odbočná krabice KT250 p.o.+rez</t>
  </si>
  <si>
    <t>Odbočná krabice KO97 p.o.+rez</t>
  </si>
  <si>
    <t>Krabice univerzální KU68 p.o.+rez.</t>
  </si>
  <si>
    <t>Kabel UTP 5E (SXKD-5E-UTP-LSOH)</t>
  </si>
  <si>
    <t>Kabel FTP 5E (SXKD-5E-FTP-LSOH)</t>
  </si>
  <si>
    <t>Instalační rámeček malý (SIJ)</t>
  </si>
  <si>
    <t>Instalační rámeček malý (ZE)</t>
  </si>
  <si>
    <t>Instalační rámeček malý (ZU)</t>
  </si>
  <si>
    <t>Instalační rámeček střední (ZLJ)</t>
  </si>
  <si>
    <t>MC3</t>
  </si>
  <si>
    <t>Montáž MDC V03</t>
  </si>
  <si>
    <t>Zásuvka účastnická IP</t>
  </si>
  <si>
    <t>Naprogramování a konfigurace systému</t>
  </si>
  <si>
    <t>Montáž materiálu</t>
  </si>
  <si>
    <t>Ostatní SLP dodávka</t>
  </si>
  <si>
    <t>237025 patchPanel 19# 24xRJ45/cat5E</t>
  </si>
  <si>
    <t>WIFI router</t>
  </si>
  <si>
    <t>CELKEM dodávka SLP</t>
  </si>
  <si>
    <t>Ostatní SLP materiál</t>
  </si>
  <si>
    <t>kabel U/UTP Cat.5e 4x2xAWG24 PVC plášť šedý</t>
  </si>
  <si>
    <t>kabel UTP Cat5e RJ45-RJ45/ 3m</t>
  </si>
  <si>
    <t>krabice univerzální/přístrojová KU68-1901</t>
  </si>
  <si>
    <t>trubka ohebná PVC monoflex 1420</t>
  </si>
  <si>
    <t>Ostatní SLP montáž</t>
  </si>
  <si>
    <t>MC4</t>
  </si>
  <si>
    <t>MC5</t>
  </si>
  <si>
    <t>MC6</t>
  </si>
  <si>
    <t>Montážní materiá k MDC V03l</t>
  </si>
  <si>
    <t>Ostatní dodávka SLP</t>
  </si>
  <si>
    <t>Ostatní materiál SLP</t>
  </si>
  <si>
    <t>Rekonstrukce oddělení ortopedie</t>
  </si>
  <si>
    <t>v pavilonu "B" nemocnice Šumperk</t>
  </si>
  <si>
    <t>Trubka Cu průměr 8x1</t>
  </si>
  <si>
    <t xml:space="preserve">Trubka Cu průměr 12x1 </t>
  </si>
  <si>
    <t>Trubka Cu průměr 18x1</t>
  </si>
  <si>
    <t>Trubka Cu průměr 22x1</t>
  </si>
  <si>
    <t>Tvarovky Cu pr. 8</t>
  </si>
  <si>
    <t xml:space="preserve">ks    </t>
  </si>
  <si>
    <t>Tvarovky Cu pr. 12</t>
  </si>
  <si>
    <t>Tvarovky Cu pr. 18</t>
  </si>
  <si>
    <t>Tvarovky Cu pr. 22</t>
  </si>
  <si>
    <t>Pájka Ag 45 + pasta</t>
  </si>
  <si>
    <t xml:space="preserve">Propláchnutí rozvodu dusíkem </t>
  </si>
  <si>
    <t xml:space="preserve">Značení potrubních rozvodů </t>
  </si>
  <si>
    <t>Nátěrové hmoty</t>
  </si>
  <si>
    <t>Ochranný plyn pro pájení Cu trubek dle ČSN EN ISO 7396-1</t>
  </si>
  <si>
    <t>Ocelový chránič 22x2.3- tr. svař.1/2", pr.12</t>
  </si>
  <si>
    <t>Ocelový chránič 26x2,6- tr. svař.3/4", pr.18</t>
  </si>
  <si>
    <t>Ocelový chránič 38x2,6- tr. svař.1", pr.22</t>
  </si>
  <si>
    <t>Objímka 1/8", (pr. 8-12)</t>
  </si>
  <si>
    <t>Objímka 3/8", (pr. 17-19)</t>
  </si>
  <si>
    <t>Objímka 1/2", (pr.20-23)</t>
  </si>
  <si>
    <t>Napojení na stávající rozvody</t>
  </si>
  <si>
    <t>Uzávěr plynů pro 2 plyny (UP-2) vč. manometru, čidla klinické signalizace a nouzového vstupu</t>
  </si>
  <si>
    <t>Signalizace tlaků plynů (1 - 6 snímaných tlaků) - klinická signalizace (STP-K)</t>
  </si>
  <si>
    <t>Instalace terminální nástěnné jednotky (povrchová montáž nad el. kanál)</t>
  </si>
  <si>
    <t>Kabel SYKFY 2x2x0,5 - propojení klinické signalizace</t>
  </si>
  <si>
    <t>Demontáž stávajícího potrubí, zaslepení přívodů stoupacích potrubí</t>
  </si>
  <si>
    <t>Demontáž stávajících panelů</t>
  </si>
  <si>
    <t>Zhotovení prostupů do místností, zapravení prostupů, stavební přípomoce (bez výmalby)</t>
  </si>
  <si>
    <t>Vedení montážních prací</t>
  </si>
  <si>
    <t>Tlaková zkouška - úseková</t>
  </si>
  <si>
    <t>Tlaková zkouška - závěrečná</t>
  </si>
  <si>
    <t>Zkoušky potrubních rozvodů dle 7396-1</t>
  </si>
  <si>
    <t>Výchozí revize - plynová</t>
  </si>
  <si>
    <t>Výchozí revize elektro</t>
  </si>
  <si>
    <t>Proškolení obsluhy, předání dokumentace</t>
  </si>
  <si>
    <t>Zakreslení skutečného stavu</t>
  </si>
  <si>
    <t>Dopravné</t>
  </si>
  <si>
    <t>Společné náklady</t>
  </si>
  <si>
    <t>Materiál a montáž celkem</t>
  </si>
  <si>
    <t>Dodávka a montáž MP</t>
  </si>
  <si>
    <t>dodávka a montáž MP</t>
  </si>
  <si>
    <t>FLIDR s.r.o.</t>
  </si>
  <si>
    <t>Ing. Milan Víšek</t>
  </si>
  <si>
    <t>E19-svítidlo záři LLX418AL 4x18W/IP20 EP  leštěná mřížka</t>
  </si>
  <si>
    <t>E20-svítidlo záři LLX318B 3x18W/IP20 EP  bílá mřížka</t>
  </si>
  <si>
    <t>Ventilátor stropní s reverzním chodem a reg. otáček</t>
  </si>
  <si>
    <t>typ ventilátoru určí uživatel</t>
  </si>
  <si>
    <t>Ovladač ventilátoru nástěnný</t>
  </si>
  <si>
    <t>typ ovladače určí uživatel</t>
  </si>
  <si>
    <t>montáž ovladače centilátoru s regulací otáček</t>
  </si>
  <si>
    <t>SESTAVA  zásuvka komunikační Tango 2xRJ45-8</t>
  </si>
  <si>
    <t>kryt zásuvky komunikační Tango 5014A-A100</t>
  </si>
  <si>
    <t>zásuvka komunik ModularJack RJ45-8Cat.5e 1208.10</t>
  </si>
  <si>
    <t>nosná maska pro 2xZásuvka ModularJack 5014A-B1018</t>
  </si>
  <si>
    <t>zásuvka domovní sdělovací 2násobná vč.zapojení</t>
  </si>
  <si>
    <t>budovy nemocnic a nemocnic s poliklinikou</t>
  </si>
  <si>
    <t>126411: Budovy nemocnic a nemocnic s poliklinikou</t>
  </si>
  <si>
    <t>Klasifikace stavebních děl CZ-CC:</t>
  </si>
  <si>
    <t>Nemocnice Šumperk a.s.</t>
  </si>
  <si>
    <r>
      <t xml:space="preserve">Projektová dokumentace stanoví technické a uživatelské standardy staveb. 
Konkrétní materiály a výrobky uvedené v projektové dokumentaci a tomto výkazu výměr určují specifikaci požadovaných fyzikálních, technických, estetických a kvalitativních vlastností (viz. technické listy výrobků), jež musí splňovat případné alternativy. 
Konkrétní názvy výrobků byly použity pouze v případech, </t>
    </r>
    <r>
      <rPr>
        <b/>
        <sz val="6"/>
        <color theme="4" tint="-0.249977111117893"/>
        <rFont val="Arial"/>
        <family val="2"/>
        <charset val="238"/>
      </rPr>
      <t>kde nebylo možné popsat daný prvek jiným způsobem</t>
    </r>
    <r>
      <rPr>
        <b/>
        <sz val="6"/>
        <color rgb="FFFF0000"/>
        <rFont val="Arial"/>
        <family val="2"/>
        <charset val="238"/>
      </rPr>
      <t xml:space="preserve">, </t>
    </r>
    <r>
      <rPr>
        <b/>
        <sz val="6"/>
        <color theme="4" tint="-0.249977111117893"/>
        <rFont val="Arial"/>
        <family val="2"/>
        <charset val="238"/>
      </rPr>
      <t>nebo na ně byly provedeny technické výpočty pro dosaženi zadaných a projektovaných parametrů.</t>
    </r>
    <r>
      <rPr>
        <b/>
        <sz val="6"/>
        <color rgb="FFFF0000"/>
        <rFont val="Arial"/>
        <family val="2"/>
        <charset val="238"/>
      </rPr>
      <t xml:space="preserve"> 
Záměny materiálů a výrobků jsou akceptovatelné za předpokladu, že budou tyto vlastnosti a parametry dodrženy a nevyvolají zásadní změny v projektovém řešení případně funkčnosti zařízení. </t>
    </r>
  </si>
  <si>
    <t>REKONSTRUKCE ODDĚLENÍ ORTOPEDIE V PAVILONU "B" NEMOCNICE ŠUMPERK , SO 01 Vlastní objekt</t>
  </si>
  <si>
    <t>POLOŽKOVÝ ROZPOČET</t>
  </si>
  <si>
    <t>Cena /Kč/</t>
  </si>
  <si>
    <t>Hmotnost /t/</t>
  </si>
  <si>
    <t>Suť /t/</t>
  </si>
  <si>
    <t>Jednotková</t>
  </si>
  <si>
    <t>Celkem</t>
  </si>
  <si>
    <t>Stavební objekt                                                                                     CELKEM</t>
  </si>
  <si>
    <t>319201321</t>
  </si>
  <si>
    <t>Vyrovnání nerovného povrchu zdiva tl do 30 mm maltou</t>
  </si>
  <si>
    <t xml:space="preserve">ostění, nadpraží T04;     4,9*0,15*5     </t>
  </si>
  <si>
    <t>319202321</t>
  </si>
  <si>
    <t>Vyrovnání nerovného povrchu zdiva tl do 80 mm přizděním</t>
  </si>
  <si>
    <t>ostění, nadpraží T05;     (4,8+2)*0,15</t>
  </si>
  <si>
    <t>342291131A</t>
  </si>
  <si>
    <t>Ukotvení příček k betonovým n cihelným konstrukcím plochými kotvami</t>
  </si>
  <si>
    <t>ytong tl75mm;     22*2*2,65</t>
  </si>
  <si>
    <t>342272248</t>
  </si>
  <si>
    <t>Příčky tl 75 mm z pórobetonových přesných hladkých příčkovek objemové hmotnosti 500 kg/m3</t>
  </si>
  <si>
    <t>dle tab EXC;     40,92</t>
  </si>
  <si>
    <t>342272323</t>
  </si>
  <si>
    <t>Příčky tl 100 mm z pórobetonových přesných hladkých příčkovek objemové hmotnosti 500 kg/m3</t>
  </si>
  <si>
    <t>dle tab EXC;     3,18</t>
  </si>
  <si>
    <t>611131121</t>
  </si>
  <si>
    <t>Penetrace akrylát-silikonová vnitřních stropů nanášená ručně</t>
  </si>
  <si>
    <t>dle tab EXC;       (54,38)</t>
  </si>
  <si>
    <t>611325411</t>
  </si>
  <si>
    <t>Oprava vnitřní vápenocementové hladké omítky stropů v rozsahu plochy do 10%</t>
  </si>
  <si>
    <t>612131121</t>
  </si>
  <si>
    <t>Penetrace akrylát-silikonová vnitřních stěn nanášená ručně</t>
  </si>
  <si>
    <t>dle tab EXC pod keramický obklad v 1,5m, 1,8m, 2,1m;       (12,57+39,74+170,55)</t>
  </si>
  <si>
    <t>dle tab EXC na nový porobeton nad keramickým obkladem;      31,63</t>
  </si>
  <si>
    <t xml:space="preserve">vyspravení po vybouraném keram obkladu štuková omítka mimo obklad m331, 337, 339;     (2,41* 2,1+2,4*0,3)+((9,9-1,6)*1,8)+(4,65*2+0,8*0,2)   </t>
  </si>
  <si>
    <t>612311121</t>
  </si>
  <si>
    <t>Vápenná omítka hladká jednovrstvá vnitřních stěn nanášená ručně</t>
  </si>
  <si>
    <t>612311141</t>
  </si>
  <si>
    <t>Vápenná omítka štuková dvouvrstvá vnitřních stěn nanášená ručně</t>
  </si>
  <si>
    <t>612325421</t>
  </si>
  <si>
    <t>Oprava vnitřní vápenocementové štukové omítky stěn v rozsahu plochy do 10%</t>
  </si>
  <si>
    <t>dle tab EXC vč odpočtu otvorů;       148,14</t>
  </si>
  <si>
    <t>612325422</t>
  </si>
  <si>
    <t>Oprava vnitřní vápenocementové štukové omítky stěn v rozsahu plochy do 30%</t>
  </si>
  <si>
    <t>dle tab EXC;       36,41</t>
  </si>
  <si>
    <t>ODP otvorů;     -(0,6*1,85+1,8*1,35)</t>
  </si>
  <si>
    <t>619995001</t>
  </si>
  <si>
    <t>Začištění omítek kolem oken, dveří, podlah nebo obkladů</t>
  </si>
  <si>
    <t>okolo měněných dveří v místnostech bez opravy omítky m302 T01;     4,6;     T04, T05;     4,75+4,85*5;     T11, T12, T13;      (4,9*2+5,45+5,45*2)</t>
  </si>
  <si>
    <t>642946111</t>
  </si>
  <si>
    <t>Osazování pouzdra posuvných dveří s jednou kapsou pro jedno křídlo šířky do 800 mm do zděné příčky</t>
  </si>
  <si>
    <t>T04, T05;      1+5</t>
  </si>
  <si>
    <t>55331611</t>
  </si>
  <si>
    <t>Pouzdro stavební STANDARD S700-070 700 mm</t>
  </si>
  <si>
    <t>T04;      1</t>
  </si>
  <si>
    <t>Pouzdro stavební STANDARD S700-080 800 mm</t>
  </si>
  <si>
    <t>T05;      5</t>
  </si>
  <si>
    <t>949101111</t>
  </si>
  <si>
    <t>Lešení pomocné pro objekty pozemních staveb s lešeňovou podlahou v do 1,9 m zatížení do 150 kg/m2</t>
  </si>
  <si>
    <t>dle tab EXC uvažováno 70% podlahové plochy;       678,56*0,7</t>
  </si>
  <si>
    <t>dle tab EXC;       678,56</t>
  </si>
  <si>
    <t>965042221</t>
  </si>
  <si>
    <t>Bourání podkladů pod dlažby nebo mazanin betonových nebo z litého asfaltu tl přes 100 mm pl do 1 m2</t>
  </si>
  <si>
    <t>ubourání vaniček;     (0,95*1,05*0,17+0,1*1,05*0,06)*6</t>
  </si>
  <si>
    <t>969-627001</t>
  </si>
  <si>
    <t>DMTŽ lehkých montovaných příček n oplechování vč nosné -kce a výplní otvorů n obkladů kompl - sanitární, umakartové, plechové, SDK apod</t>
  </si>
  <si>
    <t>stáv zákryty instal šachet;       (0,7*16+0,25)*2,65;     rohové šachty;     (0,7*3+0,9)*2,65</t>
  </si>
  <si>
    <t>962032314</t>
  </si>
  <si>
    <t>Bourání pilířů cihelných z dutých nebo plných cihel pálených i nepálených na jakoukoli maltu</t>
  </si>
  <si>
    <t>obezděný cihelný pilíř m338;     0,85*0,4*2,65-0,6*0,25*1,3</t>
  </si>
  <si>
    <t>T01, T02, T11;    0,6*2*(13+1)+0,9*2*2</t>
  </si>
  <si>
    <t>T03, T12, T13;    1,1*2*2+1,45*2*(1+1)</t>
  </si>
  <si>
    <t>968082021</t>
  </si>
  <si>
    <t>Vybourání plastových zárubní dveří plochy do 2 m2</t>
  </si>
  <si>
    <t>T05, T06;       0,75*2+0,85*2*5</t>
  </si>
  <si>
    <t>m305/331;     2</t>
  </si>
  <si>
    <t>977151122</t>
  </si>
  <si>
    <t>Jádrové vrty diamantovými korunkami do D 130 mm do stavebních materiálů</t>
  </si>
  <si>
    <t>prostupy pro VZT D125 m303/307;     0,15</t>
  </si>
  <si>
    <t>977151123</t>
  </si>
  <si>
    <t>Jádrové vrty diamantovými korunkami do D 150 mm do stavebních materiálů</t>
  </si>
  <si>
    <t>prostuipy pro VZT 150  m307/308;      0,1</t>
  </si>
  <si>
    <t>977151124</t>
  </si>
  <si>
    <t>Jádrové vrty diamantovými korunkami do D 180 mm do stavebních materiálů</t>
  </si>
  <si>
    <t>prostuipy pro VZT m302/304;   0,1</t>
  </si>
  <si>
    <t>977151125</t>
  </si>
  <si>
    <t>Jádrové vrty diamantovými korunkami do D 200 mm do stavebních materiálů</t>
  </si>
  <si>
    <t>prostuipy pro VZT m304;   0,3</t>
  </si>
  <si>
    <t>prostupy pro VZT D 200 m303/307;     0,15</t>
  </si>
  <si>
    <t>prostuipy pro VZT 200  m313, 317, 323, 327, 333, 342, 343;      0,1*7</t>
  </si>
  <si>
    <t>977151127</t>
  </si>
  <si>
    <t>Jádrové vrty diamantovými korunkami do D 250 mm do stavebních materiálů</t>
  </si>
  <si>
    <t>prostuipy pro VZT 225/175  m313, 317, 323, 327, 333, 342;      0,25*5+0,15</t>
  </si>
  <si>
    <t>977151128</t>
  </si>
  <si>
    <t>Jádrové vrty diamantovými korunkami do D 300 mm do stavebních materiálů</t>
  </si>
  <si>
    <t>prostuipy pro VZT m302/303, m331;   0,1+0,3*2</t>
  </si>
  <si>
    <t>Odsekání a odebrání obkladů stěn z vnitřních obkládaček plochy přes 1 m2</t>
  </si>
  <si>
    <t>dle tab EXC;       249,86</t>
  </si>
  <si>
    <t>997013213</t>
  </si>
  <si>
    <t>Vnitrostaveništní doprava suti a vybouraných hmot pro budovy v do 12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</si>
  <si>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</si>
  <si>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</si>
  <si>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</si>
  <si>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</si>
  <si>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na veřejnou skládku vzdál 9km za posledních 8km;      28,706*8</t>
  </si>
  <si>
    <t>997013831</t>
  </si>
  <si>
    <t>998018002</t>
  </si>
  <si>
    <t>Přesun hmot ruční pro budovy v do 12 m</t>
  </si>
  <si>
    <t>711-996241</t>
  </si>
  <si>
    <t>Izolace proti zemní vlhkosti na vodorovné ploše za studena těsnicí hmotou - vč systémového řešení koutů a přechodů ploch - skl C</t>
  </si>
  <si>
    <t>dle tab EXC C;       (29,58)</t>
  </si>
  <si>
    <t>711-996242</t>
  </si>
  <si>
    <t>Izolace proti zemní vlhkosti na svislé ploše za studena těsnicí hmotou  - vč systémového řešení koutů a přechodů ploch</t>
  </si>
  <si>
    <t>sprchový kout;       ((0,85*2+1,05)*6+0,9*2)*2,1</t>
  </si>
  <si>
    <t>Přesun hmot procentní pro izolace proti vodě, vlhkosti a plynům v objektech v do 12 m</t>
  </si>
  <si>
    <t>725: Zařizovací předměty</t>
  </si>
  <si>
    <t>725-996211</t>
  </si>
  <si>
    <t>MTŽ prvků pro bezbariérové vybavení hygienických zařízení do zděných konstrukcí - kotveno chemickými kotvami</t>
  </si>
  <si>
    <t>Z03 - Z05;     2*6+2*6+1*3</t>
  </si>
  <si>
    <t>H725-996021</t>
  </si>
  <si>
    <t>DOD sklopné sedátko sprchového koutu rozm 450/450 mm provedení nerez - nosnost 150kg (ref výr např SANELA SLZM 06) - Z03, Z05</t>
  </si>
  <si>
    <t>Z03, 05;     6+1</t>
  </si>
  <si>
    <t>H725-996022</t>
  </si>
  <si>
    <t>DOD pevné madlo tvar L dl 420mm, v 305mm provedení nerez - pro bezbariérové provedení sprchy (ref výr např SANELA SLZM 04X) - Z03</t>
  </si>
  <si>
    <t>Z03;     6</t>
  </si>
  <si>
    <t>H725-996023</t>
  </si>
  <si>
    <t>DOD pevné madlo dl 600mm provedení nerez - (ref výr např SANELA SLZM 02DX) - Z04</t>
  </si>
  <si>
    <t>Z04;     6</t>
  </si>
  <si>
    <t>H725-996024</t>
  </si>
  <si>
    <t>DOD pevné madlo dl 300mm provedení nerez - (ref výr např SANELA SLZM 02X) - Z04</t>
  </si>
  <si>
    <t>H725-996025</t>
  </si>
  <si>
    <t>DOD sklopné madlo dl 830mm provedení nerez - (ref výr např SANELA SLZM 03SDX) - Z05</t>
  </si>
  <si>
    <t>Z05;     2</t>
  </si>
  <si>
    <t>998725202</t>
  </si>
  <si>
    <t>Přesun hmot procentní pro zařizovací předměty v objektech v do 12 m</t>
  </si>
  <si>
    <t>763121471B</t>
  </si>
  <si>
    <t>SDK stěna předsazená profil CW+UW 50 desky 2xA 12,5 bez TI, typ W 626</t>
  </si>
  <si>
    <t>W626;      2,2*2,65*6-((1,44+1,64*5)*2,01)</t>
  </si>
  <si>
    <t>763-635001</t>
  </si>
  <si>
    <t>D+M SDK obklad dveřního pouzdra posuvných dveří, plocha 1,5 - 2,5m2</t>
  </si>
  <si>
    <t>763-994241</t>
  </si>
  <si>
    <t>D+M SDK konstrukce obklad rozvodu vzduchu n potrubí  - deska 1xA 12,5 na CD+UD - kompl vč napojení na související konstrukce, základní penetrační nátěr</t>
  </si>
  <si>
    <t>m302,304;     (0,38+0,25)*(4,47+1,9)</t>
  </si>
  <si>
    <t>763-994242</t>
  </si>
  <si>
    <t>D+M SDK konstrukce obklad rozvodu vzduchu n potrubí  - deska 1xH2 12,5 na CD+UD - kompl vč napojení na související konstrukce, základní penetrační nátěr</t>
  </si>
  <si>
    <t>m344;     (0,43+0,25)*3,05</t>
  </si>
  <si>
    <t>763135101</t>
  </si>
  <si>
    <t>Montáž SDK kazetového podhledu z kazet 600x600 mm na zavěšenou viditelnou nosnou konstrukci</t>
  </si>
  <si>
    <t>dle tab EXC kazety obyčejné Gyptone base;        119,45</t>
  </si>
  <si>
    <t>dle tab EXC kazety do vlhkého prostředí;        28,79</t>
  </si>
  <si>
    <t>59030570</t>
  </si>
  <si>
    <t>Podhled kazetový GYPTONE Base 31, hrana A, tl. 10 mm, 600 x 600 mm</t>
  </si>
  <si>
    <t>dle tab EXC kazety obyčejné Gyptone base;        119,45*1,1</t>
  </si>
  <si>
    <t>59030570B</t>
  </si>
  <si>
    <t>Podhled kazetový do vlhkého prostředí, hrana A, tl. 10 mm, 600 x 600 mm</t>
  </si>
  <si>
    <t>dle tab EXC kazety do vlhkého prostředí;        28,79*1,1</t>
  </si>
  <si>
    <t>H763-996021</t>
  </si>
  <si>
    <t>DOD parotěsná zábrana vč montážního a režijního materiálu - do SDK příček a podhledů</t>
  </si>
  <si>
    <t>dle tab EXC kazety do vlhkého prostředí;        28,79*1,05</t>
  </si>
  <si>
    <t>763431701</t>
  </si>
  <si>
    <t>Montáž vyjímatelných panelů minerálního podhledu na zavěšený rošt</t>
  </si>
  <si>
    <t>m301 část;      7,05*2,25</t>
  </si>
  <si>
    <t>763431871</t>
  </si>
  <si>
    <t>Demontáž vyjímatelných panelů minerálního podhledu připevněných na zavěšeném roštu</t>
  </si>
  <si>
    <t>Přesun hmot procentní pro sádrokartonové konstrukce v objektech v do 12 m</t>
  </si>
  <si>
    <t>766-635001</t>
  </si>
  <si>
    <t>D+M dveře dřevěné vnitřní hladké plné rozm 600/1970, povrch folie kompl - vč zárubeň ocelová lak, dveřní kování, větrací mřížka - podrobný popis dle PD výkr.č. D.1.1, 002, ozn T/01</t>
  </si>
  <si>
    <t>dleP;    13</t>
  </si>
  <si>
    <t>766-635002</t>
  </si>
  <si>
    <t>D+M dveře dřevěné vnitřní hladké plné rozm 600/1970, povrch folie kompl - vč zárubeň ocelová lak, dveřní kování - podrobný popis dle PD výkr.č. D.1.1, 002, ozn T/02</t>
  </si>
  <si>
    <t>dleP;    1</t>
  </si>
  <si>
    <t>766-635003</t>
  </si>
  <si>
    <t>D+M dveře dřevěné vnitřní hladké plné rozm 110/1970, povrch folie kompl - vč zárubeň ocelová lak, dveřní kování, větrací mřížka, madlo - podrobný popis dle PD výkr.č. D.1.1, 002, ozn T/03</t>
  </si>
  <si>
    <t>dleP;    2</t>
  </si>
  <si>
    <t>766-635004</t>
  </si>
  <si>
    <t>D+M dveře dřevěné vnitřní hladké plné posuvné do pouzdra, průchod  rozm 70/1970, povrch bílé kompl - vč dřevěná obložka pouzdra, pojezd, dveřní kování, řešení bude upřesněno v průběhu provádění prací  - podrobný popis dle PD výkr.č. D.1.1, 002, ozn T/04</t>
  </si>
  <si>
    <t>766-635005</t>
  </si>
  <si>
    <t>D+M dveře dřevěné vnitřní hladké plné posuvné do pouzdra, průchod  rozm 70/1970, povrch bílé kompl - vč dřevěná obložka pouzdra, pojezd, dveřní kování, řešení bude upřesněno v průběhu provádění prací  - podrobný popis dle PD výkr.č. D.1.1, 002, ozn T/05</t>
  </si>
  <si>
    <t>dleP;    5</t>
  </si>
  <si>
    <t>766-635006</t>
  </si>
  <si>
    <t>Oprava stávající jednokřídlové dřevěné dveře plné hladké rozm 110/197 - dveřní křídlo a zárubeň - očištění a nový nátěr, výměna kování a zámku  - podrobný popis dle PD výkr.č. D.1.1, 002, ozn T/06</t>
  </si>
  <si>
    <t>dleP;    18</t>
  </si>
  <si>
    <t>766-635007</t>
  </si>
  <si>
    <t>Oprava stávající jednokřídlové dřevěné dveře plné hladké rozm 110/197 - dveřní křídlo a zárubeň - očištění a nový nátěr, výměna kování a zámku  - podrobný popis dle PD výkr.č. D.1.1, 002, ozn T/07</t>
  </si>
  <si>
    <t>766-635008</t>
  </si>
  <si>
    <t>Oprava stávající jednokřídlové dřevěné dveře plné hladké rozm 90/197 - dveřní křídlo a zárubeň - očištění a nový nátěr, výměna kování a zámku  - podrobný popis dle PD výkr.č. D.1.1, 002, ozn T/08</t>
  </si>
  <si>
    <t>766-635009</t>
  </si>
  <si>
    <t>Oprava stávající dvoukřídlové dřevěné dveře plné hladké rozm 1450/197 - dveřní křídlo a zárubeň - očištění a nový nátěr, výměna kování a zámku  - podrobný popis dle PD výkr.č. D.1.1, 002, ozn T/09</t>
  </si>
  <si>
    <t>766622212</t>
  </si>
  <si>
    <t>Montáž plastových oken plochy do 1 m2 pevných s rámem do zdiva</t>
  </si>
  <si>
    <t>T/10;     6</t>
  </si>
  <si>
    <t>H766-635010</t>
  </si>
  <si>
    <t>DOD okno plastové vnitřní, jednoduché sklo, rozm700/400mm - ozn T/10</t>
  </si>
  <si>
    <t>dleP;    6</t>
  </si>
  <si>
    <t>766-635011</t>
  </si>
  <si>
    <t>D+M dveře dřevěné vnitřní hladké plné rozm 90/197, protipožární EI30 DP3-C kompl - vč zárubeň ocelová lak, dveřní kování, samozavírač - podrobný popis dle PD výkr.č. D.1.1, 002, ozn T/11</t>
  </si>
  <si>
    <t>766-635012</t>
  </si>
  <si>
    <t>D+M dveře dřevěné vnitřní hladké plné rozm 145/197, protipožární EI30 DP3-C kompl - vč zárubeň ocelová lak, dveřní kování, samozavírač - podrobný popis dle PD výkr.č. D.1.1, 002, ozn T/12</t>
  </si>
  <si>
    <t>766-635013</t>
  </si>
  <si>
    <t>D+M dveře dřevěné vnitřní hladké plné rozm 145/197, protipožární EI30 DP3-C kompl - vč zárubeň ocelová lak, dveřní kování, samozavírač, zámek elektromagnetický - podrobný popis dle PD výkr.č. D.1.1, 002, ozn T/12</t>
  </si>
  <si>
    <t>DMTŽ kuchyňské linky dl.do 4m a zpětná MTŽ vč zařizovacích předmětů</t>
  </si>
  <si>
    <t>m347;    1</t>
  </si>
  <si>
    <t>766-635021</t>
  </si>
  <si>
    <t>DMTŽ+DOD+MTŽ výměna stáv madla v chodbě za nové dřevěné rozm 36/180mm kompl - demontáž stávajícího a osazení nového kotveného do stěny, vč final povrch úpravy - m.305</t>
  </si>
  <si>
    <t>dleP;     57</t>
  </si>
  <si>
    <t>Přesun hmot procentní pro konstrukce truhlářské v objektech v do 12 m</t>
  </si>
  <si>
    <t>m305, 351;     94,78+15,86</t>
  </si>
  <si>
    <t>767-635001</t>
  </si>
  <si>
    <t>D+M dvířka revizní plechová s požární odolností EW15 DP1 rozm 600/600 kompl - podrobný popis dle PD výkr.č. D.1.1, , ozn Z01</t>
  </si>
  <si>
    <t>Z01;      16</t>
  </si>
  <si>
    <t>767-635002</t>
  </si>
  <si>
    <t>D+M dvířka revizní plechová rozm 200/400 kompl - podrobný popis dle PD výkr.č. D.1.1, , ozn Z02</t>
  </si>
  <si>
    <t>Z02;       5</t>
  </si>
  <si>
    <t>767-635003</t>
  </si>
  <si>
    <t>D+M dvířka revizní plechová s požární odolností EW15 DP1 rozm 300/600 kompl - podrobný popis dle PD výkr.č. D.1.1, , ozn Z06</t>
  </si>
  <si>
    <t>Z06;      1</t>
  </si>
  <si>
    <t>Přesun hmot procentní pro zámečnické konstrukce v objektech v do 12 m</t>
  </si>
  <si>
    <t>771573810</t>
  </si>
  <si>
    <t>Demontáž podlah z dlaždic keramických lepených - vč očištění stávajících betonových podlah</t>
  </si>
  <si>
    <t>dle tab EXC a m331;       (45,03+22,78)</t>
  </si>
  <si>
    <t>771473113</t>
  </si>
  <si>
    <t>Montáž soklíků z dlaždic keramických lepených rovných v do 120 mm</t>
  </si>
  <si>
    <t>m341 soklík;       (9,5-3,9)</t>
  </si>
  <si>
    <t>771573113</t>
  </si>
  <si>
    <t>Montáž podlah keramických režných hladkých lepených do 12 ks/m2</t>
  </si>
  <si>
    <t>dle tab EXC B;       (45,03-29,58)</t>
  </si>
  <si>
    <t>771574113</t>
  </si>
  <si>
    <t>Montáž podlah keramických režných hladkých lepených flexibilním lepidlem do 12 ks/m2</t>
  </si>
  <si>
    <t>H771-994012</t>
  </si>
  <si>
    <t>DOD dlažba keramická protiskluzová R10, protiskluz B tl.9mm - (dle upřesnění investora)</t>
  </si>
  <si>
    <t>dle tab EXC B, C;       (45,03)*1,04</t>
  </si>
  <si>
    <t>m341 soklík;       (9,5-3,9)*0,1*1,04</t>
  </si>
  <si>
    <t>771579191</t>
  </si>
  <si>
    <t>Příplatek k montáž podlah keramických za plochu do 5 m2</t>
  </si>
  <si>
    <t>dle tab EXC B, C;       (45,03-5,28-12,9)</t>
  </si>
  <si>
    <t>771591171</t>
  </si>
  <si>
    <t>Montáž profilu ukončujícího pro plynulý přechod (dlažby s kobercem apod.)</t>
  </si>
  <si>
    <t>dleP;      13</t>
  </si>
  <si>
    <t>H771-996011</t>
  </si>
  <si>
    <t>DOD profil do podlahy - pro plynulý přechod různých povrchů podlah, materiál ušlechtilá ocel</t>
  </si>
  <si>
    <t>771-635001</t>
  </si>
  <si>
    <t>D+M přejezdový práh - nerez plech tl.0,7mm, š min 200mm</t>
  </si>
  <si>
    <t>mb</t>
  </si>
  <si>
    <t>nerez práh;       0,9*3+1,1*15+1,45*3</t>
  </si>
  <si>
    <t>Přesun hmot procentní pro podlahy z dlaždic v objektech v do 12 m</t>
  </si>
  <si>
    <t>776201811</t>
  </si>
  <si>
    <t>Demontáž lepených povlakových podlah bez podložky ručně</t>
  </si>
  <si>
    <t>dle tab EXC a ODp m331;       (542,58-22,78)</t>
  </si>
  <si>
    <t>776991821</t>
  </si>
  <si>
    <t>Odstranění lepidla ručně z podlah - vč očištění stávajících betonových podlah</t>
  </si>
  <si>
    <t>776410811</t>
  </si>
  <si>
    <t>Odstranění soklíků a lišt pryžových nebo plastových</t>
  </si>
  <si>
    <t>dle tab EXC 98% obvodu stěn;       (536,8*0,98)</t>
  </si>
  <si>
    <t>776-627001</t>
  </si>
  <si>
    <t>D+M podlah povlakových homogenních PVC tl.2mm vč fabion soklu</t>
  </si>
  <si>
    <t>dle tab EXC sklA, D;       (542,58)</t>
  </si>
  <si>
    <t>Přesun hmot procentní pro podlahy povlakové v objektech v do 12 m</t>
  </si>
  <si>
    <t>777: Podlahy lité</t>
  </si>
  <si>
    <t>777651900A</t>
  </si>
  <si>
    <t>Opravy podlah nátěry penetračními  - skl A, B, C, D</t>
  </si>
  <si>
    <t>dle tab EXC a ODP m331 sklA;       (542,58-22,78)</t>
  </si>
  <si>
    <t>dle tab EXC B, C;       (45,03)</t>
  </si>
  <si>
    <t>dle tab EXC m331 sklD;       (22,78)</t>
  </si>
  <si>
    <t>777551933A</t>
  </si>
  <si>
    <t>Opravy podlah stěrkou vyrovnávací vrstvou tl do 3 mm - skl A, B, C</t>
  </si>
  <si>
    <t>777552250N</t>
  </si>
  <si>
    <t>Podlahy ze stěrky silikátové přírodní tl 12 mm - skl D</t>
  </si>
  <si>
    <t>998777202</t>
  </si>
  <si>
    <t>Přesun hmot procentní pro podlahy lité v objektech v do 12 m</t>
  </si>
  <si>
    <t>781473114</t>
  </si>
  <si>
    <t>Montáž obkladů vnitřních keramických hladkých do 22 ks/m2 lepených standardním lepidlem</t>
  </si>
  <si>
    <t>ODP flex sprchový kout;       -((0,85*2+1,05)*6+0,9*2)*2,1</t>
  </si>
  <si>
    <t>781474114</t>
  </si>
  <si>
    <t>Montáž obkladů vnitřních keramických hladkých do 22 ks/m2 lepených flexibilním lepidlem</t>
  </si>
  <si>
    <t>H781-622001</t>
  </si>
  <si>
    <t>DOD obklad keramický - (dle upřesnění investora)</t>
  </si>
  <si>
    <t>dle tab EXC pod keramický obklad v 1,5m, 1,8m, 2,1m;       (12,57+39,74+170,55)*1,04</t>
  </si>
  <si>
    <t>781-996031</t>
  </si>
  <si>
    <t>D+M lišty k obkladu stěn - ukončovací,rohové,koutové apod - (dle upřesnění investora)</t>
  </si>
  <si>
    <t>Přesun hmot procentní pro obklady keramické v objektech v do 12 m</t>
  </si>
  <si>
    <t>784181001</t>
  </si>
  <si>
    <t>Jednonásobné pačokování v místnostech výšky do 3,80 m</t>
  </si>
  <si>
    <t>dle tab EXC stěny;       519;     strop;     524,57;     SDK;   2,07</t>
  </si>
  <si>
    <t>784221101</t>
  </si>
  <si>
    <t>Dvojnásobné bílé malby  ze směsí za sucha dobře otěruvzdorných v místnostech do 3,80 m</t>
  </si>
  <si>
    <t>784211101B</t>
  </si>
  <si>
    <t>Omyvatelný nátěr stěn např. Caparol Latex</t>
  </si>
  <si>
    <t>dle tab EXC;       728,94</t>
  </si>
  <si>
    <t>VÝPOČET NĚKTERÝCH VÝMĚR</t>
  </si>
  <si>
    <t>podlahy</t>
  </si>
  <si>
    <t>místnost</t>
  </si>
  <si>
    <t>PODLAHY</t>
  </si>
  <si>
    <t>STĚNY</t>
  </si>
  <si>
    <t>ODP ploch</t>
  </si>
  <si>
    <t>tenkovrst</t>
  </si>
  <si>
    <t>porobeton tl.</t>
  </si>
  <si>
    <t>STROP</t>
  </si>
  <si>
    <t>plocha</t>
  </si>
  <si>
    <t>šířka</t>
  </si>
  <si>
    <t>délka</t>
  </si>
  <si>
    <t>stáv PVC</t>
  </si>
  <si>
    <t>nové</t>
  </si>
  <si>
    <t>světlost</t>
  </si>
  <si>
    <t xml:space="preserve">odstranění </t>
  </si>
  <si>
    <t>vyspravení</t>
  </si>
  <si>
    <t xml:space="preserve">výsprav </t>
  </si>
  <si>
    <t>keramický obkad stěn</t>
  </si>
  <si>
    <t>přízdívky</t>
  </si>
  <si>
    <t>75 mm</t>
  </si>
  <si>
    <t>100 mm</t>
  </si>
  <si>
    <t>omyv nátěr</t>
  </si>
  <si>
    <t>výmalba</t>
  </si>
  <si>
    <t>ostat</t>
  </si>
  <si>
    <t>sdk</t>
  </si>
  <si>
    <t>kaz vlhk</t>
  </si>
  <si>
    <t>kazety</t>
  </si>
  <si>
    <t>SDK potr</t>
  </si>
  <si>
    <t>SDK kazet</t>
  </si>
  <si>
    <t>omítky</t>
  </si>
  <si>
    <t>sokl</t>
  </si>
  <si>
    <t>PVC+liš</t>
  </si>
  <si>
    <t>dlažba</t>
  </si>
  <si>
    <t>ker obkl</t>
  </si>
  <si>
    <t>v1,5</t>
  </si>
  <si>
    <t>v1,8</t>
  </si>
  <si>
    <t>v2,1</t>
  </si>
  <si>
    <t>mimo obklad</t>
  </si>
  <si>
    <t>vlhk</t>
  </si>
  <si>
    <t>sklA, D</t>
  </si>
  <si>
    <t>sklB, C</t>
  </si>
  <si>
    <t>skl C</t>
  </si>
  <si>
    <t>vstupní hala</t>
  </si>
  <si>
    <t>S</t>
  </si>
  <si>
    <t>zádveří</t>
  </si>
  <si>
    <t>A</t>
  </si>
  <si>
    <t>WC</t>
  </si>
  <si>
    <t>B</t>
  </si>
  <si>
    <t>poradna diet</t>
  </si>
  <si>
    <t>chodba ortopedie</t>
  </si>
  <si>
    <t>předsíň</t>
  </si>
  <si>
    <t>hyg. zaříz</t>
  </si>
  <si>
    <t>C</t>
  </si>
  <si>
    <t>wc</t>
  </si>
  <si>
    <t>pokoj 1</t>
  </si>
  <si>
    <t>pokoj 2</t>
  </si>
  <si>
    <t>pokoj 3</t>
  </si>
  <si>
    <t>pokoj 4</t>
  </si>
  <si>
    <t>pokoj 5</t>
  </si>
  <si>
    <t>pokoj 6</t>
  </si>
  <si>
    <t>pokoj 7</t>
  </si>
  <si>
    <t>pokoj 8</t>
  </si>
  <si>
    <t>pokoj 9</t>
  </si>
  <si>
    <t>pokoj 10</t>
  </si>
  <si>
    <t>desinfekce</t>
  </si>
  <si>
    <t>pokoj 11</t>
  </si>
  <si>
    <t>pokoj 12</t>
  </si>
  <si>
    <t>sklad léčiv</t>
  </si>
  <si>
    <t>denní m sester</t>
  </si>
  <si>
    <t>vyšetřovna</t>
  </si>
  <si>
    <t>pracovna ester</t>
  </si>
  <si>
    <t>wc personál</t>
  </si>
  <si>
    <t>wc pacientů</t>
  </si>
  <si>
    <t>pracovna lékařů</t>
  </si>
  <si>
    <t>jídelna</t>
  </si>
  <si>
    <t>sklad prádla</t>
  </si>
  <si>
    <t>elektrorozvodna</t>
  </si>
  <si>
    <t>schodiště</t>
  </si>
  <si>
    <t>Ing. Michal Procházka -602 766 298</t>
  </si>
  <si>
    <t>Ventilátor diagon.do kruh.potr. TD-500/160-dvouotáčkový</t>
  </si>
  <si>
    <r>
      <t xml:space="preserve">QV=500m3/h, P=70W, 230 V, I=0,19 A, IP 44-   </t>
    </r>
    <r>
      <rPr>
        <b/>
        <sz val="10"/>
        <rFont val="Arial"/>
        <family val="2"/>
        <charset val="238"/>
      </rPr>
      <t xml:space="preserve"> ultra tichý</t>
    </r>
  </si>
  <si>
    <t>1.015</t>
  </si>
  <si>
    <t>Provedení otvorů ve stěnách sociálního zařízení a zapravení otvorů</t>
  </si>
  <si>
    <t>hod.</t>
  </si>
  <si>
    <t>Ventilátor diagon.do kruh.potr. TD-1300/250-dvouotáčkový</t>
  </si>
  <si>
    <r>
      <t xml:space="preserve">QV=1300m3/h, P=180W, 230 V, I=0,60 A, IP 44-  </t>
    </r>
    <r>
      <rPr>
        <b/>
        <sz val="10"/>
        <rFont val="Arial"/>
        <family val="2"/>
        <charset val="238"/>
      </rPr>
      <t xml:space="preserve"> ultra tichý</t>
    </r>
  </si>
  <si>
    <t>Oblouk segmentový 30°- SPIRO  OS 250</t>
  </si>
  <si>
    <t>Přechod pravoúhlý- PRO o250/355x200</t>
  </si>
  <si>
    <t>2.027</t>
  </si>
  <si>
    <t>3.027</t>
  </si>
  <si>
    <t>20    171,00 x 0,126 = 21,546</t>
  </si>
  <si>
    <t>25      54,00 x 0,145 =  7,830</t>
  </si>
  <si>
    <t>32      75,00 x 0,166 = 12,450</t>
  </si>
  <si>
    <t>40      50,00 x 0,188 =  9,40</t>
  </si>
  <si>
    <t>50      32,00 x 0,220 =  7,040</t>
  </si>
  <si>
    <t>60      29,00 x 0,251 =  7,279</t>
  </si>
  <si>
    <t>70      26,00 x 0,282 =  7,332</t>
  </si>
  <si>
    <t>100    63,00 x 0,371 = 23,373</t>
  </si>
  <si>
    <t>Izolace potrubí 22x9</t>
  </si>
  <si>
    <t>Izolace potrubí 28x9</t>
  </si>
  <si>
    <t>Izolace potrubí 35 x9</t>
  </si>
  <si>
    <t>Izolace potrubí  42x9</t>
  </si>
  <si>
    <t>Výměry viz půdorys kanalizace</t>
  </si>
  <si>
    <t>Ceníkové položky potrubí jsou včetně sekání</t>
  </si>
  <si>
    <t>drážek a jejich zapravení</t>
  </si>
  <si>
    <t>721 17-6114.R00</t>
  </si>
  <si>
    <t>Potrubí HT odpadní svislé DN 70 x 1,9 mm</t>
  </si>
  <si>
    <t>721 17-6115.R00</t>
  </si>
  <si>
    <t>Potrubí HT odpadní svislé DN 100 x 2,7 mm</t>
  </si>
  <si>
    <t>Podlahová vpust DN 50 se svislým odtokem s pevnou izolační přírubou</t>
  </si>
  <si>
    <t>HL 405 Podomítková vodní zápachová uzávěrka</t>
  </si>
  <si>
    <t>722 17-2413.R00</t>
  </si>
  <si>
    <t>Potrubí z PPR Wavin, D 32/2,9 mm</t>
  </si>
  <si>
    <t>722 17-2414.R00</t>
  </si>
  <si>
    <t>Potrubí z PPR Wavin, D 40/3,7 mm</t>
  </si>
  <si>
    <t>722 17-6114.R00</t>
  </si>
  <si>
    <t>Montáž rozvodů z plastů polyfúz. svařováním DN 32</t>
  </si>
  <si>
    <t>722 17-6115.R00</t>
  </si>
  <si>
    <t>Montáž rozvodů z plastů polyfúz. svařováním DN 40</t>
  </si>
  <si>
    <t>Kulový kohout uzavírací DN 32</t>
  </si>
  <si>
    <t>722 23-9102.R00</t>
  </si>
  <si>
    <t>Montáž vodovodních armatur 2závity, G 3/4</t>
  </si>
  <si>
    <t>Montáž vodovodních armatur 2závity, G 1</t>
  </si>
  <si>
    <t>722 23-9104.R00</t>
  </si>
  <si>
    <t>Montáž vodovodních armatur 2závity, G 5/4</t>
  </si>
  <si>
    <t>722 17-0914.R00</t>
  </si>
  <si>
    <t>Oprava potrubí z PE trubek,vsazení odboč. do  DN63</t>
  </si>
  <si>
    <t>722 17-3912.R00</t>
  </si>
  <si>
    <t>Spoje pro rozvod vody plast polyf. DN 20</t>
  </si>
  <si>
    <t>722 17-3913.R00</t>
  </si>
  <si>
    <t>Spoje pro rozvod vody plast polyf. DN 25</t>
  </si>
  <si>
    <t>722 17-3914.R00</t>
  </si>
  <si>
    <t>Spoje pro rozvod vody plast polyf. DN 32</t>
  </si>
  <si>
    <t>722 17-3915.R00</t>
  </si>
  <si>
    <t>Spoje pro rozvod vody plast polyf. DN 40</t>
  </si>
  <si>
    <t>U- umyvadlo, UM - umývátko</t>
  </si>
  <si>
    <t>WC klozeet kombinační, WC 1 - klozet kombinační zvýšená výška</t>
  </si>
  <si>
    <t>642-32860</t>
  </si>
  <si>
    <t>Klozet komb OLYMP vodor. odpad, boční napouš. bílý</t>
  </si>
  <si>
    <t>S, S1 Sprcha</t>
  </si>
  <si>
    <t>VL- výlevka</t>
  </si>
  <si>
    <t xml:space="preserve">D- dřez zpětná montáž stáv. </t>
  </si>
  <si>
    <t>HL 100 dřezová zápachová uzávěrka DN 50</t>
  </si>
  <si>
    <t>72531-9101</t>
  </si>
  <si>
    <t>Montáž dřezů jednoduchých</t>
  </si>
  <si>
    <t>Demontáž uzávěrek zápachových jednoduchých U + D</t>
  </si>
  <si>
    <t>725 31-0823.R00</t>
  </si>
  <si>
    <t>Demontáž dřezů 1dílných v kuchyňské sestavě</t>
  </si>
  <si>
    <t>Ing. Pavel Spáčil</t>
  </si>
  <si>
    <t>Demontáže UT</t>
  </si>
  <si>
    <t>734</t>
  </si>
  <si>
    <t>Armatury</t>
  </si>
  <si>
    <t>783</t>
  </si>
  <si>
    <t>Nátěry</t>
  </si>
  <si>
    <t>Pomocné práce</t>
  </si>
  <si>
    <t>Demontáže VZT -ÚT</t>
  </si>
  <si>
    <t>Demontáže zařízení, odstavení a vypuštění vody</t>
  </si>
  <si>
    <t>Demontáže  litinových těles</t>
  </si>
  <si>
    <t>Montáže zařízení a napuštění vody</t>
  </si>
  <si>
    <t>Přesun hmot zařízení do 100 m, výšky do 6 m</t>
  </si>
  <si>
    <t>734 20-9115.R00</t>
  </si>
  <si>
    <t>Demontáž armatur závitových,se 2závity, G 1</t>
  </si>
  <si>
    <t>Radiátor.ventil Danfos RA-N přímý 1/2", vč.termostatické hlavice RAE 5054</t>
  </si>
  <si>
    <t>Reg.šroubení s vypouštěním danfos RLV přímé 1/2"</t>
  </si>
  <si>
    <t>734 20-9112.R00</t>
  </si>
  <si>
    <t>Montáž armatur závitových,se 2závity, G 1/2</t>
  </si>
  <si>
    <t>998 73-4103.R00</t>
  </si>
  <si>
    <t>Přesun hmot pro armatury, výšky do 24 m</t>
  </si>
  <si>
    <t>783 22-5100</t>
  </si>
  <si>
    <t>Nátěr KSDK syntetické 2x email 1x</t>
  </si>
  <si>
    <t>783 42-4340</t>
  </si>
  <si>
    <t>Nátěr potrubí -50 synt. 2x em. 1x + zn</t>
  </si>
  <si>
    <t xml:space="preserve">Pomocné práce </t>
  </si>
  <si>
    <t>Tlaková zkouška</t>
  </si>
  <si>
    <t>Topná zkouška</t>
  </si>
  <si>
    <t>VYTÁPĚNÍ</t>
  </si>
  <si>
    <t>73001</t>
  </si>
  <si>
    <t>D.1.4.6 - Rozvody medicinálního kyslíku</t>
  </si>
  <si>
    <t>Medicinální kyslík</t>
  </si>
  <si>
    <t>KONTROLNÍ SOUČET</t>
  </si>
  <si>
    <t>finanční rezerva  investora</t>
  </si>
  <si>
    <t xml:space="preserve">Ing.Krejčí Kamil, Ing. Procházka Petr, Ing. Miloš Polišenský, Pohlová Jaroslava, Ing. Josef Dvořáček, Ing. Pavel Spáčil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</si>
</sst>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d/m/yyyy;@"/>
    <numFmt numFmtId="169" formatCode="0.0"/>
    <numFmt numFmtId="170" formatCode="dd/mm/yy"/>
    <numFmt numFmtId="171" formatCode="0;0;"/>
    <numFmt numFmtId="172" formatCode="0.0%"/>
    <numFmt numFmtId="173" formatCode="000000000"/>
    <numFmt numFmtId="174" formatCode="0.000;0.000;"/>
    <numFmt numFmtId="175" formatCode="0.00;0.00;"/>
    <numFmt numFmtId="176" formatCode="#\ ###\ ##0.00"/>
    <numFmt numFmtId="177" formatCode="#,##0.00000"/>
    <numFmt numFmtId="178" formatCode="#\ ###\ ###"/>
    <numFmt numFmtId="179" formatCode="_(#,##0.00000_);[Red]\-\ #,##0.00000_);&quot;–&quot;??;_(@_)"/>
    <numFmt numFmtId="180" formatCode="_(#,##0.0_);[Red]\-\ #,##0.0_);&quot;–&quot;??;_(@_)"/>
    <numFmt numFmtId="181" formatCode="#,##0.00_ ;\-#,##0.00\ "/>
    <numFmt numFmtId="182" formatCode="#,##0.0"/>
    <numFmt numFmtId="183" formatCode="#.0\ ###\ ###"/>
    <numFmt numFmtId="184" formatCode="0.0;0.0;"/>
  </numFmts>
  <fonts count="11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17"/>
      <name val="Courier New"/>
      <family val="3"/>
      <charset val="238"/>
    </font>
    <font>
      <sz val="12"/>
      <name val="Arial CE"/>
      <family val="2"/>
      <charset val="238"/>
    </font>
    <font>
      <b/>
      <sz val="16"/>
      <name val="Times New Roman CE"/>
      <charset val="238"/>
    </font>
    <font>
      <sz val="10"/>
      <name val="Times New Roman CE"/>
      <charset val="238"/>
    </font>
    <font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i/>
      <sz val="11"/>
      <color indexed="40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40"/>
      <name val="Calibri"/>
      <family val="2"/>
      <charset val="238"/>
    </font>
    <font>
      <i/>
      <sz val="11"/>
      <color indexed="9"/>
      <name val="Calibri"/>
      <family val="2"/>
      <charset val="238"/>
    </font>
    <font>
      <sz val="11"/>
      <color indexed="8"/>
      <name val="Times New Roman CE"/>
      <charset val="238"/>
    </font>
    <font>
      <b/>
      <sz val="12"/>
      <color indexed="8"/>
      <name val="Times New Roman CE"/>
      <charset val="238"/>
    </font>
    <font>
      <b/>
      <sz val="11"/>
      <color indexed="8"/>
      <name val="Times New Roman CE"/>
      <charset val="238"/>
    </font>
    <font>
      <b/>
      <sz val="9"/>
      <color indexed="10"/>
      <name val="Arial"/>
      <family val="2"/>
      <charset val="238"/>
    </font>
    <font>
      <b/>
      <sz val="9"/>
      <color indexed="36"/>
      <name val="Arial"/>
      <family val="2"/>
      <charset val="238"/>
    </font>
    <font>
      <sz val="10"/>
      <color indexed="8"/>
      <name val="Times New Roman CE"/>
      <charset val="238"/>
    </font>
    <font>
      <sz val="9"/>
      <color indexed="8"/>
      <name val="Calibri"/>
      <family val="2"/>
      <charset val="238"/>
    </font>
    <font>
      <b/>
      <sz val="16"/>
      <color indexed="8"/>
      <name val="Times New Roman CE"/>
      <charset val="238"/>
    </font>
    <font>
      <b/>
      <sz val="8"/>
      <color indexed="10"/>
      <name val="Arial"/>
      <family val="2"/>
      <charset val="238"/>
    </font>
    <font>
      <sz val="10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Times New Roman CE"/>
      <family val="1"/>
      <charset val="238"/>
    </font>
    <font>
      <sz val="9"/>
      <name val="Arial CE"/>
    </font>
    <font>
      <sz val="9"/>
      <color indexed="8"/>
      <name val="Times New Roman CE"/>
      <charset val="238"/>
    </font>
    <font>
      <sz val="8"/>
      <name val="Arial"/>
      <family val="2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2"/>
      <name val="Times New Roman CE"/>
      <charset val="238"/>
    </font>
    <font>
      <i/>
      <sz val="9"/>
      <color indexed="40"/>
      <name val="Times New Roman CE"/>
      <charset val="238"/>
    </font>
    <font>
      <b/>
      <i/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color rgb="FF00B050"/>
      <name val="Arial CE"/>
      <family val="2"/>
      <charset val="238"/>
    </font>
    <font>
      <sz val="10"/>
      <color rgb="FF00B050"/>
      <name val="Arial CE"/>
      <charset val="238"/>
    </font>
    <font>
      <b/>
      <sz val="10"/>
      <color rgb="FF00B050"/>
      <name val="Arial CE"/>
      <charset val="238"/>
    </font>
    <font>
      <b/>
      <sz val="10"/>
      <color rgb="FF00B050"/>
      <name val="Arial CE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Times New Roman CE"/>
      <charset val="238"/>
    </font>
    <font>
      <sz val="10"/>
      <color theme="1"/>
      <name val="Times New Roman CE"/>
      <charset val="238"/>
    </font>
    <font>
      <i/>
      <sz val="10"/>
      <color indexed="40"/>
      <name val="Times New Roman CE"/>
      <charset val="238"/>
    </font>
    <font>
      <i/>
      <sz val="10"/>
      <color indexed="40"/>
      <name val="Calibri"/>
      <family val="2"/>
      <charset val="238"/>
    </font>
    <font>
      <b/>
      <sz val="10"/>
      <name val="Times New Roman CE"/>
      <charset val="238"/>
    </font>
    <font>
      <sz val="8"/>
      <color indexed="17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name val="Arial"/>
      <family val="2"/>
      <charset val="238"/>
    </font>
    <font>
      <i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6"/>
      <color theme="4" tint="-0.24997711111789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6"/>
      <color rgb="FF7030A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6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 CE"/>
      <charset val="238"/>
    </font>
    <font>
      <b/>
      <i/>
      <sz val="8"/>
      <color theme="0"/>
      <name val="Calibri"/>
      <family val="2"/>
      <charset val="238"/>
      <scheme val="minor"/>
    </font>
    <font>
      <b/>
      <sz val="12"/>
      <color rgb="FF7030A0"/>
      <name val="Arial"/>
      <family val="2"/>
      <charset val="238"/>
    </font>
    <font>
      <b/>
      <sz val="12"/>
      <name val="Arial CE"/>
      <charset val="238"/>
    </font>
    <font>
      <sz val="10"/>
      <color theme="1"/>
      <name val="Arial CE"/>
      <charset val="238"/>
    </font>
    <font>
      <sz val="10"/>
      <color rgb="FF7030A0"/>
      <name val="Arial CE"/>
      <charset val="238"/>
    </font>
    <font>
      <sz val="10"/>
      <color rgb="FFFF0000"/>
      <name val="Arial CE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10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</fills>
  <borders count="1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62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7" fillId="0" borderId="0"/>
    <xf numFmtId="0" fontId="8" fillId="0" borderId="0"/>
    <xf numFmtId="9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/>
    <xf numFmtId="43" fontId="114" fillId="0" borderId="0" applyFont="0" applyFill="0" applyBorder="0" applyAlignment="0" applyProtection="0"/>
  </cellStyleXfs>
  <cellXfs count="1256">
    <xf numFmtId="0" fontId="0" fillId="0" borderId="0" xfId="0"/>
    <xf numFmtId="0" fontId="8" fillId="0" borderId="0" xfId="4"/>
    <xf numFmtId="0" fontId="10" fillId="0" borderId="0" xfId="4" applyFont="1" applyAlignment="1">
      <alignment horizontal="centerContinuous"/>
    </xf>
    <xf numFmtId="0" fontId="11" fillId="0" borderId="0" xfId="4" applyFont="1" applyAlignment="1">
      <alignment horizontal="centerContinuous"/>
    </xf>
    <xf numFmtId="0" fontId="11" fillId="0" borderId="0" xfId="4" applyFont="1" applyAlignment="1">
      <alignment horizontal="right"/>
    </xf>
    <xf numFmtId="0" fontId="13" fillId="0" borderId="0" xfId="4" applyFont="1" applyFill="1"/>
    <xf numFmtId="0" fontId="8" fillId="0" borderId="0" xfId="4" applyFont="1" applyFill="1"/>
    <xf numFmtId="0" fontId="8" fillId="0" borderId="0" xfId="4" applyFill="1"/>
    <xf numFmtId="0" fontId="8" fillId="0" borderId="0" xfId="4" applyFill="1" applyAlignment="1">
      <alignment horizontal="right"/>
    </xf>
    <xf numFmtId="0" fontId="8" fillId="0" borderId="0" xfId="4" applyBorder="1"/>
    <xf numFmtId="0" fontId="8" fillId="0" borderId="0" xfId="4" applyAlignment="1">
      <alignment horizontal="right"/>
    </xf>
    <xf numFmtId="0" fontId="17" fillId="0" borderId="0" xfId="0" applyFont="1"/>
    <xf numFmtId="0" fontId="8" fillId="0" borderId="3" xfId="4" applyFont="1" applyBorder="1" applyAlignment="1"/>
    <xf numFmtId="0" fontId="8" fillId="0" borderId="4" xfId="4" applyFont="1" applyBorder="1" applyAlignment="1"/>
    <xf numFmtId="0" fontId="8" fillId="0" borderId="5" xfId="4" applyFont="1" applyBorder="1" applyAlignment="1"/>
    <xf numFmtId="168" fontId="8" fillId="0" borderId="6" xfId="4" applyNumberFormat="1" applyFont="1" applyBorder="1" applyAlignment="1"/>
    <xf numFmtId="0" fontId="8" fillId="0" borderId="0" xfId="4" applyFont="1" applyBorder="1" applyAlignment="1">
      <alignment horizontal="center"/>
    </xf>
    <xf numFmtId="0" fontId="18" fillId="0" borderId="0" xfId="4" applyFont="1" applyBorder="1" applyAlignment="1">
      <alignment horizontal="center" wrapText="1"/>
    </xf>
    <xf numFmtId="0" fontId="8" fillId="0" borderId="0" xfId="4" applyFont="1" applyBorder="1" applyAlignme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169" fontId="0" fillId="0" borderId="0" xfId="0" applyNumberFormat="1"/>
    <xf numFmtId="49" fontId="15" fillId="2" borderId="7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0" fillId="0" borderId="0" xfId="0" applyBorder="1"/>
    <xf numFmtId="169" fontId="0" fillId="0" borderId="0" xfId="0" applyNumberFormat="1" applyBorder="1"/>
    <xf numFmtId="0" fontId="13" fillId="0" borderId="13" xfId="0" applyFont="1" applyBorder="1"/>
    <xf numFmtId="0" fontId="0" fillId="0" borderId="13" xfId="0" applyBorder="1"/>
    <xf numFmtId="3" fontId="16" fillId="0" borderId="14" xfId="0" quotePrefix="1" applyNumberFormat="1" applyFont="1" applyBorder="1" applyAlignment="1">
      <alignment horizontal="right"/>
    </xf>
    <xf numFmtId="3" fontId="16" fillId="0" borderId="15" xfId="0" quotePrefix="1" applyNumberFormat="1" applyFont="1" applyBorder="1" applyAlignment="1">
      <alignment horizontal="right"/>
    </xf>
    <xf numFmtId="3" fontId="16" fillId="0" borderId="16" xfId="0" quotePrefix="1" applyNumberFormat="1" applyFont="1" applyBorder="1" applyAlignment="1">
      <alignment horizontal="right"/>
    </xf>
    <xf numFmtId="0" fontId="13" fillId="0" borderId="17" xfId="0" applyFont="1" applyBorder="1"/>
    <xf numFmtId="0" fontId="0" fillId="0" borderId="17" xfId="0" applyBorder="1"/>
    <xf numFmtId="3" fontId="16" fillId="0" borderId="18" xfId="0" quotePrefix="1" applyNumberFormat="1" applyFont="1" applyBorder="1" applyAlignment="1">
      <alignment horizontal="right"/>
    </xf>
    <xf numFmtId="0" fontId="15" fillId="2" borderId="7" xfId="0" applyFont="1" applyFill="1" applyBorder="1"/>
    <xf numFmtId="0" fontId="15" fillId="2" borderId="8" xfId="0" applyFont="1" applyFill="1" applyBorder="1"/>
    <xf numFmtId="3" fontId="15" fillId="2" borderId="9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12" xfId="0" applyNumberFormat="1" applyFont="1" applyFill="1" applyBorder="1" applyAlignment="1">
      <alignment horizontal="right"/>
    </xf>
    <xf numFmtId="0" fontId="15" fillId="0" borderId="0" xfId="0" applyFont="1"/>
    <xf numFmtId="3" fontId="19" fillId="0" borderId="0" xfId="0" applyNumberFormat="1" applyFont="1" applyAlignment="1">
      <alignment horizontal="centerContinuous"/>
    </xf>
    <xf numFmtId="3" fontId="0" fillId="0" borderId="0" xfId="0" applyNumberFormat="1"/>
    <xf numFmtId="0" fontId="39" fillId="0" borderId="0" xfId="0" applyFont="1" applyBorder="1"/>
    <xf numFmtId="0" fontId="18" fillId="2" borderId="7" xfId="0" applyFont="1" applyFill="1" applyBorder="1"/>
    <xf numFmtId="0" fontId="18" fillId="2" borderId="8" xfId="0" applyFont="1" applyFill="1" applyBorder="1"/>
    <xf numFmtId="0" fontId="0" fillId="2" borderId="9" xfId="0" applyFill="1" applyBorder="1"/>
    <xf numFmtId="49" fontId="20" fillId="2" borderId="19" xfId="0" applyNumberFormat="1" applyFont="1" applyFill="1" applyBorder="1" applyAlignment="1">
      <alignment horizontal="center" wrapText="1"/>
    </xf>
    <xf numFmtId="49" fontId="20" fillId="2" borderId="11" xfId="0" applyNumberFormat="1" applyFont="1" applyFill="1" applyBorder="1" applyAlignment="1">
      <alignment horizontal="center" wrapText="1"/>
    </xf>
    <xf numFmtId="49" fontId="20" fillId="2" borderId="12" xfId="0" applyNumberFormat="1" applyFont="1" applyFill="1" applyBorder="1" applyAlignment="1">
      <alignment horizontal="center" wrapText="1"/>
    </xf>
    <xf numFmtId="0" fontId="0" fillId="0" borderId="20" xfId="0" applyBorder="1"/>
    <xf numFmtId="0" fontId="16" fillId="0" borderId="21" xfId="0" applyFont="1" applyBorder="1"/>
    <xf numFmtId="0" fontId="16" fillId="0" borderId="22" xfId="0" applyFont="1" applyBorder="1"/>
    <xf numFmtId="4" fontId="16" fillId="0" borderId="14" xfId="0" applyNumberFormat="1" applyFont="1" applyBorder="1" applyAlignment="1">
      <alignment horizontal="right"/>
    </xf>
    <xf numFmtId="3" fontId="16" fillId="0" borderId="16" xfId="0" applyNumberFormat="1" applyFont="1" applyBorder="1" applyAlignment="1">
      <alignment horizontal="right"/>
    </xf>
    <xf numFmtId="0" fontId="41" fillId="0" borderId="0" xfId="0" applyFont="1" applyBorder="1"/>
    <xf numFmtId="0" fontId="16" fillId="0" borderId="23" xfId="0" applyFont="1" applyBorder="1"/>
    <xf numFmtId="0" fontId="16" fillId="0" borderId="0" xfId="0" applyFont="1" applyBorder="1"/>
    <xf numFmtId="0" fontId="16" fillId="0" borderId="24" xfId="0" applyFont="1" applyBorder="1"/>
    <xf numFmtId="3" fontId="16" fillId="0" borderId="25" xfId="0" applyNumberFormat="1" applyFont="1" applyBorder="1" applyAlignment="1">
      <alignment horizontal="right"/>
    </xf>
    <xf numFmtId="169" fontId="16" fillId="0" borderId="26" xfId="0" applyNumberFormat="1" applyFont="1" applyBorder="1" applyAlignment="1">
      <alignment horizontal="right"/>
    </xf>
    <xf numFmtId="3" fontId="16" fillId="0" borderId="26" xfId="0" applyNumberFormat="1" applyFont="1" applyBorder="1" applyAlignment="1">
      <alignment horizontal="right"/>
    </xf>
    <xf numFmtId="4" fontId="16" fillId="0" borderId="26" xfId="0" applyNumberFormat="1" applyFont="1" applyBorder="1" applyAlignment="1">
      <alignment horizontal="right"/>
    </xf>
    <xf numFmtId="3" fontId="16" fillId="0" borderId="27" xfId="0" applyNumberFormat="1" applyFont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4" fontId="0" fillId="2" borderId="9" xfId="0" applyNumberFormat="1" applyFill="1" applyBorder="1"/>
    <xf numFmtId="0" fontId="0" fillId="2" borderId="10" xfId="0" applyFill="1" applyBorder="1"/>
    <xf numFmtId="0" fontId="16" fillId="0" borderId="28" xfId="0" applyFont="1" applyBorder="1"/>
    <xf numFmtId="0" fontId="16" fillId="0" borderId="20" xfId="0" applyFont="1" applyBorder="1"/>
    <xf numFmtId="3" fontId="13" fillId="0" borderId="0" xfId="0" applyNumberFormat="1" applyFont="1"/>
    <xf numFmtId="4" fontId="13" fillId="0" borderId="0" xfId="0" applyNumberFormat="1" applyFont="1"/>
    <xf numFmtId="4" fontId="0" fillId="0" borderId="0" xfId="0" applyNumberForma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shrinkToFi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4" xfId="0" applyBorder="1"/>
    <xf numFmtId="49" fontId="21" fillId="0" borderId="20" xfId="0" applyNumberFormat="1" applyFont="1" applyFill="1" applyBorder="1"/>
    <xf numFmtId="49" fontId="0" fillId="0" borderId="34" xfId="0" applyNumberFormat="1" applyFill="1" applyBorder="1"/>
    <xf numFmtId="0" fontId="0" fillId="0" borderId="35" xfId="0" applyBorder="1"/>
    <xf numFmtId="0" fontId="0" fillId="0" borderId="2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5" xfId="0" applyBorder="1" applyAlignment="1">
      <alignment horizontal="right"/>
    </xf>
    <xf numFmtId="0" fontId="14" fillId="0" borderId="37" xfId="0" applyFont="1" applyBorder="1" applyAlignment="1">
      <alignment horizontal="left"/>
    </xf>
    <xf numFmtId="0" fontId="0" fillId="0" borderId="39" xfId="0" applyNumberFormat="1" applyBorder="1"/>
    <xf numFmtId="0" fontId="0" fillId="0" borderId="38" xfId="0" applyNumberFormat="1" applyBorder="1"/>
    <xf numFmtId="0" fontId="0" fillId="0" borderId="40" xfId="0" applyNumberFormat="1" applyBorder="1" applyAlignment="1">
      <alignment horizontal="left"/>
    </xf>
    <xf numFmtId="0" fontId="0" fillId="0" borderId="0" xfId="0" applyNumberFormat="1"/>
    <xf numFmtId="0" fontId="14" fillId="0" borderId="41" xfId="0" applyFont="1" applyBorder="1" applyAlignment="1">
      <alignment horizontal="left"/>
    </xf>
    <xf numFmtId="3" fontId="0" fillId="0" borderId="40" xfId="0" applyNumberFormat="1" applyBorder="1" applyAlignment="1">
      <alignment horizontal="left"/>
    </xf>
    <xf numFmtId="0" fontId="0" fillId="0" borderId="42" xfId="0" applyBorder="1"/>
    <xf numFmtId="0" fontId="0" fillId="0" borderId="3" xfId="0" applyBorder="1"/>
    <xf numFmtId="0" fontId="0" fillId="0" borderId="43" xfId="0" applyBorder="1"/>
    <xf numFmtId="0" fontId="0" fillId="0" borderId="44" xfId="0" applyBorder="1"/>
    <xf numFmtId="0" fontId="19" fillId="0" borderId="45" xfId="0" applyFont="1" applyBorder="1" applyAlignment="1">
      <alignment horizontal="centerContinuous" vertical="center"/>
    </xf>
    <xf numFmtId="0" fontId="22" fillId="0" borderId="46" xfId="0" applyFont="1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0" fontId="0" fillId="0" borderId="48" xfId="0" applyBorder="1"/>
    <xf numFmtId="0" fontId="0" fillId="0" borderId="21" xfId="0" applyBorder="1"/>
    <xf numFmtId="3" fontId="0" fillId="0" borderId="49" xfId="0" applyNumberFormat="1" applyBorder="1" applyAlignment="1">
      <alignment horizontal="right"/>
    </xf>
    <xf numFmtId="0" fontId="0" fillId="0" borderId="50" xfId="0" applyBorder="1"/>
    <xf numFmtId="0" fontId="0" fillId="0" borderId="51" xfId="0" applyBorder="1"/>
    <xf numFmtId="3" fontId="0" fillId="0" borderId="52" xfId="0" applyNumberFormat="1" applyBorder="1"/>
    <xf numFmtId="0" fontId="0" fillId="0" borderId="49" xfId="0" applyBorder="1"/>
    <xf numFmtId="3" fontId="0" fillId="0" borderId="50" xfId="0" applyNumberFormat="1" applyBorder="1"/>
    <xf numFmtId="3" fontId="0" fillId="0" borderId="35" xfId="0" applyNumberFormat="1" applyBorder="1" applyAlignment="1">
      <alignment horizontal="right"/>
    </xf>
    <xf numFmtId="0" fontId="16" fillId="0" borderId="42" xfId="0" applyFont="1" applyBorder="1"/>
    <xf numFmtId="3" fontId="0" fillId="0" borderId="41" xfId="0" applyNumberFormat="1" applyBorder="1"/>
    <xf numFmtId="0" fontId="0" fillId="0" borderId="53" xfId="0" applyBorder="1"/>
    <xf numFmtId="0" fontId="0" fillId="0" borderId="28" xfId="0" applyBorder="1"/>
    <xf numFmtId="0" fontId="39" fillId="0" borderId="43" xfId="0" applyFont="1" applyBorder="1"/>
    <xf numFmtId="3" fontId="39" fillId="0" borderId="41" xfId="0" applyNumberFormat="1" applyFont="1" applyBorder="1"/>
    <xf numFmtId="0" fontId="0" fillId="0" borderId="41" xfId="0" applyBorder="1"/>
    <xf numFmtId="0" fontId="39" fillId="0" borderId="36" xfId="0" applyFont="1" applyBorder="1"/>
    <xf numFmtId="0" fontId="39" fillId="0" borderId="38" xfId="0" applyFont="1" applyBorder="1"/>
    <xf numFmtId="3" fontId="39" fillId="0" borderId="54" xfId="0" applyNumberFormat="1" applyFont="1" applyBorder="1"/>
    <xf numFmtId="0" fontId="39" fillId="0" borderId="55" xfId="0" applyFont="1" applyBorder="1"/>
    <xf numFmtId="0" fontId="0" fillId="0" borderId="56" xfId="0" applyBorder="1"/>
    <xf numFmtId="0" fontId="0" fillId="0" borderId="14" xfId="0" applyBorder="1"/>
    <xf numFmtId="0" fontId="0" fillId="0" borderId="57" xfId="0" applyBorder="1"/>
    <xf numFmtId="0" fontId="0" fillId="0" borderId="15" xfId="0" applyBorder="1" applyAlignment="1">
      <alignment horizontal="right"/>
    </xf>
    <xf numFmtId="170" fontId="0" fillId="0" borderId="15" xfId="0" applyNumberFormat="1" applyBorder="1"/>
    <xf numFmtId="168" fontId="0" fillId="0" borderId="43" xfId="0" applyNumberFormat="1" applyBorder="1" applyAlignment="1"/>
    <xf numFmtId="0" fontId="39" fillId="0" borderId="41" xfId="0" applyFont="1" applyBorder="1"/>
    <xf numFmtId="168" fontId="0" fillId="0" borderId="0" xfId="0" applyNumberFormat="1"/>
    <xf numFmtId="0" fontId="0" fillId="0" borderId="23" xfId="0" applyBorder="1"/>
    <xf numFmtId="0" fontId="0" fillId="0" borderId="58" xfId="0" applyBorder="1"/>
    <xf numFmtId="0" fontId="0" fillId="0" borderId="59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42" fillId="0" borderId="7" xfId="0" applyFont="1" applyBorder="1"/>
    <xf numFmtId="0" fontId="0" fillId="0" borderId="8" xfId="0" applyBorder="1"/>
    <xf numFmtId="0" fontId="43" fillId="0" borderId="9" xfId="0" applyFont="1" applyBorder="1"/>
    <xf numFmtId="0" fontId="0" fillId="0" borderId="60" xfId="0" applyBorder="1"/>
    <xf numFmtId="0" fontId="0" fillId="0" borderId="2" xfId="0" applyBorder="1" applyAlignment="1"/>
    <xf numFmtId="0" fontId="0" fillId="0" borderId="61" xfId="0" applyBorder="1"/>
    <xf numFmtId="0" fontId="23" fillId="0" borderId="62" xfId="4" applyFont="1" applyBorder="1" applyAlignment="1">
      <alignment horizontal="left" wrapText="1"/>
    </xf>
    <xf numFmtId="0" fontId="23" fillId="0" borderId="63" xfId="4" applyFont="1" applyBorder="1" applyAlignment="1">
      <alignment horizontal="left" wrapText="1"/>
    </xf>
    <xf numFmtId="0" fontId="0" fillId="0" borderId="0" xfId="0" applyAlignment="1">
      <alignment horizontal="left"/>
    </xf>
    <xf numFmtId="171" fontId="0" fillId="0" borderId="0" xfId="0" applyNumberFormat="1"/>
    <xf numFmtId="0" fontId="0" fillId="0" borderId="64" xfId="0" applyBorder="1" applyAlignment="1">
      <alignment horizontal="left"/>
    </xf>
    <xf numFmtId="49" fontId="0" fillId="0" borderId="64" xfId="0" applyNumberFormat="1" applyBorder="1" applyAlignment="1">
      <alignment horizontal="left"/>
    </xf>
    <xf numFmtId="0" fontId="0" fillId="0" borderId="64" xfId="0" applyBorder="1"/>
    <xf numFmtId="171" fontId="0" fillId="0" borderId="64" xfId="0" applyNumberFormat="1" applyBorder="1" applyAlignment="1">
      <alignment wrapText="1"/>
    </xf>
    <xf numFmtId="0" fontId="40" fillId="0" borderId="29" xfId="0" applyFont="1" applyBorder="1" applyAlignment="1">
      <alignment horizontal="right" vertical="center"/>
    </xf>
    <xf numFmtId="0" fontId="44" fillId="0" borderId="31" xfId="0" applyFont="1" applyBorder="1"/>
    <xf numFmtId="49" fontId="44" fillId="0" borderId="31" xfId="0" applyNumberFormat="1" applyFont="1" applyBorder="1" applyAlignment="1">
      <alignment horizontal="left"/>
    </xf>
    <xf numFmtId="0" fontId="44" fillId="0" borderId="31" xfId="0" applyFont="1" applyBorder="1" applyAlignment="1">
      <alignment horizontal="right"/>
    </xf>
    <xf numFmtId="171" fontId="44" fillId="0" borderId="31" xfId="0" applyNumberFormat="1" applyFont="1" applyBorder="1"/>
    <xf numFmtId="171" fontId="44" fillId="0" borderId="33" xfId="0" applyNumberFormat="1" applyFont="1" applyBorder="1"/>
    <xf numFmtId="0" fontId="44" fillId="0" borderId="0" xfId="0" applyFont="1"/>
    <xf numFmtId="0" fontId="40" fillId="0" borderId="20" xfId="0" applyFont="1" applyBorder="1" applyAlignment="1">
      <alignment horizontal="right" vertical="center"/>
    </xf>
    <xf numFmtId="49" fontId="39" fillId="0" borderId="0" xfId="0" applyNumberFormat="1" applyFont="1" applyBorder="1" applyAlignment="1">
      <alignment horizontal="left"/>
    </xf>
    <xf numFmtId="0" fontId="39" fillId="0" borderId="0" xfId="0" applyFont="1" applyBorder="1" applyAlignment="1">
      <alignment horizontal="right"/>
    </xf>
    <xf numFmtId="171" fontId="39" fillId="0" borderId="0" xfId="0" applyNumberFormat="1" applyFont="1" applyBorder="1"/>
    <xf numFmtId="171" fontId="39" fillId="0" borderId="24" xfId="0" applyNumberFormat="1" applyFont="1" applyBorder="1"/>
    <xf numFmtId="0" fontId="39" fillId="0" borderId="0" xfId="0" applyFont="1"/>
    <xf numFmtId="0" fontId="43" fillId="0" borderId="20" xfId="0" applyFont="1" applyBorder="1" applyAlignment="1">
      <alignment horizontal="right" vertical="center"/>
    </xf>
    <xf numFmtId="0" fontId="43" fillId="0" borderId="0" xfId="0" applyFont="1" applyBorder="1"/>
    <xf numFmtId="49" fontId="43" fillId="0" borderId="0" xfId="0" applyNumberFormat="1" applyFont="1" applyBorder="1" applyAlignment="1">
      <alignment horizontal="left"/>
    </xf>
    <xf numFmtId="1" fontId="43" fillId="0" borderId="0" xfId="0" applyNumberFormat="1" applyFont="1" applyBorder="1" applyAlignment="1" applyProtection="1">
      <alignment horizontal="right"/>
      <protection locked="0"/>
    </xf>
    <xf numFmtId="171" fontId="43" fillId="0" borderId="0" xfId="0" applyNumberFormat="1" applyFont="1" applyBorder="1" applyProtection="1">
      <protection locked="0"/>
    </xf>
    <xf numFmtId="171" fontId="43" fillId="0" borderId="24" xfId="0" applyNumberFormat="1" applyFont="1" applyBorder="1"/>
    <xf numFmtId="0" fontId="43" fillId="0" borderId="0" xfId="0" applyFont="1"/>
    <xf numFmtId="0" fontId="41" fillId="0" borderId="20" xfId="0" applyFont="1" applyBorder="1" applyAlignment="1">
      <alignment horizontal="right" vertical="center"/>
    </xf>
    <xf numFmtId="0" fontId="39" fillId="0" borderId="0" xfId="0" applyFont="1" applyFill="1" applyBorder="1"/>
    <xf numFmtId="1" fontId="39" fillId="0" borderId="0" xfId="0" applyNumberFormat="1" applyFont="1" applyBorder="1" applyAlignment="1" applyProtection="1">
      <alignment horizontal="right"/>
      <protection locked="0"/>
    </xf>
    <xf numFmtId="171" fontId="39" fillId="0" borderId="0" xfId="0" applyNumberFormat="1" applyFont="1" applyBorder="1" applyProtection="1">
      <protection locked="0"/>
    </xf>
    <xf numFmtId="0" fontId="45" fillId="0" borderId="0" xfId="0" applyFont="1" applyBorder="1"/>
    <xf numFmtId="49" fontId="45" fillId="0" borderId="0" xfId="0" applyNumberFormat="1" applyFont="1" applyBorder="1" applyAlignment="1">
      <alignment horizontal="left"/>
    </xf>
    <xf numFmtId="1" fontId="45" fillId="0" borderId="0" xfId="0" applyNumberFormat="1" applyFont="1" applyBorder="1" applyAlignment="1" applyProtection="1">
      <alignment horizontal="right"/>
      <protection locked="0"/>
    </xf>
    <xf numFmtId="171" fontId="45" fillId="0" borderId="0" xfId="0" applyNumberFormat="1" applyFont="1" applyBorder="1" applyProtection="1">
      <protection locked="0"/>
    </xf>
    <xf numFmtId="171" fontId="45" fillId="0" borderId="24" xfId="0" applyNumberFormat="1" applyFont="1" applyBorder="1"/>
    <xf numFmtId="0" fontId="45" fillId="0" borderId="0" xfId="0" applyFont="1"/>
    <xf numFmtId="0" fontId="46" fillId="0" borderId="20" xfId="0" applyFont="1" applyBorder="1" applyAlignment="1">
      <alignment horizontal="right" vertical="center"/>
    </xf>
    <xf numFmtId="0" fontId="0" fillId="0" borderId="0" xfId="0" applyBorder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47" fillId="0" borderId="0" xfId="0" applyFon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71" fontId="0" fillId="0" borderId="0" xfId="0" applyNumberFormat="1" applyBorder="1" applyProtection="1">
      <protection locked="0"/>
    </xf>
    <xf numFmtId="171" fontId="0" fillId="0" borderId="24" xfId="0" applyNumberFormat="1" applyBorder="1" applyProtection="1">
      <protection locked="0"/>
    </xf>
    <xf numFmtId="0" fontId="0" fillId="0" borderId="0" xfId="0" applyProtection="1">
      <protection locked="0"/>
    </xf>
    <xf numFmtId="0" fontId="45" fillId="0" borderId="0" xfId="0" applyNumberFormat="1" applyFont="1" applyBorder="1" applyAlignment="1" applyProtection="1">
      <alignment horizontal="right"/>
      <protection locked="0"/>
    </xf>
    <xf numFmtId="49" fontId="47" fillId="0" borderId="0" xfId="0" applyNumberFormat="1" applyFont="1" applyBorder="1" applyAlignment="1" applyProtection="1">
      <alignment horizontal="left" wrapText="1"/>
      <protection locked="0"/>
    </xf>
    <xf numFmtId="1" fontId="47" fillId="0" borderId="0" xfId="0" applyNumberFormat="1" applyFont="1" applyBorder="1" applyAlignment="1" applyProtection="1">
      <alignment horizontal="right" wrapText="1"/>
      <protection locked="0"/>
    </xf>
    <xf numFmtId="171" fontId="47" fillId="0" borderId="0" xfId="0" applyNumberFormat="1" applyFont="1" applyBorder="1" applyAlignment="1" applyProtection="1">
      <alignment wrapText="1"/>
      <protection locked="0"/>
    </xf>
    <xf numFmtId="171" fontId="47" fillId="0" borderId="24" xfId="0" applyNumberFormat="1" applyFont="1" applyBorder="1" applyAlignment="1" applyProtection="1">
      <alignment wrapText="1"/>
      <protection locked="0"/>
    </xf>
    <xf numFmtId="0" fontId="47" fillId="0" borderId="0" xfId="0" applyFont="1" applyAlignment="1" applyProtection="1">
      <alignment wrapText="1"/>
      <protection locked="0"/>
    </xf>
    <xf numFmtId="49" fontId="0" fillId="0" borderId="0" xfId="0" applyNumberFormat="1" applyBorder="1" applyAlignment="1">
      <alignment horizontal="left"/>
    </xf>
    <xf numFmtId="1" fontId="45" fillId="0" borderId="0" xfId="0" applyNumberFormat="1" applyFont="1" applyFill="1" applyBorder="1" applyAlignment="1" applyProtection="1">
      <alignment horizontal="right"/>
      <protection locked="0"/>
    </xf>
    <xf numFmtId="0" fontId="47" fillId="0" borderId="20" xfId="0" applyFont="1" applyBorder="1" applyAlignment="1" applyProtection="1">
      <alignment horizontal="right" vertical="center"/>
      <protection locked="0"/>
    </xf>
    <xf numFmtId="0" fontId="47" fillId="0" borderId="0" xfId="0" applyFont="1" applyBorder="1" applyProtection="1">
      <protection locked="0"/>
    </xf>
    <xf numFmtId="49" fontId="47" fillId="0" borderId="0" xfId="0" applyNumberFormat="1" applyFont="1" applyBorder="1" applyAlignment="1" applyProtection="1">
      <alignment horizontal="left"/>
      <protection locked="0"/>
    </xf>
    <xf numFmtId="1" fontId="47" fillId="0" borderId="0" xfId="0" applyNumberFormat="1" applyFont="1" applyBorder="1" applyAlignment="1" applyProtection="1">
      <alignment horizontal="right"/>
      <protection locked="0"/>
    </xf>
    <xf numFmtId="171" fontId="47" fillId="0" borderId="0" xfId="0" applyNumberFormat="1" applyFont="1" applyBorder="1" applyProtection="1">
      <protection locked="0"/>
    </xf>
    <xf numFmtId="171" fontId="47" fillId="0" borderId="24" xfId="0" applyNumberFormat="1" applyFont="1" applyBorder="1" applyProtection="1">
      <protection locked="0"/>
    </xf>
    <xf numFmtId="0" fontId="47" fillId="0" borderId="0" xfId="0" applyFont="1" applyProtection="1">
      <protection locked="0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 applyProtection="1">
      <alignment horizontal="right"/>
      <protection locked="0"/>
    </xf>
    <xf numFmtId="171" fontId="0" fillId="0" borderId="0" xfId="0" applyNumberFormat="1" applyFont="1" applyBorder="1" applyProtection="1">
      <protection locked="0"/>
    </xf>
    <xf numFmtId="0" fontId="0" fillId="0" borderId="0" xfId="0" applyFont="1"/>
    <xf numFmtId="0" fontId="47" fillId="0" borderId="20" xfId="0" applyFont="1" applyBorder="1" applyAlignment="1">
      <alignment horizontal="right" vertical="center"/>
    </xf>
    <xf numFmtId="0" fontId="47" fillId="0" borderId="0" xfId="0" applyFont="1" applyBorder="1"/>
    <xf numFmtId="49" fontId="47" fillId="0" borderId="0" xfId="0" applyNumberFormat="1" applyFont="1" applyBorder="1" applyAlignment="1">
      <alignment horizontal="left"/>
    </xf>
    <xf numFmtId="171" fontId="47" fillId="0" borderId="24" xfId="0" applyNumberFormat="1" applyFont="1" applyBorder="1"/>
    <xf numFmtId="0" fontId="47" fillId="0" borderId="0" xfId="0" applyFont="1"/>
    <xf numFmtId="0" fontId="48" fillId="0" borderId="20" xfId="0" applyFont="1" applyBorder="1" applyAlignment="1">
      <alignment horizontal="right" vertical="center"/>
    </xf>
    <xf numFmtId="0" fontId="48" fillId="0" borderId="0" xfId="0" applyFont="1" applyBorder="1"/>
    <xf numFmtId="49" fontId="48" fillId="0" borderId="0" xfId="0" applyNumberFormat="1" applyFont="1" applyBorder="1" applyAlignment="1">
      <alignment horizontal="left"/>
    </xf>
    <xf numFmtId="1" fontId="48" fillId="0" borderId="0" xfId="0" applyNumberFormat="1" applyFont="1" applyBorder="1" applyAlignment="1" applyProtection="1">
      <alignment horizontal="right"/>
      <protection locked="0"/>
    </xf>
    <xf numFmtId="0" fontId="48" fillId="0" borderId="0" xfId="0" applyFont="1"/>
    <xf numFmtId="49" fontId="41" fillId="0" borderId="0" xfId="0" applyNumberFormat="1" applyFont="1" applyBorder="1" applyAlignment="1">
      <alignment horizontal="left"/>
    </xf>
    <xf numFmtId="1" fontId="41" fillId="0" borderId="0" xfId="0" applyNumberFormat="1" applyFont="1" applyBorder="1" applyAlignment="1" applyProtection="1">
      <alignment horizontal="right"/>
      <protection locked="0"/>
    </xf>
    <xf numFmtId="171" fontId="41" fillId="0" borderId="0" xfId="0" applyNumberFormat="1" applyFont="1" applyBorder="1" applyProtection="1">
      <protection locked="0"/>
    </xf>
    <xf numFmtId="171" fontId="41" fillId="0" borderId="24" xfId="0" applyNumberFormat="1" applyFont="1" applyBorder="1"/>
    <xf numFmtId="0" fontId="41" fillId="0" borderId="0" xfId="0" applyFont="1"/>
    <xf numFmtId="0" fontId="41" fillId="0" borderId="0" xfId="0" applyFont="1" applyBorder="1" applyProtection="1">
      <protection locked="0"/>
    </xf>
    <xf numFmtId="49" fontId="41" fillId="0" borderId="0" xfId="0" applyNumberFormat="1" applyFont="1" applyBorder="1" applyAlignment="1" applyProtection="1">
      <alignment horizontal="left"/>
      <protection locked="0"/>
    </xf>
    <xf numFmtId="171" fontId="41" fillId="0" borderId="24" xfId="0" applyNumberFormat="1" applyFont="1" applyBorder="1" applyProtection="1">
      <protection locked="0"/>
    </xf>
    <xf numFmtId="0" fontId="41" fillId="0" borderId="0" xfId="0" applyFont="1" applyProtection="1">
      <protection locked="0"/>
    </xf>
    <xf numFmtId="0" fontId="47" fillId="0" borderId="0" xfId="0" applyFont="1" applyBorder="1" applyAlignment="1">
      <alignment wrapText="1"/>
    </xf>
    <xf numFmtId="0" fontId="0" fillId="0" borderId="0" xfId="0" applyFont="1" applyBorder="1" applyProtection="1">
      <protection locked="0"/>
    </xf>
    <xf numFmtId="171" fontId="0" fillId="0" borderId="24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38" fillId="0" borderId="20" xfId="0" applyFont="1" applyBorder="1" applyAlignment="1">
      <alignment horizontal="right" vertical="center"/>
    </xf>
    <xf numFmtId="171" fontId="0" fillId="0" borderId="24" xfId="0" applyNumberFormat="1" applyBorder="1"/>
    <xf numFmtId="0" fontId="49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39" fillId="0" borderId="0" xfId="0" applyFont="1" applyBorder="1" applyAlignment="1" applyProtection="1">
      <alignment horizontal="right"/>
      <protection locked="0"/>
    </xf>
    <xf numFmtId="1" fontId="47" fillId="0" borderId="0" xfId="0" applyNumberFormat="1" applyFont="1" applyBorder="1" applyAlignment="1" applyProtection="1">
      <alignment wrapText="1"/>
      <protection locked="0"/>
    </xf>
    <xf numFmtId="0" fontId="50" fillId="0" borderId="20" xfId="0" applyFont="1" applyBorder="1" applyAlignment="1">
      <alignment horizontal="right" vertical="center" wrapText="1"/>
    </xf>
    <xf numFmtId="49" fontId="47" fillId="0" borderId="0" xfId="0" applyNumberFormat="1" applyFont="1" applyBorder="1" applyAlignment="1">
      <alignment horizontal="left" wrapText="1"/>
    </xf>
    <xf numFmtId="1" fontId="47" fillId="0" borderId="0" xfId="0" applyNumberFormat="1" applyFont="1" applyBorder="1" applyAlignment="1">
      <alignment wrapText="1"/>
    </xf>
    <xf numFmtId="171" fontId="47" fillId="0" borderId="24" xfId="0" applyNumberFormat="1" applyFont="1" applyBorder="1" applyAlignment="1">
      <alignment wrapText="1"/>
    </xf>
    <xf numFmtId="0" fontId="47" fillId="0" borderId="0" xfId="0" applyFont="1" applyAlignment="1">
      <alignment wrapText="1"/>
    </xf>
    <xf numFmtId="1" fontId="43" fillId="0" borderId="0" xfId="0" applyNumberFormat="1" applyFont="1" applyBorder="1"/>
    <xf numFmtId="0" fontId="50" fillId="0" borderId="20" xfId="0" applyFont="1" applyBorder="1" applyAlignment="1">
      <alignment horizontal="right" vertical="center"/>
    </xf>
    <xf numFmtId="0" fontId="47" fillId="0" borderId="0" xfId="0" applyFont="1" applyBorder="1" applyAlignment="1" applyProtection="1">
      <alignment horizontal="right"/>
      <protection locked="0"/>
    </xf>
    <xf numFmtId="0" fontId="41" fillId="0" borderId="0" xfId="0" applyFont="1" applyFill="1" applyBorder="1" applyAlignment="1">
      <alignment wrapText="1"/>
    </xf>
    <xf numFmtId="0" fontId="38" fillId="0" borderId="60" xfId="0" applyFont="1" applyBorder="1" applyAlignment="1">
      <alignment horizontal="right" vertical="center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171" fontId="0" fillId="0" borderId="2" xfId="0" applyNumberFormat="1" applyBorder="1"/>
    <xf numFmtId="171" fontId="0" fillId="0" borderId="61" xfId="0" applyNumberFormat="1" applyBorder="1"/>
    <xf numFmtId="0" fontId="38" fillId="0" borderId="0" xfId="0" applyFont="1" applyAlignment="1">
      <alignment horizontal="righ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 vertical="center"/>
    </xf>
    <xf numFmtId="3" fontId="16" fillId="0" borderId="26" xfId="0" quotePrefix="1" applyNumberFormat="1" applyFont="1" applyBorder="1" applyAlignment="1">
      <alignment horizontal="right"/>
    </xf>
    <xf numFmtId="3" fontId="16" fillId="0" borderId="52" xfId="0" applyNumberFormat="1" applyFont="1" applyBorder="1"/>
    <xf numFmtId="3" fontId="16" fillId="0" borderId="41" xfId="0" applyNumberFormat="1" applyFont="1" applyBorder="1"/>
    <xf numFmtId="0" fontId="13" fillId="0" borderId="59" xfId="0" applyFont="1" applyBorder="1"/>
    <xf numFmtId="3" fontId="16" fillId="0" borderId="58" xfId="0" applyNumberFormat="1" applyFont="1" applyBorder="1"/>
    <xf numFmtId="0" fontId="6" fillId="0" borderId="13" xfId="0" applyFont="1" applyBorder="1"/>
    <xf numFmtId="0" fontId="6" fillId="0" borderId="0" xfId="0" applyFont="1" applyBorder="1"/>
    <xf numFmtId="169" fontId="6" fillId="0" borderId="0" xfId="0" applyNumberFormat="1" applyFont="1" applyBorder="1"/>
    <xf numFmtId="0" fontId="6" fillId="0" borderId="17" xfId="0" applyFont="1" applyBorder="1"/>
    <xf numFmtId="3" fontId="6" fillId="0" borderId="35" xfId="0" applyNumberFormat="1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17" fillId="0" borderId="65" xfId="4" applyFont="1" applyBorder="1" applyAlignment="1"/>
    <xf numFmtId="0" fontId="17" fillId="0" borderId="66" xfId="4" applyFont="1" applyBorder="1" applyAlignment="1"/>
    <xf numFmtId="0" fontId="8" fillId="0" borderId="67" xfId="4" applyFont="1" applyBorder="1" applyAlignment="1"/>
    <xf numFmtId="0" fontId="8" fillId="0" borderId="41" xfId="4" applyFont="1" applyBorder="1" applyAlignment="1"/>
    <xf numFmtId="0" fontId="8" fillId="0" borderId="68" xfId="4" applyFont="1" applyBorder="1" applyAlignment="1"/>
    <xf numFmtId="0" fontId="8" fillId="0" borderId="69" xfId="4" applyFont="1" applyBorder="1" applyAlignment="1"/>
    <xf numFmtId="0" fontId="23" fillId="0" borderId="70" xfId="4" applyFont="1" applyBorder="1" applyAlignment="1"/>
    <xf numFmtId="0" fontId="0" fillId="0" borderId="17" xfId="0" applyNumberFormat="1" applyBorder="1" applyAlignment="1"/>
    <xf numFmtId="0" fontId="0" fillId="0" borderId="41" xfId="0" applyNumberFormat="1" applyBorder="1" applyAlignment="1"/>
    <xf numFmtId="0" fontId="18" fillId="0" borderId="3" xfId="4" applyNumberFormat="1" applyFont="1" applyBorder="1" applyAlignment="1"/>
    <xf numFmtId="0" fontId="0" fillId="0" borderId="71" xfId="0" applyBorder="1" applyAlignment="1"/>
    <xf numFmtId="0" fontId="0" fillId="0" borderId="69" xfId="0" applyBorder="1" applyAlignment="1"/>
    <xf numFmtId="0" fontId="18" fillId="0" borderId="5" xfId="4" applyFont="1" applyBorder="1" applyAlignment="1"/>
    <xf numFmtId="49" fontId="2" fillId="0" borderId="62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2" fillId="0" borderId="71" xfId="0" applyNumberFormat="1" applyFont="1" applyBorder="1" applyAlignment="1">
      <alignment horizontal="center" vertical="top"/>
    </xf>
    <xf numFmtId="49" fontId="2" fillId="0" borderId="62" xfId="0" applyNumberFormat="1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71" xfId="0" applyNumberFormat="1" applyFont="1" applyBorder="1" applyAlignment="1">
      <alignment horizontal="left" vertical="top" wrapText="1"/>
    </xf>
    <xf numFmtId="3" fontId="0" fillId="0" borderId="3" xfId="0" applyNumberFormat="1" applyBorder="1" applyAlignment="1">
      <alignment horizontal="right"/>
    </xf>
    <xf numFmtId="3" fontId="39" fillId="0" borderId="3" xfId="0" applyNumberFormat="1" applyFont="1" applyBorder="1" applyAlignment="1">
      <alignment horizontal="right"/>
    </xf>
    <xf numFmtId="3" fontId="39" fillId="0" borderId="54" xfId="0" applyNumberFormat="1" applyFont="1" applyBorder="1" applyAlignment="1">
      <alignment horizontal="right"/>
    </xf>
    <xf numFmtId="3" fontId="39" fillId="0" borderId="8" xfId="0" applyNumberFormat="1" applyFont="1" applyBorder="1"/>
    <xf numFmtId="3" fontId="0" fillId="0" borderId="13" xfId="0" applyNumberFormat="1" applyBorder="1"/>
    <xf numFmtId="3" fontId="0" fillId="0" borderId="17" xfId="0" applyNumberFormat="1" applyBorder="1"/>
    <xf numFmtId="3" fontId="0" fillId="0" borderId="59" xfId="0" applyNumberFormat="1" applyBorder="1"/>
    <xf numFmtId="3" fontId="43" fillId="0" borderId="8" xfId="0" applyNumberFormat="1" applyFont="1" applyBorder="1"/>
    <xf numFmtId="0" fontId="51" fillId="0" borderId="72" xfId="0" applyFont="1" applyBorder="1"/>
    <xf numFmtId="173" fontId="51" fillId="0" borderId="73" xfId="0" applyNumberFormat="1" applyFont="1" applyBorder="1"/>
    <xf numFmtId="0" fontId="51" fillId="0" borderId="73" xfId="0" applyFont="1" applyBorder="1"/>
    <xf numFmtId="2" fontId="51" fillId="0" borderId="73" xfId="0" applyNumberFormat="1" applyFont="1" applyBorder="1"/>
    <xf numFmtId="174" fontId="51" fillId="0" borderId="73" xfId="0" applyNumberFormat="1" applyFont="1" applyBorder="1"/>
    <xf numFmtId="175" fontId="51" fillId="0" borderId="74" xfId="0" applyNumberFormat="1" applyFont="1" applyBorder="1"/>
    <xf numFmtId="174" fontId="52" fillId="0" borderId="75" xfId="0" applyNumberFormat="1" applyFont="1" applyBorder="1"/>
    <xf numFmtId="175" fontId="52" fillId="0" borderId="76" xfId="0" applyNumberFormat="1" applyFont="1" applyBorder="1"/>
    <xf numFmtId="0" fontId="52" fillId="0" borderId="0" xfId="0" applyFont="1"/>
    <xf numFmtId="0" fontId="51" fillId="0" borderId="77" xfId="0" applyFont="1" applyBorder="1"/>
    <xf numFmtId="173" fontId="51" fillId="0" borderId="1" xfId="0" applyNumberFormat="1" applyFont="1" applyBorder="1"/>
    <xf numFmtId="49" fontId="51" fillId="0" borderId="1" xfId="0" applyNumberFormat="1" applyFont="1" applyBorder="1"/>
    <xf numFmtId="2" fontId="51" fillId="0" borderId="1" xfId="0" applyNumberFormat="1" applyFont="1" applyBorder="1"/>
    <xf numFmtId="174" fontId="51" fillId="0" borderId="1" xfId="0" applyNumberFormat="1" applyFont="1" applyBorder="1"/>
    <xf numFmtId="175" fontId="51" fillId="0" borderId="78" xfId="0" applyNumberFormat="1" applyFont="1" applyBorder="1"/>
    <xf numFmtId="0" fontId="51" fillId="0" borderId="0" xfId="0" applyFont="1"/>
    <xf numFmtId="0" fontId="53" fillId="3" borderId="20" xfId="0" applyFont="1" applyFill="1" applyBorder="1"/>
    <xf numFmtId="173" fontId="53" fillId="3" borderId="0" xfId="0" applyNumberFormat="1" applyFont="1" applyFill="1" applyBorder="1"/>
    <xf numFmtId="49" fontId="53" fillId="3" borderId="0" xfId="0" applyNumberFormat="1" applyFont="1" applyFill="1" applyBorder="1"/>
    <xf numFmtId="2" fontId="53" fillId="3" borderId="0" xfId="0" applyNumberFormat="1" applyFont="1" applyFill="1" applyBorder="1"/>
    <xf numFmtId="174" fontId="53" fillId="3" borderId="0" xfId="0" applyNumberFormat="1" applyFont="1" applyFill="1" applyBorder="1"/>
    <xf numFmtId="175" fontId="53" fillId="3" borderId="24" xfId="0" applyNumberFormat="1" applyFont="1" applyFill="1" applyBorder="1"/>
    <xf numFmtId="0" fontId="53" fillId="0" borderId="0" xfId="0" applyFont="1"/>
    <xf numFmtId="0" fontId="53" fillId="3" borderId="60" xfId="0" applyFont="1" applyFill="1" applyBorder="1"/>
    <xf numFmtId="173" fontId="53" fillId="3" borderId="2" xfId="0" applyNumberFormat="1" applyFont="1" applyFill="1" applyBorder="1"/>
    <xf numFmtId="0" fontId="53" fillId="3" borderId="2" xfId="0" applyFont="1" applyFill="1" applyBorder="1"/>
    <xf numFmtId="2" fontId="53" fillId="3" borderId="2" xfId="0" applyNumberFormat="1" applyFont="1" applyFill="1" applyBorder="1"/>
    <xf numFmtId="174" fontId="53" fillId="3" borderId="2" xfId="0" applyNumberFormat="1" applyFont="1" applyFill="1" applyBorder="1"/>
    <xf numFmtId="175" fontId="53" fillId="3" borderId="61" xfId="0" applyNumberFormat="1" applyFont="1" applyFill="1" applyBorder="1"/>
    <xf numFmtId="49" fontId="3" fillId="0" borderId="79" xfId="0" applyNumberFormat="1" applyFont="1" applyBorder="1" applyAlignment="1">
      <alignment horizontal="left" indent="1"/>
    </xf>
    <xf numFmtId="0" fontId="20" fillId="0" borderId="17" xfId="0" applyFont="1" applyBorder="1"/>
    <xf numFmtId="171" fontId="6" fillId="0" borderId="0" xfId="0" applyNumberFormat="1" applyFont="1" applyBorder="1" applyProtection="1">
      <protection locked="0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7" fillId="0" borderId="80" xfId="4" applyFont="1" applyBorder="1" applyAlignment="1"/>
    <xf numFmtId="0" fontId="17" fillId="0" borderId="81" xfId="4" applyFont="1" applyBorder="1" applyAlignment="1"/>
    <xf numFmtId="0" fontId="16" fillId="0" borderId="17" xfId="0" applyFont="1" applyBorder="1"/>
    <xf numFmtId="3" fontId="39" fillId="0" borderId="39" xfId="0" applyNumberFormat="1" applyFont="1" applyBorder="1"/>
    <xf numFmtId="0" fontId="39" fillId="0" borderId="40" xfId="0" applyFont="1" applyBorder="1"/>
    <xf numFmtId="0" fontId="16" fillId="0" borderId="0" xfId="4" applyFont="1" applyBorder="1" applyAlignment="1">
      <alignment horizontal="center"/>
    </xf>
    <xf numFmtId="0" fontId="15" fillId="0" borderId="0" xfId="4" applyFont="1" applyBorder="1" applyAlignment="1">
      <alignment horizontal="center" wrapText="1"/>
    </xf>
    <xf numFmtId="0" fontId="16" fillId="0" borderId="0" xfId="4" applyFont="1" applyBorder="1" applyAlignment="1"/>
    <xf numFmtId="49" fontId="13" fillId="0" borderId="51" xfId="0" applyNumberFormat="1" applyFont="1" applyBorder="1" applyAlignment="1">
      <alignment horizontal="center"/>
    </xf>
    <xf numFmtId="3" fontId="16" fillId="0" borderId="50" xfId="0" applyNumberFormat="1" applyFont="1" applyBorder="1"/>
    <xf numFmtId="49" fontId="13" fillId="0" borderId="42" xfId="0" applyNumberFormat="1" applyFont="1" applyBorder="1" applyAlignment="1">
      <alignment horizontal="center"/>
    </xf>
    <xf numFmtId="3" fontId="16" fillId="0" borderId="43" xfId="0" applyNumberFormat="1" applyFont="1" applyBorder="1"/>
    <xf numFmtId="3" fontId="16" fillId="0" borderId="57" xfId="0" quotePrefix="1" applyNumberFormat="1" applyFont="1" applyBorder="1" applyAlignment="1">
      <alignment horizontal="right"/>
    </xf>
    <xf numFmtId="0" fontId="13" fillId="0" borderId="21" xfId="0" applyFont="1" applyBorder="1"/>
    <xf numFmtId="0" fontId="27" fillId="0" borderId="0" xfId="0" applyFont="1" applyBorder="1"/>
    <xf numFmtId="4" fontId="0" fillId="0" borderId="3" xfId="0" applyNumberFormat="1" applyBorder="1" applyAlignment="1">
      <alignment horizontal="right"/>
    </xf>
    <xf numFmtId="0" fontId="27" fillId="0" borderId="43" xfId="0" applyFont="1" applyBorder="1"/>
    <xf numFmtId="3" fontId="27" fillId="0" borderId="41" xfId="0" applyNumberFormat="1" applyFont="1" applyBorder="1"/>
    <xf numFmtId="0" fontId="27" fillId="0" borderId="36" xfId="0" applyFont="1" applyBorder="1"/>
    <xf numFmtId="0" fontId="27" fillId="0" borderId="38" xfId="0" applyFont="1" applyBorder="1"/>
    <xf numFmtId="3" fontId="27" fillId="0" borderId="54" xfId="0" applyNumberFormat="1" applyFont="1" applyBorder="1"/>
    <xf numFmtId="0" fontId="27" fillId="0" borderId="55" xfId="0" applyFont="1" applyBorder="1"/>
    <xf numFmtId="0" fontId="27" fillId="0" borderId="41" xfId="0" applyFont="1" applyBorder="1"/>
    <xf numFmtId="4" fontId="0" fillId="0" borderId="13" xfId="0" applyNumberFormat="1" applyBorder="1"/>
    <xf numFmtId="4" fontId="0" fillId="0" borderId="17" xfId="0" applyNumberFormat="1" applyBorder="1"/>
    <xf numFmtId="4" fontId="0" fillId="0" borderId="59" xfId="0" applyNumberFormat="1" applyBorder="1"/>
    <xf numFmtId="0" fontId="28" fillId="0" borderId="7" xfId="0" applyFont="1" applyBorder="1"/>
    <xf numFmtId="0" fontId="29" fillId="0" borderId="9" xfId="0" applyFont="1" applyBorder="1"/>
    <xf numFmtId="0" fontId="52" fillId="0" borderId="20" xfId="0" applyFont="1" applyBorder="1"/>
    <xf numFmtId="173" fontId="52" fillId="0" borderId="0" xfId="0" applyNumberFormat="1" applyFont="1" applyBorder="1"/>
    <xf numFmtId="2" fontId="52" fillId="0" borderId="0" xfId="0" applyNumberFormat="1" applyFont="1" applyBorder="1"/>
    <xf numFmtId="175" fontId="51" fillId="0" borderId="24" xfId="0" applyNumberFormat="1" applyFont="1" applyBorder="1"/>
    <xf numFmtId="0" fontId="56" fillId="0" borderId="77" xfId="0" applyFont="1" applyBorder="1"/>
    <xf numFmtId="0" fontId="17" fillId="0" borderId="83" xfId="4" applyFont="1" applyBorder="1" applyAlignment="1"/>
    <xf numFmtId="0" fontId="17" fillId="0" borderId="84" xfId="4" applyFont="1" applyBorder="1" applyAlignment="1"/>
    <xf numFmtId="49" fontId="34" fillId="0" borderId="85" xfId="0" applyNumberFormat="1" applyFont="1" applyBorder="1" applyAlignment="1">
      <alignment horizontal="center"/>
    </xf>
    <xf numFmtId="49" fontId="34" fillId="0" borderId="79" xfId="0" applyNumberFormat="1" applyFont="1" applyBorder="1" applyAlignment="1">
      <alignment horizontal="center"/>
    </xf>
    <xf numFmtId="3" fontId="16" fillId="0" borderId="41" xfId="0" quotePrefix="1" applyNumberFormat="1" applyFont="1" applyBorder="1" applyAlignment="1">
      <alignment horizontal="right"/>
    </xf>
    <xf numFmtId="49" fontId="13" fillId="0" borderId="20" xfId="0" applyNumberFormat="1" applyFont="1" applyBorder="1"/>
    <xf numFmtId="0" fontId="13" fillId="0" borderId="8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3" fontId="16" fillId="0" borderId="15" xfId="0" applyNumberFormat="1" applyFont="1" applyBorder="1" applyAlignment="1">
      <alignment horizontal="right"/>
    </xf>
    <xf numFmtId="3" fontId="16" fillId="0" borderId="58" xfId="0" quotePrefix="1" applyNumberFormat="1" applyFont="1" applyBorder="1" applyAlignment="1">
      <alignment horizontal="right"/>
    </xf>
    <xf numFmtId="3" fontId="16" fillId="0" borderId="27" xfId="0" quotePrefix="1" applyNumberFormat="1" applyFont="1" applyBorder="1" applyAlignment="1">
      <alignment horizontal="right"/>
    </xf>
    <xf numFmtId="171" fontId="16" fillId="0" borderId="56" xfId="0" quotePrefix="1" applyNumberFormat="1" applyFont="1" applyBorder="1" applyAlignment="1">
      <alignment horizontal="right"/>
    </xf>
    <xf numFmtId="171" fontId="16" fillId="0" borderId="14" xfId="0" quotePrefix="1" applyNumberFormat="1" applyFont="1" applyBorder="1" applyAlignment="1">
      <alignment horizontal="right"/>
    </xf>
    <xf numFmtId="171" fontId="16" fillId="0" borderId="16" xfId="0" quotePrefix="1" applyNumberFormat="1" applyFont="1" applyBorder="1" applyAlignment="1">
      <alignment horizontal="right"/>
    </xf>
    <xf numFmtId="0" fontId="58" fillId="0" borderId="0" xfId="0" applyFont="1" applyAlignment="1">
      <alignment vertical="center"/>
    </xf>
    <xf numFmtId="0" fontId="56" fillId="0" borderId="86" xfId="0" applyFont="1" applyBorder="1"/>
    <xf numFmtId="49" fontId="56" fillId="0" borderId="75" xfId="0" applyNumberFormat="1" applyFont="1" applyBorder="1"/>
    <xf numFmtId="176" fontId="56" fillId="0" borderId="87" xfId="0" applyNumberFormat="1" applyFont="1" applyBorder="1"/>
    <xf numFmtId="0" fontId="51" fillId="0" borderId="89" xfId="0" applyFont="1" applyBorder="1"/>
    <xf numFmtId="49" fontId="56" fillId="0" borderId="90" xfId="0" applyNumberFormat="1" applyFont="1" applyBorder="1"/>
    <xf numFmtId="176" fontId="56" fillId="0" borderId="1" xfId="0" applyNumberFormat="1" applyFont="1" applyBorder="1"/>
    <xf numFmtId="49" fontId="2" fillId="0" borderId="62" xfId="0" applyNumberFormat="1" applyFont="1" applyBorder="1" applyAlignment="1">
      <alignment vertical="top"/>
    </xf>
    <xf numFmtId="49" fontId="2" fillId="0" borderId="63" xfId="0" applyNumberFormat="1" applyFont="1" applyBorder="1" applyAlignment="1">
      <alignment vertical="top"/>
    </xf>
    <xf numFmtId="0" fontId="23" fillId="0" borderId="92" xfId="4" applyFont="1" applyBorder="1" applyAlignment="1"/>
    <xf numFmtId="0" fontId="23" fillId="0" borderId="93" xfId="4" applyFont="1" applyBorder="1" applyAlignment="1"/>
    <xf numFmtId="0" fontId="23" fillId="0" borderId="94" xfId="4" applyFont="1" applyBorder="1" applyAlignment="1"/>
    <xf numFmtId="0" fontId="23" fillId="0" borderId="35" xfId="4" applyFont="1" applyBorder="1" applyAlignment="1"/>
    <xf numFmtId="0" fontId="23" fillId="0" borderId="21" xfId="4" applyFont="1" applyBorder="1" applyAlignment="1"/>
    <xf numFmtId="0" fontId="23" fillId="0" borderId="95" xfId="4" applyFont="1" applyBorder="1" applyAlignment="1"/>
    <xf numFmtId="0" fontId="36" fillId="0" borderId="0" xfId="4" applyFont="1" applyBorder="1"/>
    <xf numFmtId="3" fontId="6" fillId="0" borderId="3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top"/>
    </xf>
    <xf numFmtId="0" fontId="11" fillId="0" borderId="0" xfId="4" applyFont="1" applyBorder="1" applyAlignment="1">
      <alignment horizontal="centerContinuous"/>
    </xf>
    <xf numFmtId="0" fontId="8" fillId="0" borderId="0" xfId="4" applyFill="1" applyBorder="1"/>
    <xf numFmtId="2" fontId="51" fillId="0" borderId="0" xfId="0" applyNumberFormat="1" applyFont="1" applyBorder="1"/>
    <xf numFmtId="0" fontId="51" fillId="0" borderId="96" xfId="0" applyFont="1" applyBorder="1"/>
    <xf numFmtId="174" fontId="51" fillId="0" borderId="75" xfId="0" applyNumberFormat="1" applyFont="1" applyBorder="1"/>
    <xf numFmtId="175" fontId="51" fillId="0" borderId="76" xfId="0" applyNumberFormat="1" applyFont="1" applyBorder="1"/>
    <xf numFmtId="49" fontId="52" fillId="0" borderId="0" xfId="0" applyNumberFormat="1" applyFont="1" applyBorder="1"/>
    <xf numFmtId="49" fontId="60" fillId="4" borderId="0" xfId="0" applyNumberFormat="1" applyFont="1" applyFill="1" applyBorder="1" applyAlignment="1">
      <alignment horizontal="center" vertical="top"/>
    </xf>
    <xf numFmtId="49" fontId="61" fillId="4" borderId="75" xfId="0" applyNumberFormat="1" applyFont="1" applyFill="1" applyBorder="1" applyAlignment="1" applyProtection="1">
      <alignment vertical="top" wrapText="1"/>
    </xf>
    <xf numFmtId="49" fontId="60" fillId="4" borderId="75" xfId="0" applyNumberFormat="1" applyFont="1" applyFill="1" applyBorder="1" applyAlignment="1">
      <alignment horizontal="center" vertical="top"/>
    </xf>
    <xf numFmtId="0" fontId="52" fillId="0" borderId="29" xfId="0" applyFont="1" applyBorder="1"/>
    <xf numFmtId="173" fontId="52" fillId="0" borderId="31" xfId="0" applyNumberFormat="1" applyFont="1" applyBorder="1"/>
    <xf numFmtId="0" fontId="52" fillId="0" borderId="31" xfId="0" applyFont="1" applyBorder="1"/>
    <xf numFmtId="2" fontId="52" fillId="0" borderId="31" xfId="0" applyNumberFormat="1" applyFont="1" applyBorder="1"/>
    <xf numFmtId="174" fontId="52" fillId="0" borderId="31" xfId="0" applyNumberFormat="1" applyFont="1" applyBorder="1"/>
    <xf numFmtId="175" fontId="52" fillId="0" borderId="33" xfId="0" applyNumberFormat="1" applyFont="1" applyBorder="1"/>
    <xf numFmtId="0" fontId="52" fillId="0" borderId="20" xfId="0" applyFont="1" applyFill="1" applyBorder="1"/>
    <xf numFmtId="173" fontId="52" fillId="0" borderId="0" xfId="0" applyNumberFormat="1" applyFont="1" applyFill="1" applyBorder="1"/>
    <xf numFmtId="0" fontId="52" fillId="0" borderId="0" xfId="0" applyFont="1" applyFill="1" applyBorder="1"/>
    <xf numFmtId="2" fontId="52" fillId="0" borderId="0" xfId="0" applyNumberFormat="1" applyFont="1" applyFill="1" applyBorder="1"/>
    <xf numFmtId="174" fontId="52" fillId="0" borderId="0" xfId="0" applyNumberFormat="1" applyFont="1" applyFill="1" applyBorder="1"/>
    <xf numFmtId="175" fontId="52" fillId="0" borderId="24" xfId="0" applyNumberFormat="1" applyFont="1" applyFill="1" applyBorder="1"/>
    <xf numFmtId="0" fontId="52" fillId="0" borderId="0" xfId="0" applyFont="1" applyFill="1"/>
    <xf numFmtId="0" fontId="51" fillId="0" borderId="97" xfId="0" applyFont="1" applyFill="1" applyBorder="1"/>
    <xf numFmtId="173" fontId="51" fillId="0" borderId="98" xfId="0" applyNumberFormat="1" applyFont="1" applyFill="1" applyBorder="1"/>
    <xf numFmtId="49" fontId="51" fillId="0" borderId="98" xfId="0" applyNumberFormat="1" applyFont="1" applyFill="1" applyBorder="1"/>
    <xf numFmtId="2" fontId="51" fillId="0" borderId="98" xfId="0" applyNumberFormat="1" applyFont="1" applyFill="1" applyBorder="1"/>
    <xf numFmtId="174" fontId="51" fillId="0" borderId="98" xfId="0" applyNumberFormat="1" applyFont="1" applyFill="1" applyBorder="1"/>
    <xf numFmtId="175" fontId="51" fillId="0" borderId="99" xfId="0" applyNumberFormat="1" applyFont="1" applyFill="1" applyBorder="1"/>
    <xf numFmtId="0" fontId="51" fillId="0" borderId="0" xfId="0" applyFont="1" applyFill="1"/>
    <xf numFmtId="0" fontId="51" fillId="0" borderId="100" xfId="0" applyFont="1" applyFill="1" applyBorder="1"/>
    <xf numFmtId="173" fontId="51" fillId="0" borderId="101" xfId="0" applyNumberFormat="1" applyFont="1" applyFill="1" applyBorder="1"/>
    <xf numFmtId="49" fontId="51" fillId="0" borderId="101" xfId="0" applyNumberFormat="1" applyFont="1" applyFill="1" applyBorder="1"/>
    <xf numFmtId="174" fontId="51" fillId="0" borderId="101" xfId="0" applyNumberFormat="1" applyFont="1" applyFill="1" applyBorder="1"/>
    <xf numFmtId="175" fontId="51" fillId="0" borderId="102" xfId="0" applyNumberFormat="1" applyFont="1" applyFill="1" applyBorder="1"/>
    <xf numFmtId="0" fontId="51" fillId="0" borderId="20" xfId="0" applyFont="1" applyBorder="1"/>
    <xf numFmtId="174" fontId="51" fillId="0" borderId="0" xfId="0" applyNumberFormat="1" applyFont="1" applyBorder="1"/>
    <xf numFmtId="0" fontId="51" fillId="0" borderId="77" xfId="0" applyFont="1" applyFill="1" applyBorder="1"/>
    <xf numFmtId="173" fontId="51" fillId="0" borderId="1" xfId="0" applyNumberFormat="1" applyFont="1" applyFill="1" applyBorder="1"/>
    <xf numFmtId="49" fontId="51" fillId="0" borderId="1" xfId="0" applyNumberFormat="1" applyFont="1" applyFill="1" applyBorder="1"/>
    <xf numFmtId="2" fontId="51" fillId="0" borderId="1" xfId="0" applyNumberFormat="1" applyFont="1" applyFill="1" applyBorder="1"/>
    <xf numFmtId="174" fontId="51" fillId="0" borderId="1" xfId="0" applyNumberFormat="1" applyFont="1" applyFill="1" applyBorder="1"/>
    <xf numFmtId="175" fontId="51" fillId="0" borderId="78" xfId="0" applyNumberFormat="1" applyFont="1" applyFill="1" applyBorder="1"/>
    <xf numFmtId="0" fontId="53" fillId="0" borderId="0" xfId="0" applyFont="1" applyFill="1"/>
    <xf numFmtId="0" fontId="32" fillId="0" borderId="0" xfId="0" applyFont="1" applyFill="1" applyAlignment="1">
      <alignment vertical="center"/>
    </xf>
    <xf numFmtId="0" fontId="31" fillId="0" borderId="0" xfId="0" applyFont="1" applyFill="1"/>
    <xf numFmtId="0" fontId="26" fillId="0" borderId="0" xfId="0" applyFont="1" applyFill="1"/>
    <xf numFmtId="49" fontId="61" fillId="4" borderId="0" xfId="0" applyNumberFormat="1" applyFont="1" applyFill="1" applyBorder="1" applyAlignment="1" applyProtection="1">
      <alignment vertical="top" wrapText="1"/>
    </xf>
    <xf numFmtId="0" fontId="53" fillId="3" borderId="7" xfId="0" applyFont="1" applyFill="1" applyBorder="1"/>
    <xf numFmtId="173" fontId="53" fillId="3" borderId="8" xfId="0" applyNumberFormat="1" applyFont="1" applyFill="1" applyBorder="1"/>
    <xf numFmtId="49" fontId="53" fillId="3" borderId="8" xfId="0" applyNumberFormat="1" applyFont="1" applyFill="1" applyBorder="1"/>
    <xf numFmtId="2" fontId="53" fillId="3" borderId="8" xfId="0" applyNumberFormat="1" applyFont="1" applyFill="1" applyBorder="1"/>
    <xf numFmtId="174" fontId="53" fillId="3" borderId="8" xfId="0" applyNumberFormat="1" applyFont="1" applyFill="1" applyBorder="1"/>
    <xf numFmtId="175" fontId="53" fillId="3" borderId="9" xfId="0" applyNumberFormat="1" applyFont="1" applyFill="1" applyBorder="1"/>
    <xf numFmtId="49" fontId="2" fillId="0" borderId="17" xfId="0" applyNumberFormat="1" applyFont="1" applyBorder="1" applyAlignment="1">
      <alignment vertical="top"/>
    </xf>
    <xf numFmtId="0" fontId="57" fillId="0" borderId="17" xfId="0" applyFont="1" applyBorder="1"/>
    <xf numFmtId="3" fontId="13" fillId="0" borderId="43" xfId="0" applyNumberFormat="1" applyFont="1" applyBorder="1" applyAlignment="1">
      <alignment horizontal="center"/>
    </xf>
    <xf numFmtId="0" fontId="57" fillId="0" borderId="59" xfId="0" applyFont="1" applyBorder="1"/>
    <xf numFmtId="3" fontId="13" fillId="0" borderId="55" xfId="0" applyNumberFormat="1" applyFont="1" applyBorder="1" applyAlignment="1">
      <alignment horizontal="center"/>
    </xf>
    <xf numFmtId="0" fontId="17" fillId="0" borderId="65" xfId="4" applyFont="1" applyBorder="1" applyAlignment="1">
      <alignment vertical="top"/>
    </xf>
    <xf numFmtId="0" fontId="8" fillId="0" borderId="67" xfId="4" applyFont="1" applyBorder="1" applyAlignment="1">
      <alignment vertical="top"/>
    </xf>
    <xf numFmtId="0" fontId="8" fillId="0" borderId="68" xfId="4" applyFont="1" applyBorder="1" applyAlignment="1">
      <alignment vertical="top"/>
    </xf>
    <xf numFmtId="0" fontId="8" fillId="0" borderId="0" xfId="4" applyAlignment="1">
      <alignment vertical="top"/>
    </xf>
    <xf numFmtId="0" fontId="13" fillId="0" borderId="0" xfId="4" applyFont="1" applyFill="1" applyAlignment="1">
      <alignment vertical="top"/>
    </xf>
    <xf numFmtId="0" fontId="51" fillId="0" borderId="72" xfId="0" applyFont="1" applyBorder="1" applyAlignment="1">
      <alignment vertical="top"/>
    </xf>
    <xf numFmtId="49" fontId="15" fillId="0" borderId="105" xfId="4" applyNumberFormat="1" applyFont="1" applyFill="1" applyBorder="1" applyAlignment="1">
      <alignment horizontal="left"/>
    </xf>
    <xf numFmtId="0" fontId="15" fillId="0" borderId="105" xfId="4" applyFont="1" applyFill="1" applyBorder="1"/>
    <xf numFmtId="0" fontId="8" fillId="0" borderId="105" xfId="4" applyFill="1" applyBorder="1" applyAlignment="1">
      <alignment horizontal="center"/>
    </xf>
    <xf numFmtId="49" fontId="16" fillId="0" borderId="105" xfId="4" applyNumberFormat="1" applyFont="1" applyFill="1" applyBorder="1" applyAlignment="1">
      <alignment horizontal="left"/>
    </xf>
    <xf numFmtId="0" fontId="16" fillId="0" borderId="105" xfId="4" applyFont="1" applyFill="1" applyBorder="1" applyAlignment="1">
      <alignment wrapText="1"/>
    </xf>
    <xf numFmtId="49" fontId="16" fillId="0" borderId="105" xfId="4" applyNumberFormat="1" applyFont="1" applyFill="1" applyBorder="1" applyAlignment="1">
      <alignment horizontal="center" shrinkToFit="1"/>
    </xf>
    <xf numFmtId="0" fontId="8" fillId="0" borderId="82" xfId="4" applyFill="1" applyBorder="1" applyAlignment="1">
      <alignment horizontal="center"/>
    </xf>
    <xf numFmtId="49" fontId="12" fillId="0" borderId="82" xfId="4" applyNumberFormat="1" applyFont="1" applyFill="1" applyBorder="1" applyAlignment="1">
      <alignment horizontal="left"/>
    </xf>
    <xf numFmtId="0" fontId="12" fillId="0" borderId="82" xfId="4" applyFont="1" applyFill="1" applyBorder="1"/>
    <xf numFmtId="0" fontId="16" fillId="0" borderId="48" xfId="4" applyFont="1" applyFill="1" applyBorder="1" applyAlignment="1">
      <alignment horizontal="center"/>
    </xf>
    <xf numFmtId="0" fontId="51" fillId="0" borderId="19" xfId="0" applyFont="1" applyBorder="1"/>
    <xf numFmtId="173" fontId="51" fillId="0" borderId="11" xfId="0" applyNumberFormat="1" applyFont="1" applyBorder="1"/>
    <xf numFmtId="0" fontId="51" fillId="0" borderId="11" xfId="0" applyFont="1" applyBorder="1"/>
    <xf numFmtId="2" fontId="51" fillId="0" borderId="11" xfId="0" applyNumberFormat="1" applyFont="1" applyBorder="1"/>
    <xf numFmtId="174" fontId="51" fillId="0" borderId="11" xfId="0" applyNumberFormat="1" applyFont="1" applyBorder="1"/>
    <xf numFmtId="175" fontId="51" fillId="0" borderId="12" xfId="0" applyNumberFormat="1" applyFont="1" applyBorder="1"/>
    <xf numFmtId="0" fontId="65" fillId="0" borderId="0" xfId="0" applyFont="1" applyFill="1"/>
    <xf numFmtId="0" fontId="68" fillId="0" borderId="0" xfId="0" applyFont="1" applyFill="1"/>
    <xf numFmtId="0" fontId="69" fillId="0" borderId="0" xfId="0" applyFont="1" applyFill="1" applyBorder="1"/>
    <xf numFmtId="0" fontId="69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right"/>
    </xf>
    <xf numFmtId="4" fontId="69" fillId="0" borderId="0" xfId="0" applyNumberFormat="1" applyFont="1" applyFill="1" applyBorder="1" applyAlignment="1">
      <alignment horizontal="right"/>
    </xf>
    <xf numFmtId="0" fontId="37" fillId="0" borderId="0" xfId="0" applyFont="1" applyFill="1"/>
    <xf numFmtId="0" fontId="70" fillId="0" borderId="0" xfId="0" applyFont="1" applyFill="1" applyBorder="1"/>
    <xf numFmtId="0" fontId="70" fillId="0" borderId="0" xfId="0" applyFont="1" applyFill="1" applyBorder="1" applyAlignment="1">
      <alignment horizontal="left"/>
    </xf>
    <xf numFmtId="0" fontId="70" fillId="0" borderId="0" xfId="0" applyFont="1" applyFill="1" applyBorder="1" applyAlignment="1">
      <alignment horizontal="right"/>
    </xf>
    <xf numFmtId="4" fontId="70" fillId="0" borderId="0" xfId="0" applyNumberFormat="1" applyFont="1" applyFill="1" applyBorder="1" applyAlignment="1">
      <alignment horizontal="right"/>
    </xf>
    <xf numFmtId="0" fontId="70" fillId="0" borderId="0" xfId="0" applyFont="1" applyFill="1"/>
    <xf numFmtId="0" fontId="70" fillId="0" borderId="0" xfId="0" applyFont="1" applyFill="1" applyAlignment="1">
      <alignment horizontal="left"/>
    </xf>
    <xf numFmtId="0" fontId="70" fillId="0" borderId="0" xfId="0" applyFont="1" applyFill="1" applyAlignment="1">
      <alignment horizontal="right"/>
    </xf>
    <xf numFmtId="4" fontId="70" fillId="0" borderId="0" xfId="0" applyNumberFormat="1" applyFont="1" applyFill="1" applyAlignment="1">
      <alignment horizontal="right"/>
    </xf>
    <xf numFmtId="0" fontId="71" fillId="0" borderId="65" xfId="4" applyFont="1" applyBorder="1" applyAlignment="1"/>
    <xf numFmtId="0" fontId="71" fillId="0" borderId="67" xfId="4" applyFont="1" applyBorder="1" applyAlignment="1"/>
    <xf numFmtId="0" fontId="71" fillId="0" borderId="68" xfId="4" applyFont="1" applyBorder="1" applyAlignment="1"/>
    <xf numFmtId="0" fontId="71" fillId="0" borderId="0" xfId="4" applyFont="1"/>
    <xf numFmtId="0" fontId="72" fillId="0" borderId="19" xfId="0" applyFont="1" applyBorder="1"/>
    <xf numFmtId="0" fontId="35" fillId="0" borderId="0" xfId="0" applyFont="1" applyFill="1"/>
    <xf numFmtId="49" fontId="13" fillId="0" borderId="57" xfId="0" applyNumberFormat="1" applyFont="1" applyBorder="1"/>
    <xf numFmtId="49" fontId="13" fillId="0" borderId="25" xfId="0" applyNumberFormat="1" applyFont="1" applyBorder="1"/>
    <xf numFmtId="0" fontId="13" fillId="0" borderId="3" xfId="0" applyFont="1" applyBorder="1" applyAlignment="1"/>
    <xf numFmtId="0" fontId="13" fillId="0" borderId="54" xfId="0" applyFont="1" applyBorder="1" applyAlignment="1"/>
    <xf numFmtId="3" fontId="27" fillId="0" borderId="3" xfId="0" applyNumberFormat="1" applyFont="1" applyBorder="1" applyAlignment="1">
      <alignment horizontal="right"/>
    </xf>
    <xf numFmtId="3" fontId="27" fillId="0" borderId="54" xfId="0" applyNumberFormat="1" applyFont="1" applyBorder="1" applyAlignment="1">
      <alignment horizontal="right"/>
    </xf>
    <xf numFmtId="3" fontId="27" fillId="0" borderId="8" xfId="0" applyNumberFormat="1" applyFont="1" applyBorder="1"/>
    <xf numFmtId="3" fontId="29" fillId="0" borderId="8" xfId="0" applyNumberFormat="1" applyFont="1" applyBorder="1"/>
    <xf numFmtId="2" fontId="51" fillId="0" borderId="73" xfId="0" applyNumberFormat="1" applyFont="1" applyBorder="1" applyAlignment="1">
      <alignment horizontal="center"/>
    </xf>
    <xf numFmtId="49" fontId="2" fillId="0" borderId="71" xfId="0" applyNumberFormat="1" applyFont="1" applyBorder="1" applyAlignment="1">
      <alignment vertical="top"/>
    </xf>
    <xf numFmtId="0" fontId="11" fillId="0" borderId="0" xfId="4" applyFont="1" applyAlignment="1"/>
    <xf numFmtId="0" fontId="8" fillId="0" borderId="0" xfId="4" applyFill="1" applyAlignment="1"/>
    <xf numFmtId="2" fontId="51" fillId="0" borderId="11" xfId="0" applyNumberFormat="1" applyFont="1" applyBorder="1" applyAlignment="1"/>
    <xf numFmtId="0" fontId="8" fillId="0" borderId="0" xfId="4" applyAlignment="1"/>
    <xf numFmtId="4" fontId="16" fillId="0" borderId="105" xfId="4" applyNumberFormat="1" applyFont="1" applyFill="1" applyBorder="1" applyAlignment="1">
      <alignment horizontal="center"/>
    </xf>
    <xf numFmtId="177" fontId="16" fillId="0" borderId="105" xfId="4" applyNumberFormat="1" applyFont="1" applyFill="1" applyBorder="1" applyAlignment="1">
      <alignment horizontal="center"/>
    </xf>
    <xf numFmtId="177" fontId="16" fillId="0" borderId="106" xfId="4" applyNumberFormat="1" applyFont="1" applyFill="1" applyBorder="1" applyAlignment="1">
      <alignment horizontal="center"/>
    </xf>
    <xf numFmtId="175" fontId="51" fillId="0" borderId="12" xfId="0" applyNumberFormat="1" applyFont="1" applyBorder="1" applyAlignment="1">
      <alignment wrapText="1"/>
    </xf>
    <xf numFmtId="2" fontId="51" fillId="5" borderId="101" xfId="0" applyNumberFormat="1" applyFont="1" applyFill="1" applyBorder="1"/>
    <xf numFmtId="175" fontId="8" fillId="0" borderId="0" xfId="4" applyNumberFormat="1"/>
    <xf numFmtId="175" fontId="23" fillId="0" borderId="63" xfId="4" applyNumberFormat="1" applyFont="1" applyBorder="1" applyAlignment="1">
      <alignment horizontal="left" wrapText="1"/>
    </xf>
    <xf numFmtId="175" fontId="8" fillId="0" borderId="0" xfId="4" applyNumberFormat="1" applyFill="1"/>
    <xf numFmtId="0" fontId="8" fillId="0" borderId="20" xfId="4" applyBorder="1"/>
    <xf numFmtId="0" fontId="8" fillId="0" borderId="0" xfId="4" applyBorder="1" applyAlignment="1">
      <alignment horizontal="right"/>
    </xf>
    <xf numFmtId="0" fontId="58" fillId="3" borderId="2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8" xfId="0" applyFont="1" applyFill="1" applyBorder="1" applyAlignment="1">
      <alignment vertical="center"/>
    </xf>
    <xf numFmtId="171" fontId="2" fillId="0" borderId="62" xfId="0" applyNumberFormat="1" applyFont="1" applyBorder="1" applyAlignment="1">
      <alignment vertical="top"/>
    </xf>
    <xf numFmtId="171" fontId="4" fillId="0" borderId="17" xfId="0" applyNumberFormat="1" applyFont="1" applyFill="1" applyBorder="1" applyAlignment="1">
      <alignment horizontal="right" vertical="top"/>
    </xf>
    <xf numFmtId="171" fontId="4" fillId="0" borderId="71" xfId="0" applyNumberFormat="1" applyFont="1" applyFill="1" applyBorder="1" applyAlignment="1">
      <alignment horizontal="right" vertical="top"/>
    </xf>
    <xf numFmtId="171" fontId="11" fillId="0" borderId="0" xfId="4" applyNumberFormat="1" applyFont="1" applyAlignment="1">
      <alignment horizontal="centerContinuous"/>
    </xf>
    <xf numFmtId="171" fontId="8" fillId="0" borderId="0" xfId="4" applyNumberFormat="1" applyFill="1" applyAlignment="1"/>
    <xf numFmtId="171" fontId="51" fillId="0" borderId="11" xfId="0" applyNumberFormat="1" applyFont="1" applyBorder="1"/>
    <xf numFmtId="171" fontId="69" fillId="0" borderId="0" xfId="0" applyNumberFormat="1" applyFont="1" applyFill="1" applyBorder="1" applyAlignment="1">
      <alignment horizontal="right"/>
    </xf>
    <xf numFmtId="171" fontId="70" fillId="0" borderId="0" xfId="0" applyNumberFormat="1" applyFont="1" applyFill="1" applyBorder="1" applyAlignment="1">
      <alignment horizontal="right"/>
    </xf>
    <xf numFmtId="171" fontId="70" fillId="0" borderId="0" xfId="0" applyNumberFormat="1" applyFont="1" applyFill="1" applyBorder="1"/>
    <xf numFmtId="171" fontId="70" fillId="0" borderId="0" xfId="0" applyNumberFormat="1" applyFont="1" applyFill="1"/>
    <xf numFmtId="171" fontId="8" fillId="0" borderId="0" xfId="4" applyNumberFormat="1"/>
    <xf numFmtId="1" fontId="2" fillId="0" borderId="62" xfId="0" applyNumberFormat="1" applyFont="1" applyBorder="1" applyAlignment="1">
      <alignment horizontal="center" vertical="top"/>
    </xf>
    <xf numFmtId="1" fontId="2" fillId="0" borderId="17" xfId="0" applyNumberFormat="1" applyFont="1" applyBorder="1" applyAlignment="1">
      <alignment horizontal="center" vertical="top"/>
    </xf>
    <xf numFmtId="1" fontId="2" fillId="0" borderId="71" xfId="0" applyNumberFormat="1" applyFont="1" applyBorder="1" applyAlignment="1">
      <alignment horizontal="center" vertical="top"/>
    </xf>
    <xf numFmtId="1" fontId="11" fillId="0" borderId="0" xfId="4" applyNumberFormat="1" applyFont="1" applyAlignment="1">
      <alignment horizontal="centerContinuous"/>
    </xf>
    <xf numFmtId="1" fontId="8" fillId="0" borderId="0" xfId="4" applyNumberFormat="1" applyFill="1"/>
    <xf numFmtId="1" fontId="58" fillId="3" borderId="8" xfId="0" applyNumberFormat="1" applyFont="1" applyFill="1" applyBorder="1" applyAlignment="1">
      <alignment vertical="center"/>
    </xf>
    <xf numFmtId="1" fontId="51" fillId="0" borderId="73" xfId="0" applyNumberFormat="1" applyFont="1" applyBorder="1"/>
    <xf numFmtId="1" fontId="52" fillId="0" borderId="31" xfId="0" applyNumberFormat="1" applyFont="1" applyBorder="1"/>
    <xf numFmtId="1" fontId="51" fillId="0" borderId="1" xfId="0" applyNumberFormat="1" applyFont="1" applyBorder="1"/>
    <xf numFmtId="1" fontId="56" fillId="0" borderId="87" xfId="0" applyNumberFormat="1" applyFont="1" applyBorder="1"/>
    <xf numFmtId="1" fontId="56" fillId="0" borderId="1" xfId="0" applyNumberFormat="1" applyFont="1" applyBorder="1"/>
    <xf numFmtId="1" fontId="53" fillId="3" borderId="2" xfId="0" applyNumberFormat="1" applyFont="1" applyFill="1" applyBorder="1"/>
    <xf numFmtId="1" fontId="8" fillId="0" borderId="0" xfId="4" applyNumberFormat="1" applyBorder="1"/>
    <xf numFmtId="1" fontId="58" fillId="3" borderId="0" xfId="0" applyNumberFormat="1" applyFont="1" applyFill="1" applyBorder="1" applyAlignment="1">
      <alignment vertical="center"/>
    </xf>
    <xf numFmtId="1" fontId="8" fillId="0" borderId="0" xfId="4" applyNumberFormat="1"/>
    <xf numFmtId="171" fontId="4" fillId="0" borderId="62" xfId="0" applyNumberFormat="1" applyFont="1" applyFill="1" applyBorder="1" applyAlignment="1">
      <alignment horizontal="right" vertical="top"/>
    </xf>
    <xf numFmtId="171" fontId="58" fillId="3" borderId="8" xfId="0" applyNumberFormat="1" applyFont="1" applyFill="1" applyBorder="1" applyAlignment="1">
      <alignment vertical="center"/>
    </xf>
    <xf numFmtId="171" fontId="51" fillId="0" borderId="73" xfId="0" applyNumberFormat="1" applyFont="1" applyBorder="1"/>
    <xf numFmtId="171" fontId="52" fillId="0" borderId="31" xfId="0" applyNumberFormat="1" applyFont="1" applyBorder="1"/>
    <xf numFmtId="171" fontId="51" fillId="0" borderId="1" xfId="0" applyNumberFormat="1" applyFont="1" applyBorder="1"/>
    <xf numFmtId="171" fontId="56" fillId="0" borderId="88" xfId="0" applyNumberFormat="1" applyFont="1" applyBorder="1"/>
    <xf numFmtId="171" fontId="56" fillId="0" borderId="91" xfId="0" applyNumberFormat="1" applyFont="1" applyBorder="1"/>
    <xf numFmtId="171" fontId="53" fillId="3" borderId="2" xfId="0" applyNumberFormat="1" applyFont="1" applyFill="1" applyBorder="1"/>
    <xf numFmtId="171" fontId="8" fillId="0" borderId="0" xfId="4" applyNumberFormat="1" applyBorder="1"/>
    <xf numFmtId="171" fontId="58" fillId="3" borderId="0" xfId="0" applyNumberFormat="1" applyFont="1" applyFill="1" applyBorder="1" applyAlignment="1">
      <alignment vertical="center"/>
    </xf>
    <xf numFmtId="175" fontId="58" fillId="3" borderId="9" xfId="0" applyNumberFormat="1" applyFont="1" applyFill="1" applyBorder="1" applyAlignment="1">
      <alignment vertical="center"/>
    </xf>
    <xf numFmtId="175" fontId="8" fillId="0" borderId="24" xfId="4" applyNumberFormat="1" applyBorder="1"/>
    <xf numFmtId="175" fontId="58" fillId="3" borderId="24" xfId="0" applyNumberFormat="1" applyFont="1" applyFill="1" applyBorder="1" applyAlignment="1">
      <alignment vertical="center"/>
    </xf>
    <xf numFmtId="1" fontId="2" fillId="0" borderId="62" xfId="0" applyNumberFormat="1" applyFont="1" applyBorder="1" applyAlignment="1">
      <alignment vertical="top"/>
    </xf>
    <xf numFmtId="1" fontId="52" fillId="0" borderId="0" xfId="0" applyNumberFormat="1" applyFont="1" applyFill="1" applyBorder="1"/>
    <xf numFmtId="1" fontId="51" fillId="5" borderId="1" xfId="0" applyNumberFormat="1" applyFont="1" applyFill="1" applyBorder="1"/>
    <xf numFmtId="1" fontId="51" fillId="0" borderId="98" xfId="0" applyNumberFormat="1" applyFont="1" applyFill="1" applyBorder="1"/>
    <xf numFmtId="1" fontId="51" fillId="0" borderId="101" xfId="0" applyNumberFormat="1" applyFont="1" applyFill="1" applyBorder="1"/>
    <xf numFmtId="1" fontId="53" fillId="3" borderId="0" xfId="0" applyNumberFormat="1" applyFont="1" applyFill="1" applyBorder="1"/>
    <xf numFmtId="1" fontId="52" fillId="0" borderId="0" xfId="0" applyNumberFormat="1" applyFont="1" applyBorder="1"/>
    <xf numFmtId="1" fontId="51" fillId="5" borderId="1" xfId="0" applyNumberFormat="1" applyFont="1" applyFill="1" applyBorder="1" applyAlignment="1">
      <alignment vertical="top"/>
    </xf>
    <xf numFmtId="1" fontId="61" fillId="4" borderId="0" xfId="0" applyNumberFormat="1" applyFont="1" applyFill="1" applyBorder="1" applyAlignment="1" applyProtection="1">
      <alignment vertical="top" wrapText="1"/>
    </xf>
    <xf numFmtId="1" fontId="53" fillId="3" borderId="8" xfId="0" applyNumberFormat="1" applyFont="1" applyFill="1" applyBorder="1"/>
    <xf numFmtId="1" fontId="61" fillId="4" borderId="75" xfId="0" applyNumberFormat="1" applyFont="1" applyFill="1" applyBorder="1" applyAlignment="1" applyProtection="1">
      <alignment vertical="top" wrapText="1"/>
    </xf>
    <xf numFmtId="171" fontId="52" fillId="0" borderId="0" xfId="0" applyNumberFormat="1" applyFont="1" applyFill="1" applyBorder="1"/>
    <xf numFmtId="171" fontId="51" fillId="0" borderId="1" xfId="0" applyNumberFormat="1" applyFont="1" applyFill="1" applyBorder="1"/>
    <xf numFmtId="171" fontId="51" fillId="0" borderId="98" xfId="0" applyNumberFormat="1" applyFont="1" applyFill="1" applyBorder="1"/>
    <xf numFmtId="171" fontId="51" fillId="0" borderId="101" xfId="0" applyNumberFormat="1" applyFont="1" applyFill="1" applyBorder="1"/>
    <xf numFmtId="171" fontId="53" fillId="3" borderId="0" xfId="0" applyNumberFormat="1" applyFont="1" applyFill="1" applyBorder="1"/>
    <xf numFmtId="171" fontId="52" fillId="0" borderId="75" xfId="0" applyNumberFormat="1" applyFont="1" applyBorder="1"/>
    <xf numFmtId="171" fontId="51" fillId="0" borderId="0" xfId="0" applyNumberFormat="1" applyFont="1" applyBorder="1"/>
    <xf numFmtId="171" fontId="53" fillId="3" borderId="8" xfId="0" applyNumberFormat="1" applyFont="1" applyFill="1" applyBorder="1"/>
    <xf numFmtId="171" fontId="51" fillId="0" borderId="75" xfId="0" applyNumberFormat="1" applyFont="1" applyBorder="1"/>
    <xf numFmtId="171" fontId="33" fillId="0" borderId="1" xfId="0" applyNumberFormat="1" applyFont="1" applyFill="1" applyBorder="1"/>
    <xf numFmtId="175" fontId="2" fillId="0" borderId="63" xfId="0" applyNumberFormat="1" applyFont="1" applyBorder="1" applyAlignment="1">
      <alignment vertical="top"/>
    </xf>
    <xf numFmtId="3" fontId="2" fillId="0" borderId="62" xfId="0" applyNumberFormat="1" applyFont="1" applyBorder="1" applyAlignment="1">
      <alignment vertical="top"/>
    </xf>
    <xf numFmtId="3" fontId="2" fillId="0" borderId="17" xfId="0" applyNumberFormat="1" applyFont="1" applyBorder="1" applyAlignment="1">
      <alignment vertical="top"/>
    </xf>
    <xf numFmtId="3" fontId="2" fillId="0" borderId="71" xfId="0" applyNumberFormat="1" applyFont="1" applyBorder="1" applyAlignment="1">
      <alignment vertical="top"/>
    </xf>
    <xf numFmtId="3" fontId="11" fillId="0" borderId="0" xfId="4" applyNumberFormat="1" applyFont="1" applyAlignment="1"/>
    <xf numFmtId="3" fontId="8" fillId="0" borderId="0" xfId="4" applyNumberFormat="1" applyFill="1" applyAlignment="1"/>
    <xf numFmtId="3" fontId="51" fillId="0" borderId="11" xfId="0" applyNumberFormat="1" applyFont="1" applyBorder="1" applyAlignment="1"/>
    <xf numFmtId="3" fontId="8" fillId="0" borderId="0" xfId="4" applyNumberFormat="1" applyAlignment="1"/>
    <xf numFmtId="171" fontId="4" fillId="0" borderId="62" xfId="0" applyNumberFormat="1" applyFont="1" applyFill="1" applyBorder="1" applyAlignment="1">
      <alignment vertical="top"/>
    </xf>
    <xf numFmtId="171" fontId="4" fillId="0" borderId="17" xfId="0" applyNumberFormat="1" applyFont="1" applyFill="1" applyBorder="1" applyAlignment="1">
      <alignment vertical="top"/>
    </xf>
    <xf numFmtId="171" fontId="4" fillId="0" borderId="71" xfId="0" applyNumberFormat="1" applyFont="1" applyFill="1" applyBorder="1" applyAlignment="1">
      <alignment vertical="top"/>
    </xf>
    <xf numFmtId="171" fontId="11" fillId="0" borderId="0" xfId="4" applyNumberFormat="1" applyFont="1" applyAlignment="1"/>
    <xf numFmtId="171" fontId="51" fillId="0" borderId="11" xfId="0" applyNumberFormat="1" applyFont="1" applyBorder="1" applyAlignment="1"/>
    <xf numFmtId="171" fontId="16" fillId="0" borderId="105" xfId="4" applyNumberFormat="1" applyFont="1" applyFill="1" applyBorder="1" applyAlignment="1">
      <alignment horizontal="center"/>
    </xf>
    <xf numFmtId="171" fontId="8" fillId="0" borderId="0" xfId="4" applyNumberFormat="1" applyAlignment="1"/>
    <xf numFmtId="14" fontId="8" fillId="0" borderId="6" xfId="4" applyNumberFormat="1" applyFont="1" applyBorder="1" applyAlignment="1"/>
    <xf numFmtId="174" fontId="51" fillId="5" borderId="1" xfId="0" applyNumberFormat="1" applyFont="1" applyFill="1" applyBorder="1"/>
    <xf numFmtId="0" fontId="37" fillId="0" borderId="0" xfId="0" applyFont="1"/>
    <xf numFmtId="0" fontId="74" fillId="0" borderId="29" xfId="0" applyFont="1" applyBorder="1"/>
    <xf numFmtId="173" fontId="74" fillId="0" borderId="31" xfId="0" applyNumberFormat="1" applyFont="1" applyBorder="1"/>
    <xf numFmtId="0" fontId="74" fillId="0" borderId="31" xfId="0" applyFont="1" applyBorder="1"/>
    <xf numFmtId="2" fontId="74" fillId="0" borderId="31" xfId="0" applyNumberFormat="1" applyFont="1" applyBorder="1"/>
    <xf numFmtId="178" fontId="74" fillId="0" borderId="31" xfId="0" applyNumberFormat="1" applyFont="1" applyBorder="1"/>
    <xf numFmtId="174" fontId="74" fillId="0" borderId="31" xfId="0" applyNumberFormat="1" applyFont="1" applyBorder="1"/>
    <xf numFmtId="175" fontId="74" fillId="0" borderId="33" xfId="0" applyNumberFormat="1" applyFont="1" applyBorder="1"/>
    <xf numFmtId="0" fontId="74" fillId="0" borderId="0" xfId="0" applyFont="1"/>
    <xf numFmtId="0" fontId="75" fillId="0" borderId="77" xfId="0" applyFont="1" applyBorder="1"/>
    <xf numFmtId="173" fontId="75" fillId="0" borderId="1" xfId="0" applyNumberFormat="1" applyFont="1" applyBorder="1"/>
    <xf numFmtId="49" fontId="75" fillId="0" borderId="1" xfId="0" applyNumberFormat="1" applyFont="1" applyBorder="1"/>
    <xf numFmtId="2" fontId="75" fillId="0" borderId="1" xfId="0" applyNumberFormat="1" applyFont="1" applyBorder="1"/>
    <xf numFmtId="175" fontId="75" fillId="0" borderId="78" xfId="0" applyNumberFormat="1" applyFont="1" applyBorder="1"/>
    <xf numFmtId="0" fontId="75" fillId="0" borderId="0" xfId="0" applyFont="1"/>
    <xf numFmtId="0" fontId="75" fillId="0" borderId="112" xfId="0" applyFont="1" applyBorder="1"/>
    <xf numFmtId="173" fontId="75" fillId="0" borderId="107" xfId="0" applyNumberFormat="1" applyFont="1" applyBorder="1"/>
    <xf numFmtId="49" fontId="75" fillId="0" borderId="107" xfId="0" applyNumberFormat="1" applyFont="1" applyBorder="1"/>
    <xf numFmtId="2" fontId="75" fillId="0" borderId="107" xfId="0" applyNumberFormat="1" applyFont="1" applyBorder="1"/>
    <xf numFmtId="175" fontId="75" fillId="0" borderId="108" xfId="0" applyNumberFormat="1" applyFont="1" applyBorder="1"/>
    <xf numFmtId="0" fontId="76" fillId="0" borderId="96" xfId="0" applyFont="1" applyFill="1" applyBorder="1"/>
    <xf numFmtId="173" fontId="76" fillId="0" borderId="75" xfId="0" applyNumberFormat="1" applyFont="1" applyFill="1" applyBorder="1"/>
    <xf numFmtId="49" fontId="76" fillId="0" borderId="75" xfId="0" applyNumberFormat="1" applyFont="1" applyFill="1" applyBorder="1"/>
    <xf numFmtId="2" fontId="76" fillId="0" borderId="75" xfId="0" applyNumberFormat="1" applyFont="1" applyFill="1" applyBorder="1"/>
    <xf numFmtId="175" fontId="76" fillId="0" borderId="75" xfId="0" applyNumberFormat="1" applyFont="1" applyFill="1" applyBorder="1"/>
    <xf numFmtId="0" fontId="76" fillId="0" borderId="0" xfId="0" applyFont="1" applyFill="1"/>
    <xf numFmtId="0" fontId="33" fillId="0" borderId="77" xfId="0" applyFont="1" applyFill="1" applyBorder="1"/>
    <xf numFmtId="173" fontId="33" fillId="0" borderId="1" xfId="0" applyNumberFormat="1" applyFont="1" applyFill="1" applyBorder="1"/>
    <xf numFmtId="49" fontId="33" fillId="0" borderId="1" xfId="0" applyNumberFormat="1" applyFont="1" applyFill="1" applyBorder="1"/>
    <xf numFmtId="2" fontId="33" fillId="0" borderId="1" xfId="0" applyNumberFormat="1" applyFont="1" applyFill="1" applyBorder="1"/>
    <xf numFmtId="175" fontId="33" fillId="0" borderId="1" xfId="0" applyNumberFormat="1" applyFont="1" applyFill="1" applyBorder="1"/>
    <xf numFmtId="175" fontId="33" fillId="0" borderId="78" xfId="0" applyNumberFormat="1" applyFont="1" applyFill="1" applyBorder="1"/>
    <xf numFmtId="0" fontId="33" fillId="0" borderId="0" xfId="0" applyFont="1" applyFill="1"/>
    <xf numFmtId="49" fontId="77" fillId="0" borderId="1" xfId="0" applyNumberFormat="1" applyFont="1" applyFill="1" applyBorder="1"/>
    <xf numFmtId="0" fontId="0" fillId="0" borderId="0" xfId="0" applyFont="1" applyFill="1"/>
    <xf numFmtId="175" fontId="0" fillId="0" borderId="0" xfId="0" applyNumberFormat="1" applyFont="1" applyFill="1"/>
    <xf numFmtId="175" fontId="0" fillId="0" borderId="24" xfId="0" applyNumberFormat="1" applyFont="1" applyFill="1" applyBorder="1"/>
    <xf numFmtId="0" fontId="33" fillId="0" borderId="96" xfId="0" applyFont="1" applyFill="1" applyBorder="1"/>
    <xf numFmtId="173" fontId="33" fillId="0" borderId="90" xfId="0" applyNumberFormat="1" applyFont="1" applyFill="1" applyBorder="1"/>
    <xf numFmtId="49" fontId="33" fillId="0" borderId="75" xfId="0" applyNumberFormat="1" applyFont="1" applyFill="1" applyBorder="1"/>
    <xf numFmtId="2" fontId="33" fillId="0" borderId="75" xfId="0" applyNumberFormat="1" applyFont="1" applyFill="1" applyBorder="1"/>
    <xf numFmtId="175" fontId="33" fillId="0" borderId="75" xfId="0" applyNumberFormat="1" applyFont="1" applyFill="1" applyBorder="1"/>
    <xf numFmtId="175" fontId="33" fillId="0" borderId="76" xfId="0" applyNumberFormat="1" applyFont="1" applyFill="1" applyBorder="1"/>
    <xf numFmtId="2" fontId="51" fillId="5" borderId="1" xfId="0" applyNumberFormat="1" applyFont="1" applyFill="1" applyBorder="1"/>
    <xf numFmtId="0" fontId="13" fillId="0" borderId="0" xfId="0" applyFont="1" applyFill="1" applyBorder="1"/>
    <xf numFmtId="0" fontId="1" fillId="0" borderId="36" xfId="0" applyFont="1" applyBorder="1"/>
    <xf numFmtId="0" fontId="15" fillId="0" borderId="105" xfId="4" applyFont="1" applyFill="1" applyBorder="1" applyAlignment="1">
      <alignment horizontal="center"/>
    </xf>
    <xf numFmtId="0" fontId="8" fillId="0" borderId="105" xfId="4" applyNumberFormat="1" applyFill="1" applyBorder="1" applyAlignment="1">
      <alignment horizontal="right"/>
    </xf>
    <xf numFmtId="0" fontId="37" fillId="0" borderId="113" xfId="4" applyNumberFormat="1" applyFont="1" applyFill="1" applyBorder="1"/>
    <xf numFmtId="0" fontId="36" fillId="0" borderId="0" xfId="4" applyFont="1"/>
    <xf numFmtId="0" fontId="16" fillId="0" borderId="105" xfId="4" applyFont="1" applyFill="1" applyBorder="1" applyAlignment="1">
      <alignment horizontal="center"/>
    </xf>
    <xf numFmtId="4" fontId="16" fillId="0" borderId="105" xfId="4" applyNumberFormat="1" applyFont="1" applyFill="1" applyBorder="1" applyAlignment="1">
      <alignment horizontal="right"/>
    </xf>
    <xf numFmtId="177" fontId="16" fillId="0" borderId="105" xfId="4" applyNumberFormat="1" applyFont="1" applyFill="1" applyBorder="1"/>
    <xf numFmtId="4" fontId="8" fillId="0" borderId="82" xfId="4" applyNumberFormat="1" applyFill="1" applyBorder="1" applyAlignment="1">
      <alignment horizontal="right"/>
    </xf>
    <xf numFmtId="0" fontId="15" fillId="0" borderId="82" xfId="4" applyFont="1" applyFill="1" applyBorder="1"/>
    <xf numFmtId="177" fontId="15" fillId="0" borderId="82" xfId="4" applyNumberFormat="1" applyFont="1" applyFill="1" applyBorder="1"/>
    <xf numFmtId="3" fontId="8" fillId="0" borderId="0" xfId="4" applyNumberFormat="1"/>
    <xf numFmtId="0" fontId="80" fillId="0" borderId="105" xfId="4" applyFont="1" applyFill="1" applyBorder="1" applyAlignment="1">
      <alignment wrapText="1"/>
    </xf>
    <xf numFmtId="0" fontId="37" fillId="0" borderId="105" xfId="4" applyNumberFormat="1" applyFont="1" applyFill="1" applyBorder="1"/>
    <xf numFmtId="49" fontId="12" fillId="0" borderId="105" xfId="4" applyNumberFormat="1" applyFont="1" applyFill="1" applyBorder="1" applyAlignment="1">
      <alignment horizontal="left"/>
    </xf>
    <xf numFmtId="0" fontId="12" fillId="0" borderId="105" xfId="4" applyFont="1" applyFill="1" applyBorder="1"/>
    <xf numFmtId="4" fontId="8" fillId="0" borderId="105" xfId="4" applyNumberFormat="1" applyFill="1" applyBorder="1" applyAlignment="1">
      <alignment horizontal="right"/>
    </xf>
    <xf numFmtId="177" fontId="15" fillId="0" borderId="105" xfId="4" applyNumberFormat="1" applyFont="1" applyFill="1" applyBorder="1"/>
    <xf numFmtId="0" fontId="81" fillId="0" borderId="105" xfId="4" applyFont="1" applyFill="1" applyBorder="1" applyAlignment="1">
      <alignment wrapText="1"/>
    </xf>
    <xf numFmtId="0" fontId="82" fillId="0" borderId="105" xfId="4" applyFont="1" applyFill="1" applyBorder="1"/>
    <xf numFmtId="0" fontId="83" fillId="0" borderId="105" xfId="4" applyFont="1" applyFill="1" applyBorder="1"/>
    <xf numFmtId="4" fontId="16" fillId="5" borderId="105" xfId="4" applyNumberFormat="1" applyFont="1" applyFill="1" applyBorder="1" applyAlignment="1">
      <alignment horizontal="right"/>
    </xf>
    <xf numFmtId="177" fontId="16" fillId="0" borderId="105" xfId="4" applyNumberFormat="1" applyFont="1" applyFill="1" applyBorder="1" applyAlignment="1">
      <alignment horizontal="right"/>
    </xf>
    <xf numFmtId="0" fontId="26" fillId="0" borderId="0" xfId="0" applyFont="1"/>
    <xf numFmtId="2" fontId="51" fillId="0" borderId="73" xfId="0" applyNumberFormat="1" applyFont="1" applyBorder="1" applyAlignment="1">
      <alignment wrapText="1"/>
    </xf>
    <xf numFmtId="2" fontId="51" fillId="0" borderId="73" xfId="0" applyNumberFormat="1" applyFont="1" applyBorder="1" applyAlignment="1">
      <alignment horizontal="center" wrapText="1"/>
    </xf>
    <xf numFmtId="171" fontId="51" fillId="0" borderId="73" xfId="0" applyNumberFormat="1" applyFont="1" applyBorder="1" applyAlignment="1">
      <alignment horizontal="center" wrapText="1"/>
    </xf>
    <xf numFmtId="175" fontId="51" fillId="0" borderId="74" xfId="0" applyNumberFormat="1" applyFont="1" applyBorder="1" applyAlignment="1">
      <alignment horizontal="center" wrapText="1"/>
    </xf>
    <xf numFmtId="174" fontId="51" fillId="0" borderId="73" xfId="0" applyNumberFormat="1" applyFont="1" applyBorder="1" applyAlignment="1">
      <alignment horizontal="center" wrapText="1"/>
    </xf>
    <xf numFmtId="0" fontId="23" fillId="0" borderId="70" xfId="4" applyFont="1" applyBorder="1" applyAlignment="1">
      <alignment wrapText="1"/>
    </xf>
    <xf numFmtId="0" fontId="18" fillId="0" borderId="3" xfId="4" applyNumberFormat="1" applyFont="1" applyBorder="1" applyAlignment="1">
      <alignment wrapText="1"/>
    </xf>
    <xf numFmtId="0" fontId="18" fillId="0" borderId="5" xfId="4" applyFont="1" applyBorder="1" applyAlignment="1">
      <alignment wrapText="1"/>
    </xf>
    <xf numFmtId="0" fontId="11" fillId="0" borderId="0" xfId="4" applyFont="1" applyAlignment="1">
      <alignment horizontal="centerContinuous" wrapText="1"/>
    </xf>
    <xf numFmtId="0" fontId="8" fillId="0" borderId="0" xfId="4" applyFont="1" applyFill="1" applyAlignment="1">
      <alignment wrapText="1"/>
    </xf>
    <xf numFmtId="0" fontId="51" fillId="0" borderId="73" xfId="0" applyFont="1" applyBorder="1" applyAlignment="1">
      <alignment wrapText="1"/>
    </xf>
    <xf numFmtId="0" fontId="8" fillId="0" borderId="0" xfId="4" applyAlignment="1">
      <alignment wrapText="1"/>
    </xf>
    <xf numFmtId="175" fontId="51" fillId="0" borderId="73" xfId="0" applyNumberFormat="1" applyFont="1" applyBorder="1" applyAlignment="1">
      <alignment horizontal="center" wrapText="1"/>
    </xf>
    <xf numFmtId="0" fontId="3" fillId="0" borderId="59" xfId="0" applyNumberFormat="1" applyFont="1" applyBorder="1" applyAlignment="1">
      <alignment horizontal="left"/>
    </xf>
    <xf numFmtId="0" fontId="3" fillId="0" borderId="13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169" fontId="39" fillId="0" borderId="0" xfId="0" applyNumberFormat="1" applyFont="1" applyBorder="1" applyAlignment="1" applyProtection="1">
      <alignment horizontal="right"/>
      <protection locked="0"/>
    </xf>
    <xf numFmtId="171" fontId="76" fillId="0" borderId="75" xfId="0" applyNumberFormat="1" applyFont="1" applyFill="1" applyBorder="1"/>
    <xf numFmtId="171" fontId="0" fillId="0" borderId="0" xfId="0" applyNumberFormat="1" applyFont="1" applyFill="1"/>
    <xf numFmtId="171" fontId="33" fillId="0" borderId="75" xfId="0" applyNumberFormat="1" applyFont="1" applyFill="1" applyBorder="1"/>
    <xf numFmtId="171" fontId="75" fillId="0" borderId="1" xfId="0" applyNumberFormat="1" applyFont="1" applyBorder="1"/>
    <xf numFmtId="171" fontId="75" fillId="0" borderId="107" xfId="0" applyNumberFormat="1" applyFont="1" applyBorder="1"/>
    <xf numFmtId="171" fontId="74" fillId="0" borderId="31" xfId="0" applyNumberFormat="1" applyFont="1" applyBorder="1"/>
    <xf numFmtId="0" fontId="64" fillId="0" borderId="0" xfId="0" applyFont="1"/>
    <xf numFmtId="0" fontId="63" fillId="0" borderId="0" xfId="0" applyFont="1"/>
    <xf numFmtId="0" fontId="65" fillId="0" borderId="111" xfId="0" applyFont="1" applyFill="1" applyBorder="1"/>
    <xf numFmtId="0" fontId="64" fillId="0" borderId="109" xfId="0" applyFont="1" applyBorder="1"/>
    <xf numFmtId="0" fontId="63" fillId="0" borderId="109" xfId="0" applyFont="1" applyFill="1" applyBorder="1"/>
    <xf numFmtId="0" fontId="63" fillId="0" borderId="109" xfId="0" applyFont="1" applyFill="1" applyBorder="1" applyAlignment="1">
      <alignment horizontal="center"/>
    </xf>
    <xf numFmtId="0" fontId="64" fillId="0" borderId="109" xfId="0" applyFont="1" applyFill="1" applyBorder="1" applyAlignment="1">
      <alignment horizontal="right"/>
    </xf>
    <xf numFmtId="4" fontId="64" fillId="0" borderId="109" xfId="0" applyNumberFormat="1" applyFont="1" applyFill="1" applyBorder="1"/>
    <xf numFmtId="171" fontId="63" fillId="0" borderId="109" xfId="0" applyNumberFormat="1" applyFont="1" applyFill="1" applyBorder="1"/>
    <xf numFmtId="4" fontId="63" fillId="0" borderId="109" xfId="0" applyNumberFormat="1" applyFont="1" applyFill="1" applyBorder="1"/>
    <xf numFmtId="4" fontId="63" fillId="0" borderId="110" xfId="0" applyNumberFormat="1" applyFont="1" applyFill="1" applyBorder="1"/>
    <xf numFmtId="0" fontId="65" fillId="0" borderId="77" xfId="0" applyFont="1" applyFill="1" applyBorder="1"/>
    <xf numFmtId="0" fontId="63" fillId="0" borderId="1" xfId="0" applyFont="1" applyFill="1" applyBorder="1"/>
    <xf numFmtId="0" fontId="64" fillId="0" borderId="1" xfId="0" applyFont="1" applyFill="1" applyBorder="1" applyAlignment="1">
      <alignment horizontal="center"/>
    </xf>
    <xf numFmtId="4" fontId="64" fillId="0" borderId="1" xfId="0" applyNumberFormat="1" applyFont="1" applyFill="1" applyBorder="1" applyAlignment="1">
      <alignment horizontal="center"/>
    </xf>
    <xf numFmtId="171" fontId="64" fillId="0" borderId="1" xfId="0" applyNumberFormat="1" applyFont="1" applyFill="1" applyBorder="1" applyAlignment="1">
      <alignment horizontal="right"/>
    </xf>
    <xf numFmtId="4" fontId="64" fillId="0" borderId="1" xfId="0" applyNumberFormat="1" applyFont="1" applyFill="1" applyBorder="1" applyAlignment="1">
      <alignment horizontal="right"/>
    </xf>
    <xf numFmtId="4" fontId="64" fillId="0" borderId="78" xfId="0" applyNumberFormat="1" applyFont="1" applyFill="1" applyBorder="1" applyAlignment="1">
      <alignment horizontal="right"/>
    </xf>
    <xf numFmtId="0" fontId="64" fillId="0" borderId="77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/>
    <xf numFmtId="0" fontId="64" fillId="0" borderId="1" xfId="0" applyFont="1" applyBorder="1" applyAlignment="1" applyProtection="1">
      <alignment horizontal="center"/>
      <protection locked="0"/>
    </xf>
    <xf numFmtId="171" fontId="64" fillId="0" borderId="1" xfId="1" applyNumberFormat="1" applyFont="1" applyBorder="1" applyAlignment="1">
      <alignment horizontal="right"/>
    </xf>
    <xf numFmtId="0" fontId="64" fillId="0" borderId="78" xfId="0" applyFont="1" applyBorder="1"/>
    <xf numFmtId="8" fontId="64" fillId="0" borderId="1" xfId="0" applyNumberFormat="1" applyFont="1" applyBorder="1"/>
    <xf numFmtId="7" fontId="64" fillId="0" borderId="78" xfId="0" applyNumberFormat="1" applyFont="1" applyBorder="1"/>
    <xf numFmtId="0" fontId="37" fillId="0" borderId="77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171" fontId="37" fillId="0" borderId="1" xfId="1" applyNumberFormat="1" applyFont="1" applyBorder="1" applyAlignment="1">
      <alignment horizontal="right"/>
    </xf>
    <xf numFmtId="8" fontId="37" fillId="0" borderId="1" xfId="0" applyNumberFormat="1" applyFont="1" applyBorder="1"/>
    <xf numFmtId="7" fontId="37" fillId="0" borderId="78" xfId="0" applyNumberFormat="1" applyFont="1" applyBorder="1"/>
    <xf numFmtId="0" fontId="65" fillId="3" borderId="77" xfId="0" applyFont="1" applyFill="1" applyBorder="1"/>
    <xf numFmtId="0" fontId="64" fillId="3" borderId="1" xfId="0" applyFont="1" applyFill="1" applyBorder="1"/>
    <xf numFmtId="0" fontId="63" fillId="3" borderId="1" xfId="0" applyFont="1" applyFill="1" applyBorder="1"/>
    <xf numFmtId="0" fontId="63" fillId="3" borderId="1" xfId="0" applyFont="1" applyFill="1" applyBorder="1" applyAlignment="1">
      <alignment horizontal="center"/>
    </xf>
    <xf numFmtId="0" fontId="64" fillId="3" borderId="1" xfId="0" applyFont="1" applyFill="1" applyBorder="1" applyAlignment="1">
      <alignment horizontal="right"/>
    </xf>
    <xf numFmtId="4" fontId="64" fillId="3" borderId="1" xfId="0" applyNumberFormat="1" applyFont="1" applyFill="1" applyBorder="1"/>
    <xf numFmtId="171" fontId="63" fillId="3" borderId="1" xfId="0" applyNumberFormat="1" applyFont="1" applyFill="1" applyBorder="1" applyAlignment="1">
      <alignment horizontal="right"/>
    </xf>
    <xf numFmtId="4" fontId="63" fillId="3" borderId="1" xfId="0" applyNumberFormat="1" applyFont="1" applyFill="1" applyBorder="1"/>
    <xf numFmtId="4" fontId="63" fillId="3" borderId="78" xfId="0" applyNumberFormat="1" applyFont="1" applyFill="1" applyBorder="1"/>
    <xf numFmtId="0" fontId="66" fillId="0" borderId="1" xfId="0" applyFont="1" applyFill="1" applyBorder="1"/>
    <xf numFmtId="0" fontId="63" fillId="0" borderId="1" xfId="0" applyFont="1" applyFill="1" applyBorder="1" applyAlignment="1">
      <alignment horizontal="center"/>
    </xf>
    <xf numFmtId="4" fontId="63" fillId="0" borderId="1" xfId="0" applyNumberFormat="1" applyFont="1" applyFill="1" applyBorder="1" applyAlignment="1">
      <alignment horizontal="right"/>
    </xf>
    <xf numFmtId="171" fontId="63" fillId="0" borderId="1" xfId="0" applyNumberFormat="1" applyFont="1" applyFill="1" applyBorder="1" applyAlignment="1">
      <alignment horizontal="right"/>
    </xf>
    <xf numFmtId="4" fontId="63" fillId="0" borderId="78" xfId="0" applyNumberFormat="1" applyFont="1" applyFill="1" applyBorder="1" applyAlignment="1">
      <alignment horizontal="right"/>
    </xf>
    <xf numFmtId="0" fontId="64" fillId="0" borderId="1" xfId="0" applyFont="1" applyBorder="1" applyAlignment="1">
      <alignment horizontal="left"/>
    </xf>
    <xf numFmtId="4" fontId="64" fillId="5" borderId="1" xfId="1" applyNumberFormat="1" applyFont="1" applyFill="1" applyBorder="1" applyAlignment="1" applyProtection="1">
      <alignment horizontal="right"/>
      <protection locked="0"/>
    </xf>
    <xf numFmtId="0" fontId="63" fillId="0" borderId="1" xfId="0" applyFont="1" applyBorder="1"/>
    <xf numFmtId="0" fontId="63" fillId="0" borderId="78" xfId="0" applyFont="1" applyBorder="1"/>
    <xf numFmtId="0" fontId="37" fillId="0" borderId="1" xfId="0" applyFont="1" applyBorder="1" applyAlignment="1" applyProtection="1">
      <alignment horizontal="center"/>
    </xf>
    <xf numFmtId="44" fontId="37" fillId="0" borderId="1" xfId="1" applyFont="1" applyBorder="1" applyAlignment="1">
      <alignment horizontal="center"/>
    </xf>
    <xf numFmtId="0" fontId="37" fillId="0" borderId="78" xfId="0" applyFont="1" applyBorder="1"/>
    <xf numFmtId="0" fontId="64" fillId="0" borderId="1" xfId="0" applyFont="1" applyFill="1" applyBorder="1" applyAlignment="1">
      <alignment horizontal="left"/>
    </xf>
    <xf numFmtId="0" fontId="64" fillId="0" borderId="1" xfId="0" applyFont="1" applyFill="1" applyBorder="1" applyAlignment="1">
      <alignment horizontal="right"/>
    </xf>
    <xf numFmtId="0" fontId="64" fillId="0" borderId="78" xfId="0" applyFont="1" applyFill="1" applyBorder="1" applyAlignment="1">
      <alignment horizontal="right"/>
    </xf>
    <xf numFmtId="4" fontId="64" fillId="5" borderId="1" xfId="0" applyNumberFormat="1" applyFont="1" applyFill="1" applyBorder="1" applyAlignment="1">
      <alignment horizontal="right"/>
    </xf>
    <xf numFmtId="8" fontId="64" fillId="0" borderId="78" xfId="0" applyNumberFormat="1" applyFont="1" applyBorder="1"/>
    <xf numFmtId="0" fontId="64" fillId="0" borderId="1" xfId="0" quotePrefix="1" applyFont="1" applyBorder="1" applyAlignment="1">
      <alignment horizontal="left"/>
    </xf>
    <xf numFmtId="0" fontId="37" fillId="0" borderId="1" xfId="0" applyFont="1" applyBorder="1" applyAlignment="1" applyProtection="1">
      <alignment horizontal="center"/>
      <protection locked="0"/>
    </xf>
    <xf numFmtId="8" fontId="37" fillId="0" borderId="78" xfId="0" applyNumberFormat="1" applyFont="1" applyBorder="1"/>
    <xf numFmtId="0" fontId="63" fillId="0" borderId="1" xfId="0" applyFont="1" applyFill="1" applyBorder="1" applyAlignment="1">
      <alignment horizontal="left"/>
    </xf>
    <xf numFmtId="0" fontId="63" fillId="0" borderId="1" xfId="0" applyFont="1" applyFill="1" applyBorder="1" applyAlignment="1">
      <alignment horizontal="right"/>
    </xf>
    <xf numFmtId="0" fontId="65" fillId="0" borderId="112" xfId="0" applyFont="1" applyFill="1" applyBorder="1"/>
    <xf numFmtId="0" fontId="63" fillId="0" borderId="107" xfId="0" applyFont="1" applyFill="1" applyBorder="1"/>
    <xf numFmtId="0" fontId="63" fillId="0" borderId="107" xfId="0" applyFont="1" applyFill="1" applyBorder="1" applyAlignment="1">
      <alignment horizontal="left"/>
    </xf>
    <xf numFmtId="0" fontId="63" fillId="0" borderId="107" xfId="0" applyFont="1" applyFill="1" applyBorder="1" applyAlignment="1">
      <alignment horizontal="right"/>
    </xf>
    <xf numFmtId="4" fontId="63" fillId="0" borderId="107" xfId="0" applyNumberFormat="1" applyFont="1" applyFill="1" applyBorder="1" applyAlignment="1">
      <alignment horizontal="right"/>
    </xf>
    <xf numFmtId="171" fontId="63" fillId="0" borderId="107" xfId="0" applyNumberFormat="1" applyFont="1" applyFill="1" applyBorder="1" applyAlignment="1">
      <alignment horizontal="right"/>
    </xf>
    <xf numFmtId="4" fontId="63" fillId="0" borderId="108" xfId="0" applyNumberFormat="1" applyFont="1" applyFill="1" applyBorder="1" applyAlignment="1">
      <alignment horizontal="right"/>
    </xf>
    <xf numFmtId="49" fontId="8" fillId="0" borderId="4" xfId="4" applyNumberFormat="1" applyFont="1" applyBorder="1" applyAlignment="1">
      <alignment horizontal="right"/>
    </xf>
    <xf numFmtId="0" fontId="8" fillId="0" borderId="4" xfId="4" applyFont="1" applyBorder="1" applyAlignment="1">
      <alignment horizontal="right"/>
    </xf>
    <xf numFmtId="168" fontId="8" fillId="0" borderId="6" xfId="4" applyNumberFormat="1" applyFont="1" applyBorder="1" applyAlignment="1">
      <alignment horizontal="right"/>
    </xf>
    <xf numFmtId="0" fontId="33" fillId="0" borderId="77" xfId="0" applyNumberFormat="1" applyFont="1" applyFill="1" applyBorder="1"/>
    <xf numFmtId="0" fontId="86" fillId="3" borderId="7" xfId="0" applyFont="1" applyFill="1" applyBorder="1"/>
    <xf numFmtId="173" fontId="86" fillId="3" borderId="8" xfId="0" applyNumberFormat="1" applyFont="1" applyFill="1" applyBorder="1"/>
    <xf numFmtId="49" fontId="86" fillId="3" borderId="8" xfId="0" applyNumberFormat="1" applyFont="1" applyFill="1" applyBorder="1"/>
    <xf numFmtId="2" fontId="86" fillId="3" borderId="8" xfId="0" applyNumberFormat="1" applyFont="1" applyFill="1" applyBorder="1"/>
    <xf numFmtId="1" fontId="86" fillId="3" borderId="8" xfId="0" applyNumberFormat="1" applyFont="1" applyFill="1" applyBorder="1"/>
    <xf numFmtId="171" fontId="86" fillId="3" borderId="8" xfId="0" applyNumberFormat="1" applyFont="1" applyFill="1" applyBorder="1"/>
    <xf numFmtId="174" fontId="86" fillId="3" borderId="8" xfId="0" applyNumberFormat="1" applyFont="1" applyFill="1" applyBorder="1"/>
    <xf numFmtId="175" fontId="86" fillId="3" borderId="9" xfId="0" applyNumberFormat="1" applyFont="1" applyFill="1" applyBorder="1"/>
    <xf numFmtId="0" fontId="86" fillId="0" borderId="96" xfId="0" applyFont="1" applyFill="1" applyBorder="1"/>
    <xf numFmtId="173" fontId="86" fillId="0" borderId="90" xfId="0" applyNumberFormat="1" applyFont="1" applyFill="1" applyBorder="1"/>
    <xf numFmtId="49" fontId="86" fillId="0" borderId="75" xfId="0" applyNumberFormat="1" applyFont="1" applyFill="1" applyBorder="1"/>
    <xf numFmtId="2" fontId="86" fillId="0" borderId="75" xfId="0" applyNumberFormat="1" applyFont="1" applyFill="1" applyBorder="1"/>
    <xf numFmtId="1" fontId="86" fillId="0" borderId="75" xfId="0" applyNumberFormat="1" applyFont="1" applyFill="1" applyBorder="1"/>
    <xf numFmtId="171" fontId="86" fillId="0" borderId="75" xfId="0" applyNumberFormat="1" applyFont="1" applyFill="1" applyBorder="1"/>
    <xf numFmtId="174" fontId="86" fillId="0" borderId="75" xfId="0" applyNumberFormat="1" applyFont="1" applyFill="1" applyBorder="1"/>
    <xf numFmtId="175" fontId="86" fillId="0" borderId="76" xfId="0" applyNumberFormat="1" applyFont="1" applyFill="1" applyBorder="1"/>
    <xf numFmtId="0" fontId="87" fillId="0" borderId="77" xfId="0" applyFont="1" applyBorder="1"/>
    <xf numFmtId="173" fontId="87" fillId="0" borderId="1" xfId="0" applyNumberFormat="1" applyFont="1" applyBorder="1"/>
    <xf numFmtId="49" fontId="87" fillId="0" borderId="1" xfId="0" applyNumberFormat="1" applyFont="1" applyBorder="1"/>
    <xf numFmtId="2" fontId="87" fillId="0" borderId="1" xfId="0" applyNumberFormat="1" applyFont="1" applyBorder="1"/>
    <xf numFmtId="2" fontId="56" fillId="5" borderId="1" xfId="0" applyNumberFormat="1" applyFont="1" applyFill="1" applyBorder="1"/>
    <xf numFmtId="171" fontId="87" fillId="0" borderId="1" xfId="0" applyNumberFormat="1" applyFont="1" applyBorder="1"/>
    <xf numFmtId="174" fontId="87" fillId="0" borderId="1" xfId="0" applyNumberFormat="1" applyFont="1" applyBorder="1"/>
    <xf numFmtId="175" fontId="87" fillId="0" borderId="78" xfId="0" applyNumberFormat="1" applyFont="1" applyBorder="1"/>
    <xf numFmtId="173" fontId="56" fillId="0" borderId="1" xfId="0" applyNumberFormat="1" applyFont="1" applyBorder="1"/>
    <xf numFmtId="49" fontId="88" fillId="0" borderId="1" xfId="0" applyNumberFormat="1" applyFont="1" applyFill="1" applyBorder="1"/>
    <xf numFmtId="49" fontId="56" fillId="0" borderId="1" xfId="0" applyNumberFormat="1" applyFont="1" applyBorder="1"/>
    <xf numFmtId="2" fontId="56" fillId="0" borderId="1" xfId="0" applyNumberFormat="1" applyFont="1" applyBorder="1"/>
    <xf numFmtId="171" fontId="56" fillId="0" borderId="1" xfId="0" applyNumberFormat="1" applyFont="1" applyBorder="1"/>
    <xf numFmtId="174" fontId="56" fillId="0" borderId="1" xfId="0" applyNumberFormat="1" applyFont="1" applyBorder="1"/>
    <xf numFmtId="175" fontId="56" fillId="0" borderId="78" xfId="0" applyNumberFormat="1" applyFont="1" applyBorder="1"/>
    <xf numFmtId="0" fontId="89" fillId="0" borderId="0" xfId="0" applyFont="1" applyBorder="1" applyProtection="1">
      <protection locked="0"/>
    </xf>
    <xf numFmtId="0" fontId="56" fillId="0" borderId="77" xfId="0" applyFont="1" applyFill="1" applyBorder="1"/>
    <xf numFmtId="173" fontId="56" fillId="0" borderId="1" xfId="0" applyNumberFormat="1" applyFont="1" applyFill="1" applyBorder="1"/>
    <xf numFmtId="49" fontId="56" fillId="0" borderId="1" xfId="0" applyNumberFormat="1" applyFont="1" applyFill="1" applyBorder="1"/>
    <xf numFmtId="2" fontId="56" fillId="0" borderId="1" xfId="0" applyNumberFormat="1" applyFont="1" applyFill="1" applyBorder="1"/>
    <xf numFmtId="1" fontId="56" fillId="0" borderId="1" xfId="0" applyNumberFormat="1" applyFont="1" applyFill="1" applyBorder="1"/>
    <xf numFmtId="171" fontId="56" fillId="0" borderId="1" xfId="0" applyNumberFormat="1" applyFont="1" applyFill="1" applyBorder="1"/>
    <xf numFmtId="174" fontId="56" fillId="0" borderId="1" xfId="0" applyNumberFormat="1" applyFont="1" applyFill="1" applyBorder="1"/>
    <xf numFmtId="175" fontId="56" fillId="0" borderId="78" xfId="0" applyNumberFormat="1" applyFont="1" applyFill="1" applyBorder="1"/>
    <xf numFmtId="0" fontId="56" fillId="0" borderId="103" xfId="0" applyFont="1" applyFill="1" applyBorder="1"/>
    <xf numFmtId="173" fontId="56" fillId="0" borderId="90" xfId="0" applyNumberFormat="1" applyFont="1" applyFill="1" applyBorder="1"/>
    <xf numFmtId="49" fontId="56" fillId="0" borderId="90" xfId="0" applyNumberFormat="1" applyFont="1" applyFill="1" applyBorder="1"/>
    <xf numFmtId="2" fontId="56" fillId="0" borderId="90" xfId="0" applyNumberFormat="1" applyFont="1" applyFill="1" applyBorder="1"/>
    <xf numFmtId="1" fontId="56" fillId="0" borderId="90" xfId="0" applyNumberFormat="1" applyFont="1" applyFill="1" applyBorder="1"/>
    <xf numFmtId="171" fontId="56" fillId="0" borderId="90" xfId="0" applyNumberFormat="1" applyFont="1" applyFill="1" applyBorder="1"/>
    <xf numFmtId="174" fontId="56" fillId="0" borderId="90" xfId="0" applyNumberFormat="1" applyFont="1" applyFill="1" applyBorder="1"/>
    <xf numFmtId="175" fontId="56" fillId="0" borderId="104" xfId="0" applyNumberFormat="1" applyFont="1" applyFill="1" applyBorder="1"/>
    <xf numFmtId="2" fontId="56" fillId="5" borderId="90" xfId="0" applyNumberFormat="1" applyFont="1" applyFill="1" applyBorder="1"/>
    <xf numFmtId="0" fontId="56" fillId="0" borderId="100" xfId="0" applyFont="1" applyFill="1" applyBorder="1"/>
    <xf numFmtId="173" fontId="56" fillId="0" borderId="101" xfId="0" applyNumberFormat="1" applyFont="1" applyFill="1" applyBorder="1"/>
    <xf numFmtId="49" fontId="56" fillId="0" borderId="101" xfId="0" applyNumberFormat="1" applyFont="1" applyFill="1" applyBorder="1"/>
    <xf numFmtId="2" fontId="56" fillId="0" borderId="101" xfId="0" applyNumberFormat="1" applyFont="1" applyFill="1" applyBorder="1"/>
    <xf numFmtId="1" fontId="56" fillId="0" borderId="101" xfId="0" applyNumberFormat="1" applyFont="1" applyFill="1" applyBorder="1"/>
    <xf numFmtId="171" fontId="56" fillId="0" borderId="101" xfId="0" applyNumberFormat="1" applyFont="1" applyFill="1" applyBorder="1"/>
    <xf numFmtId="174" fontId="56" fillId="0" borderId="101" xfId="0" applyNumberFormat="1" applyFont="1" applyFill="1" applyBorder="1"/>
    <xf numFmtId="175" fontId="56" fillId="0" borderId="102" xfId="0" applyNumberFormat="1" applyFont="1" applyFill="1" applyBorder="1"/>
    <xf numFmtId="0" fontId="86" fillId="0" borderId="20" xfId="0" applyFont="1" applyFill="1" applyBorder="1"/>
    <xf numFmtId="173" fontId="86" fillId="0" borderId="0" xfId="0" applyNumberFormat="1" applyFont="1" applyFill="1" applyBorder="1"/>
    <xf numFmtId="49" fontId="86" fillId="0" borderId="0" xfId="0" applyNumberFormat="1" applyFont="1" applyFill="1" applyBorder="1"/>
    <xf numFmtId="2" fontId="86" fillId="0" borderId="0" xfId="0" applyNumberFormat="1" applyFont="1" applyFill="1" applyBorder="1"/>
    <xf numFmtId="1" fontId="86" fillId="0" borderId="0" xfId="0" applyNumberFormat="1" applyFont="1" applyFill="1" applyBorder="1"/>
    <xf numFmtId="171" fontId="86" fillId="0" borderId="0" xfId="0" applyNumberFormat="1" applyFont="1" applyFill="1" applyBorder="1"/>
    <xf numFmtId="174" fontId="86" fillId="0" borderId="0" xfId="0" applyNumberFormat="1" applyFont="1" applyFill="1" applyBorder="1"/>
    <xf numFmtId="175" fontId="86" fillId="0" borderId="24" xfId="0" applyNumberFormat="1" applyFont="1" applyFill="1" applyBorder="1"/>
    <xf numFmtId="173" fontId="86" fillId="0" borderId="75" xfId="0" applyNumberFormat="1" applyFont="1" applyFill="1" applyBorder="1"/>
    <xf numFmtId="0" fontId="86" fillId="0" borderId="103" xfId="0" applyFont="1" applyFill="1" applyBorder="1"/>
    <xf numFmtId="0" fontId="86" fillId="0" borderId="90" xfId="0" applyFont="1" applyFill="1" applyBorder="1"/>
    <xf numFmtId="2" fontId="86" fillId="0" borderId="90" xfId="0" applyNumberFormat="1" applyFont="1" applyFill="1" applyBorder="1"/>
    <xf numFmtId="1" fontId="86" fillId="0" borderId="90" xfId="0" applyNumberFormat="1" applyFont="1" applyFill="1" applyBorder="1"/>
    <xf numFmtId="171" fontId="86" fillId="0" borderId="90" xfId="0" applyNumberFormat="1" applyFont="1" applyFill="1" applyBorder="1"/>
    <xf numFmtId="174" fontId="86" fillId="0" borderId="90" xfId="0" applyNumberFormat="1" applyFont="1" applyFill="1" applyBorder="1"/>
    <xf numFmtId="175" fontId="86" fillId="0" borderId="104" xfId="0" applyNumberFormat="1" applyFont="1" applyFill="1" applyBorder="1"/>
    <xf numFmtId="178" fontId="75" fillId="0" borderId="1" xfId="0" applyNumberFormat="1" applyFont="1" applyBorder="1"/>
    <xf numFmtId="174" fontId="75" fillId="0" borderId="1" xfId="0" applyNumberFormat="1" applyFont="1" applyBorder="1"/>
    <xf numFmtId="178" fontId="75" fillId="0" borderId="107" xfId="0" applyNumberFormat="1" applyFont="1" applyBorder="1"/>
    <xf numFmtId="174" fontId="75" fillId="0" borderId="107" xfId="0" applyNumberFormat="1" applyFont="1" applyBorder="1"/>
    <xf numFmtId="0" fontId="75" fillId="0" borderId="1" xfId="0" applyFont="1" applyBorder="1"/>
    <xf numFmtId="2" fontId="75" fillId="5" borderId="1" xfId="0" applyNumberFormat="1" applyFont="1" applyFill="1" applyBorder="1"/>
    <xf numFmtId="175" fontId="76" fillId="0" borderId="104" xfId="0" applyNumberFormat="1" applyFont="1" applyFill="1" applyBorder="1"/>
    <xf numFmtId="0" fontId="75" fillId="0" borderId="0" xfId="0" applyFont="1" applyBorder="1"/>
    <xf numFmtId="0" fontId="51" fillId="0" borderId="0" xfId="0" applyFont="1" applyBorder="1"/>
    <xf numFmtId="0" fontId="89" fillId="0" borderId="90" xfId="0" applyFont="1" applyBorder="1" applyProtection="1">
      <protection locked="0"/>
    </xf>
    <xf numFmtId="0" fontId="56" fillId="0" borderId="115" xfId="0" applyFont="1" applyBorder="1"/>
    <xf numFmtId="173" fontId="56" fillId="0" borderId="116" xfId="0" applyNumberFormat="1" applyFont="1" applyBorder="1"/>
    <xf numFmtId="49" fontId="56" fillId="0" borderId="116" xfId="0" applyNumberFormat="1" applyFont="1" applyBorder="1"/>
    <xf numFmtId="2" fontId="56" fillId="0" borderId="116" xfId="0" applyNumberFormat="1" applyFont="1" applyBorder="1"/>
    <xf numFmtId="1" fontId="56" fillId="0" borderId="116" xfId="0" applyNumberFormat="1" applyFont="1" applyBorder="1"/>
    <xf numFmtId="171" fontId="56" fillId="0" borderId="116" xfId="0" applyNumberFormat="1" applyFont="1" applyBorder="1"/>
    <xf numFmtId="174" fontId="56" fillId="0" borderId="116" xfId="0" applyNumberFormat="1" applyFont="1" applyBorder="1"/>
    <xf numFmtId="175" fontId="56" fillId="0" borderId="117" xfId="0" applyNumberFormat="1" applyFont="1" applyBorder="1"/>
    <xf numFmtId="0" fontId="56" fillId="0" borderId="115" xfId="0" applyFont="1" applyFill="1" applyBorder="1"/>
    <xf numFmtId="173" fontId="56" fillId="0" borderId="116" xfId="0" applyNumberFormat="1" applyFont="1" applyFill="1" applyBorder="1"/>
    <xf numFmtId="49" fontId="56" fillId="0" borderId="116" xfId="0" applyNumberFormat="1" applyFont="1" applyFill="1" applyBorder="1"/>
    <xf numFmtId="2" fontId="56" fillId="0" borderId="116" xfId="0" applyNumberFormat="1" applyFont="1" applyFill="1" applyBorder="1"/>
    <xf numFmtId="1" fontId="56" fillId="0" borderId="116" xfId="0" applyNumberFormat="1" applyFont="1" applyFill="1" applyBorder="1"/>
    <xf numFmtId="171" fontId="56" fillId="0" borderId="116" xfId="0" applyNumberFormat="1" applyFont="1" applyFill="1" applyBorder="1"/>
    <xf numFmtId="174" fontId="56" fillId="0" borderId="116" xfId="0" applyNumberFormat="1" applyFont="1" applyFill="1" applyBorder="1"/>
    <xf numFmtId="175" fontId="56" fillId="0" borderId="117" xfId="0" applyNumberFormat="1" applyFont="1" applyFill="1" applyBorder="1"/>
    <xf numFmtId="0" fontId="86" fillId="0" borderId="118" xfId="0" applyFont="1" applyFill="1" applyBorder="1"/>
    <xf numFmtId="173" fontId="86" fillId="0" borderId="119" xfId="0" applyNumberFormat="1" applyFont="1" applyFill="1" applyBorder="1"/>
    <xf numFmtId="0" fontId="86" fillId="0" borderId="119" xfId="0" applyFont="1" applyFill="1" applyBorder="1"/>
    <xf numFmtId="2" fontId="86" fillId="0" borderId="119" xfId="0" applyNumberFormat="1" applyFont="1" applyFill="1" applyBorder="1"/>
    <xf numFmtId="1" fontId="86" fillId="0" borderId="119" xfId="0" applyNumberFormat="1" applyFont="1" applyFill="1" applyBorder="1"/>
    <xf numFmtId="171" fontId="86" fillId="0" borderId="119" xfId="0" applyNumberFormat="1" applyFont="1" applyFill="1" applyBorder="1"/>
    <xf numFmtId="174" fontId="86" fillId="0" borderId="119" xfId="0" applyNumberFormat="1" applyFont="1" applyFill="1" applyBorder="1"/>
    <xf numFmtId="175" fontId="86" fillId="0" borderId="114" xfId="0" applyNumberFormat="1" applyFont="1" applyFill="1" applyBorder="1"/>
    <xf numFmtId="0" fontId="90" fillId="0" borderId="90" xfId="0" applyFont="1" applyFill="1" applyBorder="1" applyAlignment="1">
      <alignment vertical="center"/>
    </xf>
    <xf numFmtId="1" fontId="90" fillId="0" borderId="90" xfId="0" applyNumberFormat="1" applyFont="1" applyFill="1" applyBorder="1" applyAlignment="1">
      <alignment vertical="center"/>
    </xf>
    <xf numFmtId="171" fontId="90" fillId="0" borderId="90" xfId="0" applyNumberFormat="1" applyFont="1" applyFill="1" applyBorder="1" applyAlignment="1">
      <alignment vertical="center"/>
    </xf>
    <xf numFmtId="175" fontId="90" fillId="0" borderId="90" xfId="0" applyNumberFormat="1" applyFont="1" applyFill="1" applyBorder="1" applyAlignment="1">
      <alignment vertical="center"/>
    </xf>
    <xf numFmtId="175" fontId="90" fillId="0" borderId="104" xfId="0" applyNumberFormat="1" applyFont="1" applyFill="1" applyBorder="1" applyAlignment="1">
      <alignment vertical="center"/>
    </xf>
    <xf numFmtId="171" fontId="33" fillId="0" borderId="116" xfId="0" applyNumberFormat="1" applyFont="1" applyFill="1" applyBorder="1"/>
    <xf numFmtId="0" fontId="16" fillId="0" borderId="116" xfId="0" applyFont="1" applyFill="1" applyBorder="1"/>
    <xf numFmtId="175" fontId="16" fillId="0" borderId="117" xfId="0" applyNumberFormat="1" applyFont="1" applyFill="1" applyBorder="1"/>
    <xf numFmtId="0" fontId="64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0" xfId="0" applyFont="1" applyBorder="1" applyAlignment="1" applyProtection="1">
      <alignment horizontal="center"/>
      <protection locked="0"/>
    </xf>
    <xf numFmtId="181" fontId="64" fillId="5" borderId="0" xfId="1" applyNumberFormat="1" applyFont="1" applyFill="1" applyBorder="1" applyAlignment="1">
      <alignment horizontal="right"/>
    </xf>
    <xf numFmtId="0" fontId="64" fillId="0" borderId="0" xfId="0" applyFont="1" applyBorder="1" applyAlignment="1" applyProtection="1">
      <alignment horizontal="center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left"/>
    </xf>
    <xf numFmtId="2" fontId="64" fillId="5" borderId="1" xfId="0" applyNumberFormat="1" applyFont="1" applyFill="1" applyBorder="1"/>
    <xf numFmtId="175" fontId="64" fillId="0" borderId="1" xfId="0" applyNumberFormat="1" applyFont="1" applyFill="1" applyBorder="1" applyAlignment="1">
      <alignment horizontal="center"/>
    </xf>
    <xf numFmtId="175" fontId="64" fillId="0" borderId="1" xfId="0" applyNumberFormat="1" applyFont="1" applyFill="1" applyBorder="1" applyAlignment="1">
      <alignment horizontal="right"/>
    </xf>
    <xf numFmtId="175" fontId="64" fillId="0" borderId="78" xfId="0" applyNumberFormat="1" applyFont="1" applyFill="1" applyBorder="1" applyAlignment="1">
      <alignment horizontal="right"/>
    </xf>
    <xf numFmtId="0" fontId="75" fillId="0" borderId="77" xfId="0" applyFont="1" applyFill="1" applyBorder="1"/>
    <xf numFmtId="1" fontId="75" fillId="0" borderId="1" xfId="0" applyNumberFormat="1" applyFont="1" applyBorder="1" applyAlignment="1">
      <alignment horizontal="center"/>
    </xf>
    <xf numFmtId="175" fontId="75" fillId="5" borderId="1" xfId="0" applyNumberFormat="1" applyFont="1" applyFill="1" applyBorder="1"/>
    <xf numFmtId="175" fontId="75" fillId="0" borderId="1" xfId="0" applyNumberFormat="1" applyFont="1" applyBorder="1"/>
    <xf numFmtId="0" fontId="37" fillId="0" borderId="77" xfId="0" applyFont="1" applyFill="1" applyBorder="1" applyAlignment="1">
      <alignment horizontal="center"/>
    </xf>
    <xf numFmtId="175" fontId="65" fillId="0" borderId="1" xfId="0" applyNumberFormat="1" applyFont="1" applyFill="1" applyBorder="1"/>
    <xf numFmtId="175" fontId="37" fillId="0" borderId="1" xfId="1" applyNumberFormat="1" applyFont="1" applyBorder="1" applyAlignment="1">
      <alignment horizontal="right"/>
    </xf>
    <xf numFmtId="175" fontId="37" fillId="0" borderId="1" xfId="0" applyNumberFormat="1" applyFont="1" applyBorder="1"/>
    <xf numFmtId="175" fontId="37" fillId="0" borderId="78" xfId="0" applyNumberFormat="1" applyFont="1" applyBorder="1"/>
    <xf numFmtId="0" fontId="65" fillId="6" borderId="77" xfId="0" applyFont="1" applyFill="1" applyBorder="1"/>
    <xf numFmtId="0" fontId="64" fillId="3" borderId="1" xfId="0" applyFont="1" applyFill="1" applyBorder="1" applyAlignment="1">
      <alignment horizontal="center"/>
    </xf>
    <xf numFmtId="175" fontId="64" fillId="3" borderId="1" xfId="0" applyNumberFormat="1" applyFont="1" applyFill="1" applyBorder="1"/>
    <xf numFmtId="175" fontId="63" fillId="3" borderId="1" xfId="0" applyNumberFormat="1" applyFont="1" applyFill="1" applyBorder="1" applyAlignment="1">
      <alignment horizontal="right"/>
    </xf>
    <xf numFmtId="175" fontId="63" fillId="3" borderId="1" xfId="0" applyNumberFormat="1" applyFont="1" applyFill="1" applyBorder="1"/>
    <xf numFmtId="175" fontId="63" fillId="3" borderId="78" xfId="0" applyNumberFormat="1" applyFont="1" applyFill="1" applyBorder="1"/>
    <xf numFmtId="175" fontId="65" fillId="0" borderId="1" xfId="0" applyNumberFormat="1" applyFont="1" applyFill="1" applyBorder="1" applyAlignment="1">
      <alignment horizontal="right"/>
    </xf>
    <xf numFmtId="175" fontId="63" fillId="0" borderId="1" xfId="0" applyNumberFormat="1" applyFont="1" applyFill="1" applyBorder="1" applyAlignment="1">
      <alignment horizontal="right"/>
    </xf>
    <xf numFmtId="175" fontId="63" fillId="0" borderId="78" xfId="0" applyNumberFormat="1" applyFont="1" applyFill="1" applyBorder="1" applyAlignment="1">
      <alignment horizontal="right"/>
    </xf>
    <xf numFmtId="0" fontId="64" fillId="0" borderId="1" xfId="0" applyFont="1" applyFill="1" applyBorder="1"/>
    <xf numFmtId="175" fontId="64" fillId="0" borderId="1" xfId="0" applyNumberFormat="1" applyFont="1" applyFill="1" applyBorder="1"/>
    <xf numFmtId="175" fontId="63" fillId="0" borderId="1" xfId="0" applyNumberFormat="1" applyFont="1" applyFill="1" applyBorder="1"/>
    <xf numFmtId="175" fontId="63" fillId="0" borderId="78" xfId="0" applyNumberFormat="1" applyFont="1" applyFill="1" applyBorder="1"/>
    <xf numFmtId="183" fontId="75" fillId="0" borderId="1" xfId="0" applyNumberFormat="1" applyFont="1" applyBorder="1"/>
    <xf numFmtId="183" fontId="56" fillId="0" borderId="101" xfId="0" applyNumberFormat="1" applyFont="1" applyFill="1" applyBorder="1"/>
    <xf numFmtId="184" fontId="86" fillId="3" borderId="8" xfId="0" applyNumberFormat="1" applyFont="1" applyFill="1" applyBorder="1"/>
    <xf numFmtId="49" fontId="0" fillId="0" borderId="75" xfId="0" applyNumberFormat="1" applyFont="1" applyFill="1" applyBorder="1" applyAlignment="1">
      <alignment horizontal="left" vertical="top" wrapText="1"/>
    </xf>
    <xf numFmtId="49" fontId="0" fillId="0" borderId="90" xfId="0" applyNumberFormat="1" applyFont="1" applyFill="1" applyBorder="1" applyAlignment="1">
      <alignment horizontal="left" vertical="top" wrapText="1"/>
    </xf>
    <xf numFmtId="49" fontId="0" fillId="0" borderId="90" xfId="0" applyNumberFormat="1" applyFill="1" applyBorder="1" applyAlignment="1">
      <alignment horizontal="left" vertical="top" wrapText="1"/>
    </xf>
    <xf numFmtId="169" fontId="0" fillId="0" borderId="122" xfId="0" applyNumberFormat="1" applyFont="1" applyFill="1" applyBorder="1" applyAlignment="1">
      <alignment horizontal="right"/>
    </xf>
    <xf numFmtId="169" fontId="0" fillId="0" borderId="123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56" fillId="0" borderId="124" xfId="0" applyNumberFormat="1" applyFont="1" applyFill="1" applyBorder="1"/>
    <xf numFmtId="49" fontId="86" fillId="3" borderId="73" xfId="0" applyNumberFormat="1" applyFont="1" applyFill="1" applyBorder="1"/>
    <xf numFmtId="49" fontId="86" fillId="0" borderId="87" xfId="0" applyNumberFormat="1" applyFont="1" applyFill="1" applyBorder="1"/>
    <xf numFmtId="0" fontId="19" fillId="7" borderId="29" xfId="0" applyFont="1" applyFill="1" applyBorder="1" applyAlignment="1">
      <alignment horizontal="centerContinuous" vertical="center"/>
    </xf>
    <xf numFmtId="0" fontId="0" fillId="7" borderId="31" xfId="0" applyFill="1" applyBorder="1" applyAlignment="1">
      <alignment horizontal="centerContinuous" vertical="center"/>
    </xf>
    <xf numFmtId="0" fontId="0" fillId="7" borderId="33" xfId="0" applyFill="1" applyBorder="1" applyAlignment="1">
      <alignment horizontal="centerContinuous" vertical="center"/>
    </xf>
    <xf numFmtId="0" fontId="26" fillId="0" borderId="44" xfId="0" applyFont="1" applyBorder="1" applyAlignment="1">
      <alignment horizontal="right"/>
    </xf>
    <xf numFmtId="0" fontId="0" fillId="0" borderId="44" xfId="0" applyBorder="1" applyAlignment="1">
      <alignment vertical="center"/>
    </xf>
    <xf numFmtId="0" fontId="51" fillId="0" borderId="125" xfId="0" applyFont="1" applyBorder="1"/>
    <xf numFmtId="173" fontId="51" fillId="0" borderId="0" xfId="0" applyNumberFormat="1" applyFont="1" applyBorder="1"/>
    <xf numFmtId="49" fontId="51" fillId="0" borderId="0" xfId="0" applyNumberFormat="1" applyFont="1" applyBorder="1"/>
    <xf numFmtId="2" fontId="51" fillId="0" borderId="126" xfId="0" applyNumberFormat="1" applyFont="1" applyBorder="1"/>
    <xf numFmtId="1" fontId="51" fillId="0" borderId="126" xfId="0" applyNumberFormat="1" applyFont="1" applyBorder="1"/>
    <xf numFmtId="171" fontId="51" fillId="0" borderId="89" xfId="0" applyNumberFormat="1" applyFont="1" applyBorder="1"/>
    <xf numFmtId="174" fontId="51" fillId="0" borderId="89" xfId="0" applyNumberFormat="1" applyFont="1" applyBorder="1"/>
    <xf numFmtId="0" fontId="1" fillId="0" borderId="0" xfId="7"/>
    <xf numFmtId="164" fontId="102" fillId="0" borderId="0" xfId="8" applyNumberFormat="1" applyFont="1" applyAlignment="1"/>
    <xf numFmtId="0" fontId="1" fillId="0" borderId="0" xfId="8"/>
    <xf numFmtId="49" fontId="5" fillId="0" borderId="0" xfId="8" applyNumberFormat="1" applyFont="1" applyAlignment="1"/>
    <xf numFmtId="49" fontId="3" fillId="0" borderId="0" xfId="8" applyNumberFormat="1" applyFont="1" applyAlignment="1">
      <alignment horizontal="left"/>
    </xf>
    <xf numFmtId="4" fontId="5" fillId="0" borderId="0" xfId="8" applyNumberFormat="1" applyFont="1" applyFill="1" applyBorder="1" applyAlignment="1"/>
    <xf numFmtId="166" fontId="5" fillId="0" borderId="0" xfId="8" applyNumberFormat="1" applyFont="1" applyAlignment="1"/>
    <xf numFmtId="4" fontId="5" fillId="0" borderId="0" xfId="8" applyNumberFormat="1" applyFont="1" applyAlignment="1"/>
    <xf numFmtId="167" fontId="5" fillId="0" borderId="0" xfId="8" applyNumberFormat="1" applyFont="1" applyAlignment="1"/>
    <xf numFmtId="179" fontId="5" fillId="0" borderId="0" xfId="8" applyNumberFormat="1" applyFont="1" applyAlignment="1"/>
    <xf numFmtId="49" fontId="103" fillId="0" borderId="0" xfId="8" applyNumberFormat="1" applyFont="1" applyBorder="1" applyAlignment="1">
      <alignment horizontal="right"/>
    </xf>
    <xf numFmtId="49" fontId="103" fillId="0" borderId="0" xfId="8" applyNumberFormat="1" applyFont="1" applyBorder="1" applyAlignment="1">
      <alignment horizontal="center"/>
    </xf>
    <xf numFmtId="49" fontId="103" fillId="0" borderId="0" xfId="8" applyNumberFormat="1" applyFont="1" applyBorder="1" applyAlignment="1">
      <alignment horizontal="left"/>
    </xf>
    <xf numFmtId="0" fontId="103" fillId="0" borderId="0" xfId="8" applyNumberFormat="1" applyFont="1" applyBorder="1" applyAlignment="1">
      <alignment horizontal="left"/>
    </xf>
    <xf numFmtId="4" fontId="103" fillId="0" borderId="0" xfId="8" applyNumberFormat="1" applyFont="1" applyBorder="1" applyAlignment="1">
      <alignment horizontal="right"/>
    </xf>
    <xf numFmtId="0" fontId="7" fillId="0" borderId="0" xfId="8" applyFont="1"/>
    <xf numFmtId="49" fontId="103" fillId="0" borderId="2" xfId="8" applyNumberFormat="1" applyFont="1" applyBorder="1" applyAlignment="1">
      <alignment horizontal="right"/>
    </xf>
    <xf numFmtId="49" fontId="103" fillId="0" borderId="2" xfId="8" applyNumberFormat="1" applyFont="1" applyBorder="1" applyAlignment="1">
      <alignment horizontal="center"/>
    </xf>
    <xf numFmtId="49" fontId="103" fillId="0" borderId="2" xfId="8" applyNumberFormat="1" applyFont="1" applyBorder="1" applyAlignment="1">
      <alignment horizontal="left"/>
    </xf>
    <xf numFmtId="0" fontId="103" fillId="0" borderId="2" xfId="8" applyNumberFormat="1" applyFont="1" applyBorder="1" applyAlignment="1">
      <alignment horizontal="left"/>
    </xf>
    <xf numFmtId="4" fontId="103" fillId="0" borderId="2" xfId="8" applyNumberFormat="1" applyFont="1" applyBorder="1" applyAlignment="1">
      <alignment horizontal="right"/>
    </xf>
    <xf numFmtId="182" fontId="103" fillId="0" borderId="2" xfId="8" applyNumberFormat="1" applyFont="1" applyBorder="1" applyAlignment="1">
      <alignment horizontal="right"/>
    </xf>
    <xf numFmtId="49" fontId="3" fillId="0" borderId="0" xfId="8" applyNumberFormat="1" applyFont="1" applyAlignment="1">
      <alignment horizontal="right"/>
    </xf>
    <xf numFmtId="49" fontId="3" fillId="0" borderId="0" xfId="8" applyNumberFormat="1" applyFont="1" applyAlignment="1">
      <alignment horizontal="center"/>
    </xf>
    <xf numFmtId="0" fontId="3" fillId="0" borderId="0" xfId="8" applyNumberFormat="1" applyFont="1" applyAlignment="1">
      <alignment horizontal="left" wrapText="1"/>
    </xf>
    <xf numFmtId="4" fontId="3" fillId="0" borderId="0" xfId="8" applyNumberFormat="1" applyFont="1" applyAlignment="1">
      <alignment horizontal="right"/>
    </xf>
    <xf numFmtId="164" fontId="104" fillId="0" borderId="0" xfId="7" applyNumberFormat="1" applyFont="1" applyAlignment="1"/>
    <xf numFmtId="49" fontId="104" fillId="0" borderId="0" xfId="7" applyNumberFormat="1" applyFont="1" applyAlignment="1">
      <alignment horizontal="center"/>
    </xf>
    <xf numFmtId="0" fontId="104" fillId="0" borderId="0" xfId="7" applyNumberFormat="1" applyFont="1" applyAlignment="1">
      <alignment horizontal="left"/>
    </xf>
    <xf numFmtId="4" fontId="104" fillId="0" borderId="0" xfId="7" applyNumberFormat="1" applyFont="1" applyFill="1" applyBorder="1" applyAlignment="1"/>
    <xf numFmtId="166" fontId="104" fillId="0" borderId="0" xfId="7" applyNumberFormat="1" applyFont="1" applyAlignment="1"/>
    <xf numFmtId="165" fontId="104" fillId="0" borderId="0" xfId="7" applyNumberFormat="1" applyFont="1" applyFill="1" applyBorder="1" applyAlignment="1"/>
    <xf numFmtId="4" fontId="104" fillId="0" borderId="0" xfId="7" applyNumberFormat="1" applyFont="1" applyAlignment="1"/>
    <xf numFmtId="167" fontId="104" fillId="0" borderId="0" xfId="7" applyNumberFormat="1" applyFont="1" applyAlignment="1"/>
    <xf numFmtId="179" fontId="104" fillId="0" borderId="0" xfId="7" applyNumberFormat="1" applyFont="1" applyAlignment="1"/>
    <xf numFmtId="0" fontId="104" fillId="0" borderId="0" xfId="7" applyFont="1"/>
    <xf numFmtId="164" fontId="103" fillId="0" borderId="0" xfId="7" applyNumberFormat="1" applyFont="1" applyAlignment="1"/>
    <xf numFmtId="49" fontId="103" fillId="0" borderId="0" xfId="7" applyNumberFormat="1" applyFont="1" applyAlignment="1">
      <alignment horizontal="center"/>
    </xf>
    <xf numFmtId="0" fontId="103" fillId="0" borderId="0" xfId="7" applyNumberFormat="1" applyFont="1" applyAlignment="1">
      <alignment horizontal="left"/>
    </xf>
    <xf numFmtId="4" fontId="103" fillId="0" borderId="0" xfId="7" applyNumberFormat="1" applyFont="1" applyFill="1" applyBorder="1" applyAlignment="1"/>
    <xf numFmtId="166" fontId="103" fillId="0" borderId="0" xfId="7" applyNumberFormat="1" applyFont="1" applyAlignment="1"/>
    <xf numFmtId="165" fontId="103" fillId="0" borderId="0" xfId="7" applyNumberFormat="1" applyFont="1" applyFill="1" applyBorder="1" applyAlignment="1"/>
    <xf numFmtId="4" fontId="103" fillId="0" borderId="0" xfId="7" applyNumberFormat="1" applyFont="1" applyAlignment="1"/>
    <xf numFmtId="167" fontId="103" fillId="0" borderId="0" xfId="7" applyNumberFormat="1" applyFont="1" applyAlignment="1"/>
    <xf numFmtId="179" fontId="103" fillId="0" borderId="0" xfId="7" applyNumberFormat="1" applyFont="1" applyAlignment="1"/>
    <xf numFmtId="180" fontId="103" fillId="0" borderId="0" xfId="7" applyNumberFormat="1" applyFont="1" applyAlignment="1"/>
    <xf numFmtId="0" fontId="103" fillId="0" borderId="0" xfId="7" applyFont="1"/>
    <xf numFmtId="164" fontId="105" fillId="0" borderId="1" xfId="7" applyNumberFormat="1" applyFont="1" applyBorder="1" applyAlignment="1">
      <alignment horizontal="right" vertical="top"/>
    </xf>
    <xf numFmtId="49" fontId="105" fillId="0" borderId="1" xfId="7" applyNumberFormat="1" applyFont="1" applyBorder="1" applyAlignment="1">
      <alignment horizontal="center" vertical="top"/>
    </xf>
    <xf numFmtId="49" fontId="105" fillId="0" borderId="1" xfId="7" applyNumberFormat="1" applyFont="1" applyBorder="1" applyAlignment="1">
      <alignment horizontal="left" vertical="top"/>
    </xf>
    <xf numFmtId="0" fontId="105" fillId="0" borderId="1" xfId="7" applyNumberFormat="1" applyFont="1" applyBorder="1" applyAlignment="1">
      <alignment horizontal="left" vertical="top" wrapText="1"/>
    </xf>
    <xf numFmtId="4" fontId="106" fillId="0" borderId="1" xfId="7" applyNumberFormat="1" applyFont="1" applyFill="1" applyBorder="1" applyAlignment="1">
      <alignment horizontal="right" vertical="top"/>
    </xf>
    <xf numFmtId="166" fontId="105" fillId="0" borderId="1" xfId="7" applyNumberFormat="1" applyFont="1" applyBorder="1" applyAlignment="1">
      <alignment horizontal="right" vertical="top"/>
    </xf>
    <xf numFmtId="165" fontId="106" fillId="0" borderId="1" xfId="7" applyNumberFormat="1" applyFont="1" applyFill="1" applyBorder="1" applyAlignment="1">
      <alignment horizontal="right" vertical="top"/>
    </xf>
    <xf numFmtId="167" fontId="105" fillId="0" borderId="1" xfId="7" applyNumberFormat="1" applyFont="1" applyBorder="1" applyAlignment="1">
      <alignment horizontal="right" vertical="top"/>
    </xf>
    <xf numFmtId="179" fontId="105" fillId="0" borderId="1" xfId="7" applyNumberFormat="1" applyFont="1" applyBorder="1" applyAlignment="1">
      <alignment horizontal="right" vertical="top"/>
    </xf>
    <xf numFmtId="180" fontId="105" fillId="0" borderId="1" xfId="7" applyNumberFormat="1" applyFont="1" applyBorder="1" applyAlignment="1">
      <alignment horizontal="right" vertical="top"/>
    </xf>
    <xf numFmtId="0" fontId="73" fillId="0" borderId="0" xfId="7" applyFont="1"/>
    <xf numFmtId="164" fontId="30" fillId="0" borderId="0" xfId="7" applyNumberFormat="1" applyFont="1" applyAlignment="1">
      <alignment horizontal="left" vertical="top" wrapText="1"/>
    </xf>
    <xf numFmtId="49" fontId="30" fillId="0" borderId="0" xfId="7" applyNumberFormat="1" applyFont="1" applyAlignment="1">
      <alignment horizontal="left" vertical="top" wrapText="1"/>
    </xf>
    <xf numFmtId="0" fontId="30" fillId="0" borderId="0" xfId="7" applyNumberFormat="1" applyFont="1" applyAlignment="1">
      <alignment horizontal="left" vertical="top" wrapText="1"/>
    </xf>
    <xf numFmtId="4" fontId="30" fillId="0" borderId="0" xfId="7" applyNumberFormat="1" applyFont="1" applyFill="1" applyBorder="1" applyAlignment="1">
      <alignment horizontal="right" vertical="top"/>
    </xf>
    <xf numFmtId="166" fontId="30" fillId="0" borderId="0" xfId="7" applyNumberFormat="1" applyFont="1" applyAlignment="1">
      <alignment horizontal="left" vertical="top" wrapText="1"/>
    </xf>
    <xf numFmtId="165" fontId="30" fillId="0" borderId="0" xfId="7" applyNumberFormat="1" applyFont="1" applyFill="1" applyBorder="1" applyAlignment="1">
      <alignment horizontal="left" vertical="top" wrapText="1"/>
    </xf>
    <xf numFmtId="4" fontId="30" fillId="0" borderId="0" xfId="7" applyNumberFormat="1" applyFont="1" applyAlignment="1">
      <alignment horizontal="left" vertical="top" wrapText="1"/>
    </xf>
    <xf numFmtId="167" fontId="30" fillId="0" borderId="0" xfId="7" applyNumberFormat="1" applyFont="1" applyAlignment="1">
      <alignment horizontal="left" vertical="top" wrapText="1"/>
    </xf>
    <xf numFmtId="179" fontId="30" fillId="0" borderId="0" xfId="7" applyNumberFormat="1" applyFont="1" applyAlignment="1">
      <alignment horizontal="left" vertical="top" wrapText="1"/>
    </xf>
    <xf numFmtId="0" fontId="91" fillId="0" borderId="0" xfId="7" applyFont="1" applyAlignment="1">
      <alignment horizontal="left" vertical="top" wrapText="1"/>
    </xf>
    <xf numFmtId="164" fontId="107" fillId="0" borderId="0" xfId="7" applyNumberFormat="1" applyFont="1" applyAlignment="1">
      <alignment horizontal="center" vertical="center"/>
    </xf>
    <xf numFmtId="49" fontId="107" fillId="0" borderId="0" xfId="7" applyNumberFormat="1" applyFont="1" applyAlignment="1">
      <alignment horizontal="center" vertical="center"/>
    </xf>
    <xf numFmtId="49" fontId="107" fillId="0" borderId="0" xfId="7" applyNumberFormat="1" applyFont="1" applyAlignment="1">
      <alignment horizontal="center" vertical="center" wrapText="1"/>
    </xf>
    <xf numFmtId="4" fontId="107" fillId="0" borderId="0" xfId="7" applyNumberFormat="1" applyFont="1" applyFill="1" applyBorder="1" applyAlignment="1">
      <alignment horizontal="center" vertical="center"/>
    </xf>
    <xf numFmtId="166" fontId="107" fillId="0" borderId="0" xfId="7" applyNumberFormat="1" applyFont="1" applyAlignment="1">
      <alignment horizontal="center" vertical="center"/>
    </xf>
    <xf numFmtId="165" fontId="107" fillId="0" borderId="0" xfId="7" applyNumberFormat="1" applyFont="1" applyFill="1" applyBorder="1" applyAlignment="1">
      <alignment horizontal="center" vertical="center"/>
    </xf>
    <xf numFmtId="4" fontId="107" fillId="0" borderId="0" xfId="7" applyNumberFormat="1" applyFont="1" applyAlignment="1">
      <alignment horizontal="center" vertical="center"/>
    </xf>
    <xf numFmtId="167" fontId="107" fillId="0" borderId="0" xfId="7" applyNumberFormat="1" applyFont="1" applyAlignment="1">
      <alignment horizontal="center" vertical="center"/>
    </xf>
    <xf numFmtId="179" fontId="107" fillId="0" borderId="0" xfId="7" applyNumberFormat="1" applyFont="1" applyAlignment="1">
      <alignment horizontal="center" vertical="center"/>
    </xf>
    <xf numFmtId="0" fontId="107" fillId="0" borderId="0" xfId="7" applyFont="1" applyAlignment="1">
      <alignment horizontal="center" vertical="center"/>
    </xf>
    <xf numFmtId="164" fontId="105" fillId="0" borderId="0" xfId="7" applyNumberFormat="1" applyFont="1" applyAlignment="1">
      <alignment horizontal="right" vertical="top"/>
    </xf>
    <xf numFmtId="49" fontId="105" fillId="0" borderId="0" xfId="7" applyNumberFormat="1" applyFont="1" applyAlignment="1">
      <alignment horizontal="center" vertical="top"/>
    </xf>
    <xf numFmtId="49" fontId="105" fillId="0" borderId="0" xfId="7" applyNumberFormat="1" applyFont="1" applyAlignment="1">
      <alignment horizontal="left" vertical="top"/>
    </xf>
    <xf numFmtId="49" fontId="105" fillId="0" borderId="0" xfId="7" applyNumberFormat="1" applyFont="1" applyAlignment="1">
      <alignment horizontal="left" vertical="top" wrapText="1"/>
    </xf>
    <xf numFmtId="4" fontId="106" fillId="0" borderId="0" xfId="7" applyNumberFormat="1" applyFont="1" applyFill="1" applyBorder="1" applyAlignment="1">
      <alignment horizontal="right" vertical="top"/>
    </xf>
    <xf numFmtId="166" fontId="105" fillId="0" borderId="0" xfId="7" applyNumberFormat="1" applyFont="1" applyAlignment="1">
      <alignment horizontal="right" vertical="top"/>
    </xf>
    <xf numFmtId="165" fontId="106" fillId="0" borderId="0" xfId="7" applyNumberFormat="1" applyFont="1" applyFill="1" applyBorder="1" applyAlignment="1">
      <alignment horizontal="right" vertical="top"/>
    </xf>
    <xf numFmtId="4" fontId="105" fillId="0" borderId="0" xfId="7" applyNumberFormat="1" applyFont="1" applyAlignment="1">
      <alignment horizontal="right" vertical="top"/>
    </xf>
    <xf numFmtId="167" fontId="105" fillId="0" borderId="0" xfId="7" applyNumberFormat="1" applyFont="1" applyAlignment="1">
      <alignment horizontal="right" vertical="top"/>
    </xf>
    <xf numFmtId="179" fontId="105" fillId="0" borderId="0" xfId="7" applyNumberFormat="1" applyFont="1" applyAlignment="1">
      <alignment horizontal="right" vertical="top"/>
    </xf>
    <xf numFmtId="4" fontId="105" fillId="8" borderId="1" xfId="7" applyNumberFormat="1" applyFont="1" applyFill="1" applyBorder="1" applyAlignment="1">
      <alignment horizontal="right" vertical="top"/>
    </xf>
    <xf numFmtId="171" fontId="39" fillId="8" borderId="0" xfId="0" applyNumberFormat="1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right"/>
      <protection locked="0"/>
    </xf>
    <xf numFmtId="1" fontId="39" fillId="0" borderId="0" xfId="0" applyNumberFormat="1" applyFont="1" applyFill="1" applyBorder="1" applyAlignment="1" applyProtection="1">
      <alignment horizontal="right"/>
      <protection locked="0"/>
    </xf>
    <xf numFmtId="171" fontId="39" fillId="0" borderId="0" xfId="0" applyNumberFormat="1" applyFont="1" applyFill="1" applyBorder="1" applyProtection="1">
      <protection locked="0"/>
    </xf>
    <xf numFmtId="1" fontId="39" fillId="8" borderId="0" xfId="0" applyNumberFormat="1" applyFont="1" applyFill="1" applyBorder="1" applyAlignment="1" applyProtection="1">
      <alignment horizontal="right"/>
      <protection locked="0"/>
    </xf>
    <xf numFmtId="172" fontId="43" fillId="8" borderId="0" xfId="5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71" fontId="0" fillId="8" borderId="0" xfId="0" applyNumberFormat="1" applyFill="1" applyBorder="1" applyProtection="1">
      <protection locked="0"/>
    </xf>
    <xf numFmtId="1" fontId="41" fillId="8" borderId="0" xfId="0" applyNumberFormat="1" applyFont="1" applyFill="1" applyBorder="1" applyAlignment="1" applyProtection="1">
      <alignment horizontal="right"/>
      <protection locked="0"/>
    </xf>
    <xf numFmtId="0" fontId="26" fillId="0" borderId="0" xfId="7" applyFont="1"/>
    <xf numFmtId="1" fontId="26" fillId="0" borderId="0" xfId="7" applyNumberFormat="1" applyFont="1"/>
    <xf numFmtId="0" fontId="1" fillId="0" borderId="0" xfId="7" applyFont="1"/>
    <xf numFmtId="0" fontId="1" fillId="8" borderId="0" xfId="7" applyFill="1"/>
    <xf numFmtId="0" fontId="13" fillId="0" borderId="49" xfId="0" applyFont="1" applyBorder="1"/>
    <xf numFmtId="0" fontId="13" fillId="0" borderId="3" xfId="0" applyFont="1" applyBorder="1"/>
    <xf numFmtId="0" fontId="8" fillId="0" borderId="105" xfId="4" applyNumberFormat="1" applyFill="1" applyBorder="1"/>
    <xf numFmtId="4" fontId="16" fillId="0" borderId="105" xfId="4" applyNumberFormat="1" applyFont="1" applyFill="1" applyBorder="1"/>
    <xf numFmtId="0" fontId="80" fillId="0" borderId="105" xfId="4" applyFont="1" applyFill="1" applyBorder="1" applyAlignment="1">
      <alignment horizontal="center"/>
    </xf>
    <xf numFmtId="49" fontId="80" fillId="0" borderId="105" xfId="4" applyNumberFormat="1" applyFont="1" applyFill="1" applyBorder="1" applyAlignment="1">
      <alignment horizontal="left"/>
    </xf>
    <xf numFmtId="49" fontId="80" fillId="0" borderId="105" xfId="4" applyNumberFormat="1" applyFont="1" applyFill="1" applyBorder="1" applyAlignment="1">
      <alignment horizontal="center" shrinkToFit="1"/>
    </xf>
    <xf numFmtId="4" fontId="80" fillId="0" borderId="105" xfId="4" applyNumberFormat="1" applyFont="1" applyFill="1" applyBorder="1" applyAlignment="1">
      <alignment horizontal="right"/>
    </xf>
    <xf numFmtId="4" fontId="80" fillId="0" borderId="105" xfId="4" applyNumberFormat="1" applyFont="1" applyFill="1" applyBorder="1"/>
    <xf numFmtId="177" fontId="80" fillId="0" borderId="105" xfId="4" applyNumberFormat="1" applyFont="1" applyFill="1" applyBorder="1"/>
    <xf numFmtId="0" fontId="80" fillId="0" borderId="0" xfId="4" applyFont="1"/>
    <xf numFmtId="4" fontId="15" fillId="0" borderId="82" xfId="4" applyNumberFormat="1" applyFont="1" applyFill="1" applyBorder="1"/>
    <xf numFmtId="175" fontId="8" fillId="0" borderId="105" xfId="4" applyNumberFormat="1" applyFill="1" applyBorder="1"/>
    <xf numFmtId="175" fontId="16" fillId="0" borderId="105" xfId="4" applyNumberFormat="1" applyFont="1" applyFill="1" applyBorder="1"/>
    <xf numFmtId="175" fontId="15" fillId="0" borderId="82" xfId="4" applyNumberFormat="1" applyFont="1" applyFill="1" applyBorder="1"/>
    <xf numFmtId="175" fontId="15" fillId="0" borderId="105" xfId="4" applyNumberFormat="1" applyFont="1" applyFill="1" applyBorder="1"/>
    <xf numFmtId="175" fontId="16" fillId="0" borderId="105" xfId="4" applyNumberFormat="1" applyFont="1" applyFill="1" applyBorder="1" applyAlignment="1">
      <alignment horizontal="center"/>
    </xf>
    <xf numFmtId="49" fontId="34" fillId="0" borderId="127" xfId="0" applyNumberFormat="1" applyFont="1" applyBorder="1" applyAlignment="1">
      <alignment horizontal="center"/>
    </xf>
    <xf numFmtId="182" fontId="0" fillId="8" borderId="120" xfId="0" applyNumberFormat="1" applyFont="1" applyFill="1" applyBorder="1" applyAlignment="1">
      <alignment horizontal="right"/>
    </xf>
    <xf numFmtId="182" fontId="0" fillId="8" borderId="121" xfId="0" applyNumberFormat="1" applyFont="1" applyFill="1" applyBorder="1" applyAlignment="1">
      <alignment horizontal="right"/>
    </xf>
    <xf numFmtId="4" fontId="16" fillId="8" borderId="105" xfId="4" applyNumberFormat="1" applyFont="1" applyFill="1" applyBorder="1" applyAlignment="1">
      <alignment horizontal="right"/>
    </xf>
    <xf numFmtId="2" fontId="75" fillId="8" borderId="1" xfId="0" applyNumberFormat="1" applyFont="1" applyFill="1" applyBorder="1"/>
    <xf numFmtId="176" fontId="56" fillId="8" borderId="1" xfId="0" applyNumberFormat="1" applyFont="1" applyFill="1" applyBorder="1"/>
    <xf numFmtId="1" fontId="56" fillId="8" borderId="1" xfId="0" applyNumberFormat="1" applyFont="1" applyFill="1" applyBorder="1"/>
    <xf numFmtId="171" fontId="56" fillId="8" borderId="91" xfId="0" applyNumberFormat="1" applyFont="1" applyFill="1" applyBorder="1"/>
    <xf numFmtId="2" fontId="75" fillId="8" borderId="107" xfId="0" applyNumberFormat="1" applyFont="1" applyFill="1" applyBorder="1"/>
    <xf numFmtId="1" fontId="51" fillId="8" borderId="1" xfId="0" applyNumberFormat="1" applyFont="1" applyFill="1" applyBorder="1"/>
    <xf numFmtId="1" fontId="51" fillId="8" borderId="107" xfId="0" applyNumberFormat="1" applyFont="1" applyFill="1" applyBorder="1"/>
    <xf numFmtId="174" fontId="51" fillId="8" borderId="1" xfId="0" applyNumberFormat="1" applyFont="1" applyFill="1" applyBorder="1"/>
    <xf numFmtId="174" fontId="51" fillId="8" borderId="107" xfId="0" applyNumberFormat="1" applyFont="1" applyFill="1" applyBorder="1"/>
    <xf numFmtId="0" fontId="15" fillId="2" borderId="60" xfId="0" applyFont="1" applyFill="1" applyBorder="1"/>
    <xf numFmtId="0" fontId="15" fillId="2" borderId="2" xfId="0" applyFont="1" applyFill="1" applyBorder="1"/>
    <xf numFmtId="3" fontId="15" fillId="2" borderId="61" xfId="0" applyNumberFormat="1" applyFont="1" applyFill="1" applyBorder="1"/>
    <xf numFmtId="3" fontId="15" fillId="2" borderId="128" xfId="0" applyNumberFormat="1" applyFont="1" applyFill="1" applyBorder="1" applyAlignment="1">
      <alignment horizontal="right"/>
    </xf>
    <xf numFmtId="3" fontId="15" fillId="2" borderId="129" xfId="0" applyNumberFormat="1" applyFont="1" applyFill="1" applyBorder="1" applyAlignment="1">
      <alignment horizontal="right"/>
    </xf>
    <xf numFmtId="49" fontId="13" fillId="0" borderId="28" xfId="0" applyNumberFormat="1" applyFont="1" applyBorder="1"/>
    <xf numFmtId="0" fontId="57" fillId="0" borderId="35" xfId="0" applyFont="1" applyBorder="1"/>
    <xf numFmtId="0" fontId="57" fillId="0" borderId="3" xfId="0" applyFont="1" applyBorder="1"/>
    <xf numFmtId="3" fontId="16" fillId="0" borderId="15" xfId="0" applyNumberFormat="1" applyFont="1" applyBorder="1"/>
    <xf numFmtId="3" fontId="13" fillId="0" borderId="15" xfId="0" applyNumberFormat="1" applyFont="1" applyBorder="1" applyAlignment="1">
      <alignment horizontal="center"/>
    </xf>
    <xf numFmtId="3" fontId="16" fillId="0" borderId="43" xfId="0" quotePrefix="1" applyNumberFormat="1" applyFont="1" applyBorder="1" applyAlignment="1">
      <alignment horizontal="right"/>
    </xf>
    <xf numFmtId="0" fontId="113" fillId="0" borderId="15" xfId="0" applyFont="1" applyBorder="1" applyAlignment="1">
      <alignment horizontal="center" vertical="center" wrapText="1"/>
    </xf>
    <xf numFmtId="3" fontId="0" fillId="0" borderId="15" xfId="0" applyNumberFormat="1" applyBorder="1"/>
    <xf numFmtId="164" fontId="108" fillId="0" borderId="0" xfId="8" applyNumberFormat="1" applyFont="1" applyAlignment="1">
      <alignment horizontal="center" vertical="center"/>
    </xf>
    <xf numFmtId="0" fontId="67" fillId="0" borderId="0" xfId="9" applyAlignment="1">
      <alignment horizontal="center" vertical="center"/>
    </xf>
    <xf numFmtId="4" fontId="67" fillId="0" borderId="0" xfId="9" applyNumberFormat="1" applyAlignment="1">
      <alignment horizontal="center" vertical="center"/>
    </xf>
    <xf numFmtId="0" fontId="109" fillId="0" borderId="0" xfId="9" applyFont="1" applyAlignment="1">
      <alignment horizontal="center" vertical="center"/>
    </xf>
    <xf numFmtId="4" fontId="67" fillId="10" borderId="0" xfId="9" applyNumberFormat="1" applyFill="1" applyAlignment="1">
      <alignment horizontal="center" vertical="center"/>
    </xf>
    <xf numFmtId="0" fontId="67" fillId="11" borderId="0" xfId="9" applyFill="1" applyAlignment="1">
      <alignment horizontal="center" vertical="center"/>
    </xf>
    <xf numFmtId="0" fontId="110" fillId="8" borderId="0" xfId="9" applyFont="1" applyFill="1" applyAlignment="1">
      <alignment horizontal="center" vertical="center"/>
    </xf>
    <xf numFmtId="0" fontId="110" fillId="12" borderId="0" xfId="9" applyFont="1" applyFill="1" applyAlignment="1">
      <alignment horizontal="center" vertical="center"/>
    </xf>
    <xf numFmtId="0" fontId="67" fillId="13" borderId="0" xfId="9" applyFill="1" applyAlignment="1">
      <alignment horizontal="center" vertical="center"/>
    </xf>
    <xf numFmtId="4" fontId="67" fillId="13" borderId="0" xfId="9" applyNumberFormat="1" applyFill="1" applyAlignment="1">
      <alignment horizontal="center" vertical="center"/>
    </xf>
    <xf numFmtId="4" fontId="67" fillId="14" borderId="0" xfId="9" applyNumberFormat="1" applyFill="1" applyAlignment="1">
      <alignment horizontal="center" vertical="center"/>
    </xf>
    <xf numFmtId="0" fontId="67" fillId="6" borderId="0" xfId="9" applyFill="1" applyAlignment="1">
      <alignment horizontal="center" vertical="center"/>
    </xf>
    <xf numFmtId="0" fontId="67" fillId="14" borderId="0" xfId="9" applyFill="1" applyAlignment="1">
      <alignment horizontal="center" vertical="center"/>
    </xf>
    <xf numFmtId="0" fontId="67" fillId="15" borderId="0" xfId="9" applyFill="1" applyAlignment="1">
      <alignment horizontal="center" vertical="center"/>
    </xf>
    <xf numFmtId="0" fontId="67" fillId="7" borderId="0" xfId="9" applyFill="1" applyAlignment="1">
      <alignment horizontal="center" vertical="center"/>
    </xf>
    <xf numFmtId="0" fontId="67" fillId="16" borderId="0" xfId="9" applyFill="1" applyAlignment="1">
      <alignment horizontal="center" vertical="center"/>
    </xf>
    <xf numFmtId="0" fontId="67" fillId="17" borderId="0" xfId="9" applyFill="1" applyAlignment="1">
      <alignment horizontal="center" vertical="center"/>
    </xf>
    <xf numFmtId="0" fontId="67" fillId="18" borderId="0" xfId="9" applyFill="1" applyAlignment="1">
      <alignment horizontal="center" vertical="center"/>
    </xf>
    <xf numFmtId="0" fontId="110" fillId="0" borderId="0" xfId="9" applyFont="1" applyAlignment="1">
      <alignment horizontal="center" vertical="center"/>
    </xf>
    <xf numFmtId="9" fontId="110" fillId="0" borderId="0" xfId="9" applyNumberFormat="1" applyFont="1" applyAlignment="1">
      <alignment horizontal="center" vertical="center"/>
    </xf>
    <xf numFmtId="0" fontId="67" fillId="0" borderId="0" xfId="9" applyFill="1" applyAlignment="1">
      <alignment horizontal="center" vertical="center"/>
    </xf>
    <xf numFmtId="9" fontId="67" fillId="0" borderId="0" xfId="9" applyNumberFormat="1" applyAlignment="1">
      <alignment horizontal="center" vertical="center"/>
    </xf>
    <xf numFmtId="4" fontId="67" fillId="0" borderId="0" xfId="9" applyNumberFormat="1" applyFill="1" applyAlignment="1">
      <alignment horizontal="center" vertical="center"/>
    </xf>
    <xf numFmtId="4" fontId="111" fillId="0" borderId="0" xfId="9" applyNumberFormat="1" applyFont="1" applyAlignment="1">
      <alignment horizontal="center" vertical="center"/>
    </xf>
    <xf numFmtId="0" fontId="112" fillId="0" borderId="0" xfId="9" applyFont="1" applyAlignment="1">
      <alignment horizontal="center" vertical="center"/>
    </xf>
    <xf numFmtId="0" fontId="67" fillId="10" borderId="0" xfId="9" applyFill="1" applyAlignment="1">
      <alignment horizontal="center" vertical="center"/>
    </xf>
    <xf numFmtId="4" fontId="67" fillId="10" borderId="17" xfId="9" applyNumberFormat="1" applyFill="1" applyBorder="1" applyAlignment="1">
      <alignment horizontal="center" vertical="center"/>
    </xf>
    <xf numFmtId="4" fontId="112" fillId="0" borderId="17" xfId="9" applyNumberFormat="1" applyFont="1" applyBorder="1" applyAlignment="1">
      <alignment horizontal="center" vertical="center"/>
    </xf>
    <xf numFmtId="4" fontId="67" fillId="0" borderId="17" xfId="9" applyNumberFormat="1" applyBorder="1" applyAlignment="1">
      <alignment horizontal="center" vertical="center"/>
    </xf>
    <xf numFmtId="4" fontId="112" fillId="0" borderId="17" xfId="9" applyNumberFormat="1" applyFont="1" applyFill="1" applyBorder="1" applyAlignment="1">
      <alignment horizontal="center" vertical="center"/>
    </xf>
    <xf numFmtId="4" fontId="67" fillId="0" borderId="17" xfId="9" applyNumberFormat="1" applyFill="1" applyBorder="1" applyAlignment="1">
      <alignment horizontal="center" vertical="center"/>
    </xf>
    <xf numFmtId="2" fontId="67" fillId="14" borderId="0" xfId="9" applyNumberFormat="1" applyFill="1" applyAlignment="1">
      <alignment horizontal="center" vertical="center"/>
    </xf>
    <xf numFmtId="0" fontId="67" fillId="8" borderId="0" xfId="9" applyFill="1" applyAlignment="1">
      <alignment horizontal="center" vertical="center"/>
    </xf>
    <xf numFmtId="2" fontId="67" fillId="13" borderId="0" xfId="9" applyNumberFormat="1" applyFill="1" applyAlignment="1">
      <alignment horizontal="center" vertical="center"/>
    </xf>
    <xf numFmtId="2" fontId="67" fillId="11" borderId="0" xfId="9" applyNumberFormat="1" applyFill="1" applyAlignment="1">
      <alignment horizontal="center" vertical="center"/>
    </xf>
    <xf numFmtId="2" fontId="67" fillId="12" borderId="0" xfId="9" applyNumberFormat="1" applyFill="1" applyAlignment="1">
      <alignment horizontal="center" vertical="center"/>
    </xf>
    <xf numFmtId="0" fontId="67" fillId="19" borderId="0" xfId="9" applyFill="1" applyAlignment="1">
      <alignment horizontal="center" vertical="center"/>
    </xf>
    <xf numFmtId="0" fontId="67" fillId="20" borderId="0" xfId="9" applyFill="1" applyAlignment="1">
      <alignment horizontal="center" vertical="center"/>
    </xf>
    <xf numFmtId="2" fontId="67" fillId="8" borderId="0" xfId="9" applyNumberFormat="1" applyFill="1" applyAlignment="1">
      <alignment horizontal="center" vertical="center"/>
    </xf>
    <xf numFmtId="0" fontId="67" fillId="14" borderId="0" xfId="9" applyFill="1" applyBorder="1" applyAlignment="1">
      <alignment horizontal="center" vertical="center"/>
    </xf>
    <xf numFmtId="0" fontId="67" fillId="17" borderId="64" xfId="9" applyFill="1" applyBorder="1" applyAlignment="1">
      <alignment horizontal="center" vertical="center"/>
    </xf>
    <xf numFmtId="0" fontId="67" fillId="17" borderId="0" xfId="9" applyFill="1" applyBorder="1" applyAlignment="1">
      <alignment horizontal="center" vertical="center"/>
    </xf>
    <xf numFmtId="0" fontId="67" fillId="7" borderId="0" xfId="9" applyFill="1" applyBorder="1" applyAlignment="1">
      <alignment horizontal="center" vertical="center"/>
    </xf>
    <xf numFmtId="0" fontId="67" fillId="16" borderId="0" xfId="9" applyFill="1" applyBorder="1" applyAlignment="1">
      <alignment horizontal="center" vertical="center"/>
    </xf>
    <xf numFmtId="0" fontId="67" fillId="18" borderId="64" xfId="9" applyFill="1" applyBorder="1" applyAlignment="1">
      <alignment horizontal="center" vertical="center"/>
    </xf>
    <xf numFmtId="0" fontId="67" fillId="18" borderId="0" xfId="9" applyFill="1" applyBorder="1" applyAlignment="1">
      <alignment horizontal="center" vertical="center"/>
    </xf>
    <xf numFmtId="0" fontId="67" fillId="21" borderId="0" xfId="9" applyFill="1" applyAlignment="1">
      <alignment horizontal="center" vertical="center"/>
    </xf>
    <xf numFmtId="43" fontId="43" fillId="8" borderId="0" xfId="10" applyFont="1" applyFill="1" applyBorder="1" applyAlignment="1" applyProtection="1">
      <alignment horizontal="right"/>
      <protection locked="0"/>
    </xf>
    <xf numFmtId="171" fontId="39" fillId="22" borderId="0" xfId="0" applyNumberFormat="1" applyFont="1" applyFill="1" applyBorder="1" applyProtection="1">
      <protection locked="0"/>
    </xf>
    <xf numFmtId="0" fontId="96" fillId="9" borderId="35" xfId="0" applyFont="1" applyFill="1" applyBorder="1" applyAlignment="1">
      <alignment horizontal="left" vertical="center" wrapText="1"/>
    </xf>
    <xf numFmtId="0" fontId="96" fillId="9" borderId="22" xfId="0" applyFont="1" applyFill="1" applyBorder="1" applyAlignment="1">
      <alignment horizontal="left" vertical="center" wrapText="1"/>
    </xf>
    <xf numFmtId="0" fontId="97" fillId="0" borderId="39" xfId="0" applyFont="1" applyBorder="1" applyAlignment="1">
      <alignment horizontal="left"/>
    </xf>
    <xf numFmtId="0" fontId="97" fillId="0" borderId="40" xfId="0" applyFont="1" applyBorder="1" applyAlignment="1">
      <alignment horizontal="left"/>
    </xf>
    <xf numFmtId="0" fontId="98" fillId="9" borderId="35" xfId="0" applyFont="1" applyFill="1" applyBorder="1" applyAlignment="1">
      <alignment horizontal="left" vertical="center" wrapText="1"/>
    </xf>
    <xf numFmtId="0" fontId="98" fillId="9" borderId="22" xfId="0" applyFont="1" applyFill="1" applyBorder="1" applyAlignment="1">
      <alignment horizontal="left" vertical="center" wrapText="1"/>
    </xf>
    <xf numFmtId="0" fontId="99" fillId="0" borderId="7" xfId="0" applyFont="1" applyFill="1" applyBorder="1" applyAlignment="1">
      <alignment horizontal="center" vertical="center" wrapText="1"/>
    </xf>
    <xf numFmtId="0" fontId="99" fillId="0" borderId="8" xfId="0" applyFont="1" applyFill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73" fillId="0" borderId="3" xfId="0" applyFont="1" applyBorder="1" applyAlignment="1">
      <alignment horizontal="left" wrapText="1"/>
    </xf>
    <xf numFmtId="0" fontId="73" fillId="0" borderId="17" xfId="0" applyFont="1" applyBorder="1" applyAlignment="1">
      <alignment horizontal="left" wrapText="1"/>
    </xf>
    <xf numFmtId="0" fontId="73" fillId="0" borderId="43" xfId="0" applyFont="1" applyBorder="1" applyAlignment="1">
      <alignment horizontal="left" wrapText="1"/>
    </xf>
    <xf numFmtId="0" fontId="26" fillId="0" borderId="1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3" xfId="0" applyBorder="1" applyAlignment="1">
      <alignment horizontal="left"/>
    </xf>
    <xf numFmtId="170" fontId="0" fillId="0" borderId="3" xfId="0" applyNumberFormat="1" applyBorder="1" applyAlignment="1">
      <alignment horizontal="left"/>
    </xf>
    <xf numFmtId="170" fontId="0" fillId="0" borderId="17" xfId="0" applyNumberFormat="1" applyBorder="1" applyAlignment="1">
      <alignment horizontal="left"/>
    </xf>
    <xf numFmtId="170" fontId="0" fillId="0" borderId="43" xfId="0" applyNumberFormat="1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5" xfId="0" applyBorder="1" applyAlignment="1">
      <alignment horizontal="left"/>
    </xf>
    <xf numFmtId="0" fontId="1" fillId="8" borderId="49" xfId="0" applyFont="1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0" fillId="8" borderId="50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8" borderId="43" xfId="0" applyFill="1" applyBorder="1" applyAlignment="1">
      <alignment horizontal="left"/>
    </xf>
    <xf numFmtId="0" fontId="0" fillId="8" borderId="54" xfId="0" applyFill="1" applyBorder="1" applyAlignment="1">
      <alignment horizontal="left"/>
    </xf>
    <xf numFmtId="0" fontId="0" fillId="8" borderId="59" xfId="0" applyFill="1" applyBorder="1" applyAlignment="1">
      <alignment horizontal="left"/>
    </xf>
    <xf numFmtId="0" fontId="0" fillId="8" borderId="55" xfId="0" applyFill="1" applyBorder="1" applyAlignment="1">
      <alignment horizontal="left"/>
    </xf>
    <xf numFmtId="170" fontId="0" fillId="8" borderId="3" xfId="0" applyNumberFormat="1" applyFill="1" applyBorder="1" applyAlignment="1">
      <alignment horizontal="left"/>
    </xf>
    <xf numFmtId="170" fontId="0" fillId="8" borderId="17" xfId="0" applyNumberFormat="1" applyFill="1" applyBorder="1" applyAlignment="1">
      <alignment horizontal="left"/>
    </xf>
    <xf numFmtId="170" fontId="0" fillId="8" borderId="43" xfId="0" applyNumberFormat="1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0" xfId="0" applyBorder="1" applyAlignment="1">
      <alignment horizontal="left"/>
    </xf>
    <xf numFmtId="0" fontId="79" fillId="0" borderId="49" xfId="0" applyFont="1" applyBorder="1" applyAlignment="1">
      <alignment horizontal="left"/>
    </xf>
    <xf numFmtId="0" fontId="79" fillId="0" borderId="13" xfId="0" applyFont="1" applyBorder="1" applyAlignment="1">
      <alignment horizontal="left"/>
    </xf>
    <xf numFmtId="0" fontId="79" fillId="0" borderId="50" xfId="0" applyFont="1" applyBorder="1" applyAlignment="1">
      <alignment horizontal="left"/>
    </xf>
    <xf numFmtId="168" fontId="79" fillId="0" borderId="3" xfId="0" applyNumberFormat="1" applyFont="1" applyBorder="1" applyAlignment="1">
      <alignment horizontal="left"/>
    </xf>
    <xf numFmtId="168" fontId="79" fillId="0" borderId="17" xfId="0" applyNumberFormat="1" applyFont="1" applyBorder="1" applyAlignment="1">
      <alignment horizontal="left"/>
    </xf>
    <xf numFmtId="0" fontId="27" fillId="0" borderId="7" xfId="0" applyFont="1" applyBorder="1" applyAlignment="1">
      <alignment horizontal="left" wrapText="1"/>
    </xf>
    <xf numFmtId="0" fontId="27" fillId="0" borderId="8" xfId="0" applyFont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8" borderId="38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26" fillId="0" borderId="21" xfId="0" applyFont="1" applyBorder="1" applyAlignment="1">
      <alignment horizontal="center"/>
    </xf>
    <xf numFmtId="0" fontId="15" fillId="8" borderId="3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15" fillId="8" borderId="43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4" fillId="9" borderId="35" xfId="0" applyFont="1" applyFill="1" applyBorder="1" applyAlignment="1">
      <alignment horizontal="left"/>
    </xf>
    <xf numFmtId="0" fontId="84" fillId="9" borderId="21" xfId="0" applyFont="1" applyFill="1" applyBorder="1" applyAlignment="1">
      <alignment horizontal="left"/>
    </xf>
    <xf numFmtId="0" fontId="84" fillId="9" borderId="81" xfId="0" applyFont="1" applyFill="1" applyBorder="1" applyAlignment="1">
      <alignment horizontal="left"/>
    </xf>
    <xf numFmtId="0" fontId="12" fillId="9" borderId="35" xfId="0" applyFont="1" applyFill="1" applyBorder="1" applyAlignment="1">
      <alignment horizontal="left"/>
    </xf>
    <xf numFmtId="0" fontId="12" fillId="9" borderId="21" xfId="0" applyFont="1" applyFill="1" applyBorder="1" applyAlignment="1">
      <alignment horizontal="left"/>
    </xf>
    <xf numFmtId="0" fontId="12" fillId="9" borderId="81" xfId="0" applyFont="1" applyFill="1" applyBorder="1" applyAlignment="1">
      <alignment horizontal="left"/>
    </xf>
    <xf numFmtId="0" fontId="85" fillId="0" borderId="70" xfId="4" applyFont="1" applyBorder="1" applyAlignment="1">
      <alignment horizontal="center"/>
    </xf>
    <xf numFmtId="0" fontId="85" fillId="0" borderId="62" xfId="4" applyFont="1" applyBorder="1" applyAlignment="1">
      <alignment horizontal="center"/>
    </xf>
    <xf numFmtId="0" fontId="85" fillId="0" borderId="63" xfId="4" applyFont="1" applyBorder="1" applyAlignment="1">
      <alignment horizontal="center"/>
    </xf>
    <xf numFmtId="0" fontId="12" fillId="3" borderId="35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2" fillId="3" borderId="81" xfId="0" applyFont="1" applyFill="1" applyBorder="1" applyAlignment="1">
      <alignment horizontal="left"/>
    </xf>
    <xf numFmtId="0" fontId="39" fillId="0" borderId="7" xfId="0" applyFont="1" applyBorder="1" applyAlignment="1">
      <alignment horizontal="left" wrapText="1"/>
    </xf>
    <xf numFmtId="0" fontId="39" fillId="0" borderId="8" xfId="0" applyFont="1" applyBorder="1" applyAlignment="1">
      <alignment horizontal="left" wrapText="1"/>
    </xf>
    <xf numFmtId="0" fontId="15" fillId="0" borderId="1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0" fillId="8" borderId="38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15" fillId="8" borderId="35" xfId="0" applyFont="1" applyFill="1" applyBorder="1" applyAlignment="1">
      <alignment horizontal="left"/>
    </xf>
    <xf numFmtId="0" fontId="15" fillId="8" borderId="21" xfId="0" applyFont="1" applyFill="1" applyBorder="1" applyAlignment="1">
      <alignment horizontal="left"/>
    </xf>
    <xf numFmtId="0" fontId="15" fillId="8" borderId="22" xfId="0" applyFont="1" applyFill="1" applyBorder="1" applyAlignment="1">
      <alignment horizontal="left"/>
    </xf>
    <xf numFmtId="168" fontId="0" fillId="0" borderId="3" xfId="0" applyNumberFormat="1" applyBorder="1" applyAlignment="1">
      <alignment horizontal="left"/>
    </xf>
    <xf numFmtId="168" fontId="0" fillId="0" borderId="17" xfId="0" applyNumberFormat="1" applyBorder="1" applyAlignment="1">
      <alignment horizontal="left"/>
    </xf>
    <xf numFmtId="0" fontId="0" fillId="8" borderId="49" xfId="0" applyFill="1" applyBorder="1" applyAlignment="1">
      <alignment horizontal="left"/>
    </xf>
    <xf numFmtId="0" fontId="23" fillId="0" borderId="70" xfId="4" applyFont="1" applyBorder="1" applyAlignment="1">
      <alignment horizontal="center"/>
    </xf>
    <xf numFmtId="0" fontId="23" fillId="0" borderId="62" xfId="4" applyFont="1" applyBorder="1" applyAlignment="1">
      <alignment horizontal="center"/>
    </xf>
    <xf numFmtId="0" fontId="23" fillId="0" borderId="63" xfId="4" applyFont="1" applyBorder="1" applyAlignment="1">
      <alignment horizontal="center"/>
    </xf>
    <xf numFmtId="182" fontId="103" fillId="0" borderId="0" xfId="8" applyNumberFormat="1" applyFont="1" applyBorder="1" applyAlignment="1">
      <alignment horizontal="center"/>
    </xf>
    <xf numFmtId="0" fontId="1" fillId="0" borderId="0" xfId="7" applyAlignment="1">
      <alignment horizontal="center"/>
    </xf>
    <xf numFmtId="0" fontId="0" fillId="0" borderId="40" xfId="0" applyBorder="1" applyAlignment="1">
      <alignment horizontal="center"/>
    </xf>
    <xf numFmtId="0" fontId="1" fillId="0" borderId="3" xfId="7" applyFont="1" applyBorder="1" applyAlignment="1">
      <alignment horizontal="left"/>
    </xf>
    <xf numFmtId="0" fontId="1" fillId="0" borderId="17" xfId="7" applyBorder="1" applyAlignment="1">
      <alignment horizontal="left"/>
    </xf>
    <xf numFmtId="0" fontId="1" fillId="0" borderId="43" xfId="7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59" fillId="0" borderId="0" xfId="0" applyFont="1" applyBorder="1" applyAlignment="1">
      <alignment horizontal="center" wrapText="1"/>
    </xf>
    <xf numFmtId="0" fontId="23" fillId="0" borderId="92" xfId="4" applyFont="1" applyBorder="1" applyAlignment="1">
      <alignment horizontal="center"/>
    </xf>
    <xf numFmtId="0" fontId="23" fillId="0" borderId="93" xfId="4" applyFont="1" applyBorder="1" applyAlignment="1">
      <alignment horizontal="center"/>
    </xf>
    <xf numFmtId="0" fontId="23" fillId="0" borderId="94" xfId="4" applyFont="1" applyBorder="1" applyAlignment="1">
      <alignment horizontal="center"/>
    </xf>
    <xf numFmtId="0" fontId="23" fillId="0" borderId="35" xfId="4" applyFont="1" applyBorder="1" applyAlignment="1">
      <alignment horizontal="center"/>
    </xf>
    <xf numFmtId="0" fontId="23" fillId="0" borderId="21" xfId="4" applyFont="1" applyBorder="1" applyAlignment="1">
      <alignment horizontal="center"/>
    </xf>
    <xf numFmtId="0" fontId="23" fillId="0" borderId="95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79" fillId="0" borderId="17" xfId="0" applyFont="1" applyBorder="1" applyAlignment="1">
      <alignment horizontal="left"/>
    </xf>
    <xf numFmtId="0" fontId="78" fillId="3" borderId="35" xfId="0" applyFont="1" applyFill="1" applyBorder="1" applyAlignment="1">
      <alignment horizontal="left"/>
    </xf>
    <xf numFmtId="0" fontId="78" fillId="3" borderId="21" xfId="0" applyFont="1" applyFill="1" applyBorder="1" applyAlignment="1">
      <alignment horizontal="left"/>
    </xf>
    <xf numFmtId="0" fontId="78" fillId="3" borderId="81" xfId="0" applyFont="1" applyFill="1" applyBorder="1" applyAlignment="1">
      <alignment horizontal="left"/>
    </xf>
    <xf numFmtId="4" fontId="65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right"/>
    </xf>
    <xf numFmtId="1" fontId="51" fillId="0" borderId="1" xfId="0" applyNumberFormat="1" applyFont="1" applyFill="1" applyBorder="1"/>
    <xf numFmtId="0" fontId="35" fillId="0" borderId="49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35" fillId="0" borderId="50" xfId="0" applyFont="1" applyBorder="1" applyAlignment="1">
      <alignment horizontal="left"/>
    </xf>
  </cellXfs>
  <cellStyles count="11">
    <cellStyle name="Čárka" xfId="10" builtinId="3"/>
    <cellStyle name="Měna" xfId="1" builtinId="4"/>
    <cellStyle name="měny 2" xfId="2"/>
    <cellStyle name="Název 2" xfId="6"/>
    <cellStyle name="Normální" xfId="0" builtinId="0"/>
    <cellStyle name="normální 2" xfId="3"/>
    <cellStyle name="normální 2 2" xfId="8"/>
    <cellStyle name="Normální 3" xfId="7"/>
    <cellStyle name="Normální 4" xfId="9"/>
    <cellStyle name="normální_POL.XLS" xfId="4"/>
    <cellStyle name="Procenta" xfId="5" builtinId="5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2225" name="obrázek 60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2226" name="obrázek 60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4273" name="obrázek 60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90113" name="obrázek 60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90114" name="Object 2" hidden="1">
              <a:extLst>
                <a:ext uri="{63B3BB69-23CF-44E3-9099-C40C66FF867C}">
                  <a14:compatExt spid="_x0000_s90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7345" name="obrázek 60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520065</xdr:colOff>
      <xdr:row>84</xdr:row>
      <xdr:rowOff>0</xdr:rowOff>
    </xdr:from>
    <xdr:ext cx="186676" cy="262842"/>
    <xdr:sp macro="" textlink="">
      <xdr:nvSpPr>
        <xdr:cNvPr id="3" name="TextovéPole 2"/>
        <xdr:cNvSpPr txBox="1"/>
      </xdr:nvSpPr>
      <xdr:spPr>
        <a:xfrm>
          <a:off x="11210925" y="11894820"/>
          <a:ext cx="186676" cy="262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9393" name="obrázek 60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62465" name="obrázek 60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65537" name="obrázek 60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69633" name="obrázek 60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76200</xdr:rowOff>
        </xdr:from>
        <xdr:to>
          <xdr:col>2</xdr:col>
          <xdr:colOff>114300</xdr:colOff>
          <xdr:row>1</xdr:row>
          <xdr:rowOff>66675</xdr:rowOff>
        </xdr:to>
        <xdr:sp macro="" textlink="">
          <xdr:nvSpPr>
            <xdr:cNvPr id="69634" name="Object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ac13\rozpo&#269;ty%2013\r&#367;zn&#233;%2013\1312%20Scodi&#353;t&#283;%20M&#352;%20M.Hor&#225;kov&#233;%20Svitavy%20Dole&#382;al\1312%20SO%2006%20&#218;NIKOV&#193;%20CESTA%20OBJEKTU%20B%20,%20M&#352;%20MILADY%20HOR&#193;KOV&#201;%2027,%20SVITAVY%20%20-%20Rozpo&#269;et130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prac10\rozpo&#269;ty10\STING10\1005%20Sb&#283;rn&#253;Dv&#367;r%20Bernartice%20STINGG\RpP\1005%20Sb&#283;rn&#253;Dv&#367;rBernartice%20Rozpo&#269;et10022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ac16\rozpo&#269;ty%2016\Callida%2015\Callida%20tabulky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Položky"/>
    </sheetNames>
    <sheetDataSet>
      <sheetData sheetId="0" refreshError="1"/>
      <sheetData sheetId="1" refreshError="1"/>
      <sheetData sheetId="2">
        <row r="7">
          <cell r="J7">
            <v>7143.8429999999998</v>
          </cell>
        </row>
        <row r="8">
          <cell r="J8">
            <v>415.84</v>
          </cell>
        </row>
        <row r="10">
          <cell r="J10">
            <v>164.25</v>
          </cell>
        </row>
        <row r="12">
          <cell r="J12">
            <v>1778.1759999999999</v>
          </cell>
        </row>
        <row r="14">
          <cell r="J14">
            <v>469.8768</v>
          </cell>
        </row>
        <row r="16">
          <cell r="J16">
            <v>257.84119999999996</v>
          </cell>
        </row>
        <row r="18">
          <cell r="J18">
            <v>517.16</v>
          </cell>
        </row>
        <row r="20">
          <cell r="J20">
            <v>967.82799999999997</v>
          </cell>
        </row>
        <row r="22">
          <cell r="J22">
            <v>386.02299999999997</v>
          </cell>
        </row>
        <row r="24">
          <cell r="J24">
            <v>2186.848</v>
          </cell>
        </row>
        <row r="27">
          <cell r="J27">
            <v>8288.848040369985</v>
          </cell>
        </row>
        <row r="28">
          <cell r="J28">
            <v>7408.4977840499851</v>
          </cell>
        </row>
        <row r="30">
          <cell r="J30">
            <v>66.60025632</v>
          </cell>
        </row>
        <row r="32">
          <cell r="J32">
            <v>813.75</v>
          </cell>
        </row>
        <row r="35">
          <cell r="J35">
            <v>4783.1482542399999</v>
          </cell>
        </row>
        <row r="36">
          <cell r="J36">
            <v>1221.8509728000001</v>
          </cell>
        </row>
        <row r="38">
          <cell r="J38">
            <v>2945.3287540095998</v>
          </cell>
        </row>
        <row r="40">
          <cell r="J40">
            <v>615.96852743040017</v>
          </cell>
        </row>
        <row r="43">
          <cell r="J43">
            <v>3074.2979298385917</v>
          </cell>
        </row>
        <row r="44">
          <cell r="J44">
            <v>971.90735039999981</v>
          </cell>
        </row>
        <row r="46">
          <cell r="J46">
            <v>509.04</v>
          </cell>
        </row>
        <row r="48">
          <cell r="J48">
            <v>418.48525524479987</v>
          </cell>
        </row>
        <row r="50">
          <cell r="J50">
            <v>631.10111120179204</v>
          </cell>
        </row>
        <row r="52">
          <cell r="J52">
            <v>543.76421299200001</v>
          </cell>
        </row>
        <row r="55">
          <cell r="J55">
            <v>10839.926064971723</v>
          </cell>
        </row>
        <row r="56">
          <cell r="J56">
            <v>570.91596644413448</v>
          </cell>
        </row>
        <row r="57">
          <cell r="J57">
            <v>304.70612390399998</v>
          </cell>
        </row>
        <row r="59">
          <cell r="J59">
            <v>1559.5200000000004</v>
          </cell>
        </row>
        <row r="60">
          <cell r="J60">
            <v>675.03871449907206</v>
          </cell>
        </row>
        <row r="61">
          <cell r="J61">
            <v>7729.7452601245168</v>
          </cell>
        </row>
        <row r="63">
          <cell r="J63">
            <v>147291.35</v>
          </cell>
        </row>
        <row r="64">
          <cell r="J64">
            <v>100015.2</v>
          </cell>
        </row>
        <row r="66">
          <cell r="J66">
            <v>15936.48</v>
          </cell>
        </row>
        <row r="68">
          <cell r="J68">
            <v>12058.070000000003</v>
          </cell>
        </row>
        <row r="70">
          <cell r="J70">
            <v>19281.600000000002</v>
          </cell>
        </row>
        <row r="73">
          <cell r="J73">
            <v>6349.7494651297111</v>
          </cell>
        </row>
        <row r="74">
          <cell r="J74">
            <v>4535.5353322355077</v>
          </cell>
        </row>
        <row r="75">
          <cell r="J75">
            <v>1814.214132894203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diny16"/>
      <sheetName val="Výrobci"/>
      <sheetName val="ceny zámeč výr"/>
      <sheetName val="Klempířina"/>
      <sheetName val="pozn různé ZTRATNÉ"/>
      <sheetName val="1636"/>
      <sheetName val="1635 výpočet výměr"/>
      <sheetName val="1635"/>
      <sheetName val="1633"/>
      <sheetName val="1631"/>
      <sheetName val="1630"/>
      <sheetName val="1629"/>
      <sheetName val="1628"/>
      <sheetName val="1623"/>
      <sheetName val="1621"/>
      <sheetName val="1618 výpočty"/>
      <sheetName val="1618"/>
      <sheetName val="1612"/>
      <sheetName val="1604 "/>
      <sheetName val="1604"/>
      <sheetName val="1603"/>
      <sheetName val="1602"/>
      <sheetName val="Lofty Holešovice položky"/>
      <sheetName val="1558"/>
      <sheetName val="1550"/>
      <sheetName val="1543"/>
      <sheetName val="529"/>
      <sheetName val="548"/>
      <sheetName val="1539"/>
      <sheetName val="1545"/>
      <sheetName val="1599_02"/>
      <sheetName val="537"/>
      <sheetName val="528"/>
      <sheetName val="524"/>
      <sheetName val="523"/>
      <sheetName val="519"/>
      <sheetName val="1515"/>
      <sheetName val="1515 výpočty"/>
      <sheetName val="514"/>
      <sheetName val="511kanal"/>
      <sheetName val="511voda"/>
      <sheetName val="List1"/>
      <sheetName val="509"/>
      <sheetName val="508"/>
      <sheetName val="505 otvory"/>
      <sheetName val="505"/>
      <sheetName val="504"/>
      <sheetName val="503"/>
      <sheetName val="501"/>
      <sheetName val="451"/>
      <sheetName val="vzory12-13-14-16"/>
      <sheetName val="Černohous Propočty"/>
      <sheetName val="ARA propočet"/>
      <sheetName val="DPHvíceobjektů"/>
      <sheetName val="Rezerva"/>
      <sheetName val="DPH"/>
      <sheetName val="Firmy-prospekty"/>
      <sheetName val="ceny oken"/>
      <sheetName val="Kpt.5 výrob. pro silniční stav."/>
      <sheetName val="kontakty"/>
      <sheetName val="DotazyKubela"/>
      <sheetName val="EUROCALC"/>
      <sheetName val="CenovéNabídky"/>
      <sheetName val="Referenční rozpočty"/>
      <sheetName val="CenovéNabídky RivieraAB"/>
      <sheetName val="VzorRekapSuť"/>
      <sheetName val="VzorPoložkRozpSuť"/>
      <sheetName val="VzorRekap"/>
      <sheetName val="VzorPoložkRozp"/>
      <sheetName val="Kryci list VZOR"/>
      <sheetName val="VZOR E3 Kryci list"/>
      <sheetName val="VZOR Kryci list NOVÝ"/>
      <sheetName val="VZOR E3 Rekapitulace"/>
      <sheetName val="VZOR E3 Položky"/>
      <sheetName val="dopisHenzel"/>
      <sheetName val="dopisABC"/>
      <sheetName val="OBJ01_F01-1PP"/>
      <sheetName val="1504 tabDVEŘE"/>
      <sheetName val="1504 tabOSTAT"/>
      <sheetName val="1504tab OKNA"/>
      <sheetName val="1504 tab ZÁMEČ"/>
      <sheetName val="1504 tab KL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drawing" Target="../drawings/drawing3.xml"/><Relationship Id="rId7" Type="http://schemas.openxmlformats.org/officeDocument/2006/relationships/oleObject" Target="../embeddings/oleObject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drawing" Target="../drawings/drawing4.xml"/><Relationship Id="rId7" Type="http://schemas.openxmlformats.org/officeDocument/2006/relationships/oleObject" Target="../embeddings/oleObject8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7.bin"/><Relationship Id="rId4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drawing" Target="../drawings/drawing6.xml"/><Relationship Id="rId7" Type="http://schemas.openxmlformats.org/officeDocument/2006/relationships/oleObject" Target="../embeddings/oleObject10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9.bin"/><Relationship Id="rId4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1.xml"/><Relationship Id="rId3" Type="http://schemas.openxmlformats.org/officeDocument/2006/relationships/drawing" Target="../drawings/drawing7.xml"/><Relationship Id="rId7" Type="http://schemas.openxmlformats.org/officeDocument/2006/relationships/oleObject" Target="../embeddings/oleObject12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1.bin"/><Relationship Id="rId4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3.xml"/><Relationship Id="rId3" Type="http://schemas.openxmlformats.org/officeDocument/2006/relationships/drawing" Target="../drawings/drawing8.xml"/><Relationship Id="rId7" Type="http://schemas.openxmlformats.org/officeDocument/2006/relationships/oleObject" Target="../embeddings/oleObject14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3.bin"/><Relationship Id="rId4" Type="http://schemas.openxmlformats.org/officeDocument/2006/relationships/vmlDrawing" Target="../drawings/vmlDrawing13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1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15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6.xml"/><Relationship Id="rId3" Type="http://schemas.openxmlformats.org/officeDocument/2006/relationships/drawing" Target="../drawings/drawing9.xml"/><Relationship Id="rId7" Type="http://schemas.openxmlformats.org/officeDocument/2006/relationships/oleObject" Target="../embeddings/oleObject16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5.bin"/><Relationship Id="rId4" Type="http://schemas.openxmlformats.org/officeDocument/2006/relationships/vmlDrawing" Target="../drawings/vmlDrawing16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BG39"/>
  <sheetViews>
    <sheetView tabSelected="1" view="pageBreakPreview" zoomScale="160" zoomScaleNormal="100" zoomScaleSheetLayoutView="160" workbookViewId="0">
      <selection activeCell="C28" sqref="C28:D28"/>
    </sheetView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6.5703125" customWidth="1"/>
    <col min="6" max="6" width="3.140625" customWidth="1"/>
    <col min="7" max="7" width="20.85546875" customWidth="1"/>
    <col min="8" max="8" width="16.7109375" customWidth="1"/>
    <col min="9" max="9" width="3.710937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199" t="s">
        <v>992</v>
      </c>
      <c r="D4" s="1200"/>
      <c r="E4" s="1200"/>
      <c r="F4" s="1200"/>
      <c r="G4" s="1201"/>
      <c r="H4" s="938" t="s">
        <v>621</v>
      </c>
      <c r="I4" s="84"/>
    </row>
    <row r="5" spans="1:59" ht="21" customHeight="1" x14ac:dyDescent="0.2">
      <c r="A5" s="85"/>
      <c r="B5" s="86"/>
      <c r="C5" s="1199" t="s">
        <v>993</v>
      </c>
      <c r="D5" s="1200"/>
      <c r="E5" s="1200"/>
      <c r="F5" s="1200"/>
      <c r="G5" s="1201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199" t="s">
        <v>618</v>
      </c>
      <c r="D7" s="1200"/>
      <c r="E7" s="1200"/>
      <c r="F7" s="1200"/>
      <c r="G7" s="1201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2" t="s">
        <v>92</v>
      </c>
      <c r="D9" s="1203"/>
      <c r="E9" s="1203"/>
      <c r="F9" s="1203"/>
      <c r="G9" s="1204"/>
      <c r="H9" s="94" t="s">
        <v>93</v>
      </c>
      <c r="I9" s="88"/>
    </row>
    <row r="10" spans="1:59" x14ac:dyDescent="0.2">
      <c r="A10" s="89" t="s">
        <v>619</v>
      </c>
      <c r="B10" s="91"/>
      <c r="C10" s="1156" t="s">
        <v>620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156" t="s">
        <v>1052</v>
      </c>
      <c r="D11" s="1156"/>
      <c r="E11" s="1156"/>
      <c r="F11" s="100"/>
      <c r="G11" s="92" t="s">
        <v>96</v>
      </c>
      <c r="H11" s="91"/>
      <c r="I11" s="101">
        <f>IF(PocetMJ=0,,ROUND((#REF!+#REF!)/PocetMJ,1))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939" t="s">
        <v>100</v>
      </c>
      <c r="H13" s="1190"/>
      <c r="I13" s="1191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193"/>
      <c r="H14" s="1194"/>
      <c r="I14" s="1195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'SO01 rekap'!E19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'SO01 rekap'!F19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292" t="str">
        <f>'SO01 rekap'!E29</f>
        <v>--------------</v>
      </c>
      <c r="I18" s="104" t="str">
        <f t="shared" ref="I18:I33" si="1">IF(H18&gt;0,"Kč","")</f>
        <v>Kč</v>
      </c>
    </row>
    <row r="19" spans="1:13" ht="15.95" customHeight="1" x14ac:dyDescent="0.2">
      <c r="A19" s="110" t="s">
        <v>110</v>
      </c>
      <c r="B19" s="111" t="s">
        <v>111</v>
      </c>
      <c r="C19" s="111"/>
      <c r="D19" s="118" t="str">
        <f>'SO01 rekap'!G19</f>
        <v>--------------</v>
      </c>
      <c r="E19" s="104" t="str">
        <f t="shared" si="0"/>
        <v>Kč</v>
      </c>
      <c r="F19" s="119" t="s">
        <v>112</v>
      </c>
      <c r="G19" s="120"/>
      <c r="H19" s="349" t="str">
        <f>'SO01 rekap'!F29</f>
        <v>--------------</v>
      </c>
      <c r="I19" s="104" t="str">
        <f t="shared" si="1"/>
        <v>Kč</v>
      </c>
    </row>
    <row r="20" spans="1:13" ht="15.95" customHeight="1" x14ac:dyDescent="0.2">
      <c r="A20" s="121" t="s">
        <v>113</v>
      </c>
      <c r="B20" s="111" t="s">
        <v>114</v>
      </c>
      <c r="C20" s="111"/>
      <c r="D20" s="118" t="str">
        <f>'SO01 rekap'!H19</f>
        <v>--------------</v>
      </c>
      <c r="E20" s="104" t="str">
        <f t="shared" si="0"/>
        <v>Kč</v>
      </c>
      <c r="F20" s="119" t="s">
        <v>115</v>
      </c>
      <c r="G20" s="120"/>
      <c r="H20" s="349" t="str">
        <f>'SO01 rekap'!G29</f>
        <v>--------------</v>
      </c>
      <c r="I20" s="104" t="str">
        <f t="shared" si="1"/>
        <v>Kč</v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350" t="str">
        <f t="shared" si="0"/>
        <v/>
      </c>
      <c r="F21" s="119"/>
      <c r="G21" s="351" t="s">
        <v>117</v>
      </c>
      <c r="H21" s="505">
        <f>SUM(H18:H20)</f>
        <v>0</v>
      </c>
      <c r="I21" s="350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349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118" t="str">
        <f>'SO01 rekap'!I19</f>
        <v>--------------</v>
      </c>
      <c r="E23" s="104" t="str">
        <f t="shared" si="0"/>
        <v>Kč</v>
      </c>
      <c r="F23" s="119" t="s">
        <v>119</v>
      </c>
      <c r="G23" s="125"/>
      <c r="H23" s="292" t="str">
        <f>'SO01 rekap'!E36</f>
        <v>--------------</v>
      </c>
      <c r="I23" s="104" t="str">
        <f t="shared" si="1"/>
        <v>Kč</v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349" t="str">
        <f>'SO01 rekap'!F36</f>
        <v>--------------</v>
      </c>
      <c r="I24" s="104" t="str">
        <f t="shared" si="1"/>
        <v>Kč</v>
      </c>
    </row>
    <row r="25" spans="1:13" ht="15.95" customHeight="1" thickBot="1" x14ac:dyDescent="0.3">
      <c r="A25" s="352" t="s">
        <v>121</v>
      </c>
      <c r="B25" s="353"/>
      <c r="C25" s="353"/>
      <c r="D25" s="354">
        <f>SUM(D21:D24)</f>
        <v>0</v>
      </c>
      <c r="E25" s="355" t="str">
        <f t="shared" si="0"/>
        <v/>
      </c>
      <c r="F25" s="119" t="s">
        <v>122</v>
      </c>
      <c r="G25" s="125"/>
      <c r="H25" s="292" t="str">
        <f>'SO01 rekap'!G36</f>
        <v>--------------</v>
      </c>
      <c r="I25" s="104" t="str">
        <f t="shared" si="1"/>
        <v>Kč</v>
      </c>
    </row>
    <row r="26" spans="1:13" x14ac:dyDescent="0.2">
      <c r="A26" s="130" t="s">
        <v>123</v>
      </c>
      <c r="B26" s="131"/>
      <c r="C26" s="1181" t="s">
        <v>101</v>
      </c>
      <c r="D26" s="1182"/>
      <c r="E26" s="1183"/>
      <c r="F26" s="119" t="s">
        <v>124</v>
      </c>
      <c r="G26" s="125"/>
      <c r="H26" s="349">
        <f>'SO01 rekap'!H36</f>
        <v>150000</v>
      </c>
      <c r="I26" s="104" t="str">
        <f t="shared" si="1"/>
        <v>Kč</v>
      </c>
    </row>
    <row r="27" spans="1:13" ht="36" customHeight="1" x14ac:dyDescent="0.2">
      <c r="A27" s="132" t="s">
        <v>125</v>
      </c>
      <c r="B27" s="133"/>
      <c r="C27" s="1153" t="s">
        <v>1522</v>
      </c>
      <c r="D27" s="1154"/>
      <c r="E27" s="1155"/>
      <c r="F27" s="119" t="s">
        <v>126</v>
      </c>
      <c r="G27" s="125"/>
      <c r="H27" s="349" t="str">
        <f>'SO01 rekap'!I36</f>
        <v>--------------</v>
      </c>
      <c r="I27" s="104" t="str">
        <f t="shared" si="1"/>
        <v>Kč</v>
      </c>
    </row>
    <row r="28" spans="1:13" ht="15.75" thickBot="1" x14ac:dyDescent="0.3">
      <c r="A28" s="132" t="s">
        <v>127</v>
      </c>
      <c r="B28" s="134"/>
      <c r="C28" s="1184">
        <v>42635</v>
      </c>
      <c r="D28" s="1185"/>
      <c r="E28" s="135"/>
      <c r="F28" s="119"/>
      <c r="G28" s="356" t="s">
        <v>128</v>
      </c>
      <c r="H28" s="506">
        <f>SUM(H23:H27)</f>
        <v>150000</v>
      </c>
      <c r="I28" s="355" t="str">
        <f t="shared" si="1"/>
        <v>Kč</v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186" t="s">
        <v>130</v>
      </c>
      <c r="G29" s="1187"/>
      <c r="H29" s="507">
        <f>H21+H28</f>
        <v>150000</v>
      </c>
      <c r="I29" s="355" t="str">
        <f t="shared" si="1"/>
        <v>Kč</v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>
        <f>H29</f>
        <v>150000</v>
      </c>
      <c r="I31" s="104" t="str">
        <f t="shared" si="1"/>
        <v>Kč</v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359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360" t="s">
        <v>133</v>
      </c>
      <c r="G33" s="145"/>
      <c r="H33" s="508">
        <f>SUM(H30:H32)</f>
        <v>150000</v>
      </c>
      <c r="I33" s="361" t="str">
        <f t="shared" si="1"/>
        <v>Kč</v>
      </c>
    </row>
    <row r="34" spans="1:9" x14ac:dyDescent="0.2">
      <c r="A34" s="130" t="s">
        <v>134</v>
      </c>
      <c r="B34" s="131"/>
      <c r="C34" s="1166"/>
      <c r="D34" s="1167"/>
      <c r="E34" s="1168"/>
      <c r="F34" s="114">
        <v>0</v>
      </c>
      <c r="G34" s="32" t="s">
        <v>135</v>
      </c>
      <c r="H34" s="357"/>
      <c r="I34" s="113"/>
    </row>
    <row r="35" spans="1:9" x14ac:dyDescent="0.2">
      <c r="A35" s="132" t="s">
        <v>125</v>
      </c>
      <c r="B35" s="133"/>
      <c r="C35" s="1169"/>
      <c r="D35" s="1170"/>
      <c r="E35" s="1171"/>
      <c r="F35" s="102">
        <v>15</v>
      </c>
      <c r="G35" s="37" t="s">
        <v>135</v>
      </c>
      <c r="H35" s="358"/>
      <c r="I35" s="104"/>
    </row>
    <row r="36" spans="1:9" ht="13.5" thickBot="1" x14ac:dyDescent="0.25">
      <c r="A36" s="132" t="s">
        <v>127</v>
      </c>
      <c r="B36" s="134"/>
      <c r="C36" s="1175"/>
      <c r="D36" s="1176"/>
      <c r="E36" s="1177"/>
      <c r="F36" s="138">
        <v>21</v>
      </c>
      <c r="G36" s="140" t="s">
        <v>135</v>
      </c>
      <c r="H36" s="298">
        <f>ROUND(H33*F36/100,0)</f>
        <v>31500</v>
      </c>
      <c r="I36" s="141" t="str">
        <f>IF(H36&gt;0,"Kč","")</f>
        <v>Kč</v>
      </c>
    </row>
    <row r="37" spans="1:9" ht="30" customHeight="1" thickBot="1" x14ac:dyDescent="0.3">
      <c r="A37" s="142" t="s">
        <v>129</v>
      </c>
      <c r="B37" s="143"/>
      <c r="C37" s="1172"/>
      <c r="D37" s="1173"/>
      <c r="E37" s="1174"/>
      <c r="F37" s="360" t="s">
        <v>136</v>
      </c>
      <c r="G37" s="145"/>
      <c r="H37" s="508">
        <f>H33+H36</f>
        <v>181500</v>
      </c>
      <c r="I37" s="361" t="str">
        <f>IF(H37&gt;0,"Kč","")</f>
        <v>Kč</v>
      </c>
    </row>
    <row r="38" spans="1:9" ht="13.5" thickBot="1" x14ac:dyDescent="0.25">
      <c r="A38" s="54" t="s">
        <v>137</v>
      </c>
      <c r="B38" s="29"/>
      <c r="C38" s="1150"/>
      <c r="D38" s="1151"/>
      <c r="E38" s="1151"/>
      <c r="F38" s="1151"/>
      <c r="G38" s="1151"/>
      <c r="H38" s="1151"/>
      <c r="I38" s="1152"/>
    </row>
    <row r="39" spans="1:9" ht="73.5" customHeight="1" thickBot="1" x14ac:dyDescent="0.25">
      <c r="A39" s="1147" t="s">
        <v>1053</v>
      </c>
      <c r="B39" s="1148"/>
      <c r="C39" s="1148"/>
      <c r="D39" s="1148"/>
      <c r="E39" s="1148"/>
      <c r="F39" s="1148"/>
      <c r="G39" s="1148"/>
      <c r="H39" s="1148"/>
      <c r="I39" s="1149"/>
    </row>
  </sheetData>
  <protectedRanges>
    <protectedRange sqref="H13:I13 G14:I14" name="Oblast2"/>
    <protectedRange sqref="C34:E37" name="Oblast2_1"/>
    <protectedRange sqref="C38:I38" name="Oblast2_2"/>
  </protectedRanges>
  <customSheetViews>
    <customSheetView guid="{30B10D60-758F-4E0B-9F03-5879C6CAFDF6}" scale="160" showPageBreaks="1" view="pageBreakPreview"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1">
    <mergeCell ref="C4:G4"/>
    <mergeCell ref="C5:G5"/>
    <mergeCell ref="C7:G7"/>
    <mergeCell ref="C9:G9"/>
    <mergeCell ref="C10:E10"/>
    <mergeCell ref="H13:I13"/>
    <mergeCell ref="B14:E14"/>
    <mergeCell ref="G14:I14"/>
    <mergeCell ref="A16:E16"/>
    <mergeCell ref="F16:I16"/>
    <mergeCell ref="C28:D28"/>
    <mergeCell ref="C29:E29"/>
    <mergeCell ref="F29:G29"/>
    <mergeCell ref="C12:E12"/>
    <mergeCell ref="D13:E13"/>
    <mergeCell ref="H5:I5"/>
    <mergeCell ref="H6:I6"/>
    <mergeCell ref="H7:I7"/>
    <mergeCell ref="A39:I39"/>
    <mergeCell ref="C38:I38"/>
    <mergeCell ref="C27:E27"/>
    <mergeCell ref="C11:E11"/>
    <mergeCell ref="C31:E31"/>
    <mergeCell ref="C32:E32"/>
    <mergeCell ref="C33:E33"/>
    <mergeCell ref="C34:E34"/>
    <mergeCell ref="C35:E35"/>
    <mergeCell ref="C37:E37"/>
    <mergeCell ref="C36:E36"/>
    <mergeCell ref="C30:E30"/>
    <mergeCell ref="C26:E26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52225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2225" r:id="rId5"/>
      </mc:Fallback>
    </mc:AlternateContent>
    <mc:AlternateContent xmlns:mc="http://schemas.openxmlformats.org/markup-compatibility/2006">
      <mc:Choice Requires="x14">
        <oleObject progId="Word.Picture.6" shapeId="52226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222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J59"/>
  <sheetViews>
    <sheetView view="pageBreakPreview" zoomScale="160" zoomScaleNormal="100" zoomScaleSheetLayoutView="160" workbookViewId="0">
      <selection activeCell="M16" sqref="M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2.140625" customWidth="1"/>
    <col min="5" max="9" width="12.7109375" customWidth="1"/>
    <col min="11" max="11" width="9.42578125" bestFit="1" customWidth="1"/>
    <col min="12" max="51" width="0" hidden="1" customWidth="1"/>
  </cols>
  <sheetData>
    <row r="1" spans="1:56" s="11" customFormat="1" ht="16.5" customHeight="1" thickTop="1" thickBot="1" x14ac:dyDescent="0.3">
      <c r="A1" s="273" t="s">
        <v>49</v>
      </c>
      <c r="B1" s="274"/>
      <c r="C1" s="1205" t="str">
        <f>'SO01 Krycí list'!C4</f>
        <v>Rekonstrukce oddělení ortopedie</v>
      </c>
      <c r="D1" s="1206"/>
      <c r="E1" s="1206"/>
      <c r="F1" s="1206"/>
      <c r="G1" s="1206"/>
      <c r="H1" s="1206"/>
      <c r="I1" s="1207"/>
    </row>
    <row r="2" spans="1:56" s="11" customFormat="1" ht="16.5" customHeight="1" thickTop="1" x14ac:dyDescent="0.25">
      <c r="A2" s="334"/>
      <c r="B2" s="335"/>
      <c r="C2" s="1205" t="str">
        <f>'SO01 Krycí list'!C5</f>
        <v>v pavilonu "B" nemocnice Šumperk</v>
      </c>
      <c r="D2" s="1206"/>
      <c r="E2" s="1206"/>
      <c r="F2" s="1206"/>
      <c r="G2" s="1206"/>
      <c r="H2" s="1206"/>
      <c r="I2" s="1207"/>
    </row>
    <row r="3" spans="1:56" ht="12.75" customHeight="1" x14ac:dyDescent="0.2">
      <c r="A3" s="275" t="s">
        <v>50</v>
      </c>
      <c r="B3" s="276"/>
      <c r="C3" s="282" t="str">
        <f>'SO01 Krycí list'!C7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6" ht="13.5" customHeight="1" thickBot="1" x14ac:dyDescent="0.25">
      <c r="A4" s="277" t="s">
        <v>53</v>
      </c>
      <c r="B4" s="278"/>
      <c r="C4" s="285" t="str">
        <f>'SO01 Krycí list'!C9</f>
        <v>SOUHRNNÝ ROZPOČET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6" ht="13.5" thickTop="1" x14ac:dyDescent="0.2">
      <c r="A5" s="339"/>
      <c r="B5" s="339"/>
      <c r="C5" s="340"/>
      <c r="D5" s="340"/>
      <c r="E5" s="340"/>
      <c r="F5" s="340"/>
      <c r="G5" s="340"/>
      <c r="H5" s="341"/>
      <c r="I5" s="341"/>
    </row>
    <row r="6" spans="1:56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D6" s="22"/>
    </row>
    <row r="7" spans="1:56" ht="13.5" thickBot="1" x14ac:dyDescent="0.25">
      <c r="BD7" s="22"/>
    </row>
    <row r="8" spans="1:56" s="29" customFormat="1" ht="17.2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K8" s="1090" t="s">
        <v>1520</v>
      </c>
      <c r="BD8" s="30"/>
    </row>
    <row r="9" spans="1:56" s="29" customFormat="1" x14ac:dyDescent="0.2">
      <c r="A9" s="342" t="s">
        <v>62</v>
      </c>
      <c r="B9" s="31" t="s">
        <v>322</v>
      </c>
      <c r="C9" s="32"/>
      <c r="D9" s="343"/>
      <c r="E9" s="33" t="str">
        <f>'01rek'!E25</f>
        <v>--------------</v>
      </c>
      <c r="F9" s="33" t="str">
        <f>'01rek'!F25</f>
        <v>--------------</v>
      </c>
      <c r="G9" s="33" t="str">
        <f>'01rek'!G25</f>
        <v>--------------</v>
      </c>
      <c r="H9" s="33" t="str">
        <f>'01rek'!H25</f>
        <v>--------------</v>
      </c>
      <c r="I9" s="35" t="str">
        <f>'01rek'!I25</f>
        <v>--------------</v>
      </c>
      <c r="K9" s="1091">
        <f>SUM(E9:J9)</f>
        <v>0</v>
      </c>
      <c r="BD9" s="30"/>
    </row>
    <row r="10" spans="1:56" s="29" customFormat="1" x14ac:dyDescent="0.2">
      <c r="A10" s="344" t="s">
        <v>64</v>
      </c>
      <c r="B10" s="36" t="s">
        <v>323</v>
      </c>
      <c r="C10" s="37"/>
      <c r="D10" s="345"/>
      <c r="E10" s="34" t="str">
        <f>'02 VYTÁPĚNÍ rek'!E23</f>
        <v>--------------</v>
      </c>
      <c r="F10" s="34" t="str">
        <f>'02 VYTÁPĚNÍ rek'!F23</f>
        <v>--------------</v>
      </c>
      <c r="G10" s="34" t="str">
        <f>'02 VYTÁPĚNÍ rek'!G23</f>
        <v>--------------</v>
      </c>
      <c r="H10" s="34" t="str">
        <f>'02 VYTÁPĚNÍ rek'!H23</f>
        <v>--------------</v>
      </c>
      <c r="I10" s="34" t="str">
        <f>'02 VYTÁPĚNÍ rek'!I23</f>
        <v>--------------</v>
      </c>
      <c r="K10" s="1091">
        <f t="shared" ref="K10:K18" si="0">SUM(E10:J10)</f>
        <v>0</v>
      </c>
      <c r="BD10" s="30"/>
    </row>
    <row r="11" spans="1:56" s="29" customFormat="1" x14ac:dyDescent="0.2">
      <c r="A11" s="344" t="s">
        <v>66</v>
      </c>
      <c r="B11" s="347" t="s">
        <v>317</v>
      </c>
      <c r="C11" s="37"/>
      <c r="D11" s="345"/>
      <c r="E11" s="346" t="str">
        <f>'03rek'!E19</f>
        <v>--------------</v>
      </c>
      <c r="F11" s="34" t="str">
        <f>'03rek'!F19</f>
        <v>--------------</v>
      </c>
      <c r="G11" s="34" t="str">
        <f>'03rek'!G19</f>
        <v>--------------</v>
      </c>
      <c r="H11" s="34" t="str">
        <f>'03rek'!H19</f>
        <v>--------------</v>
      </c>
      <c r="I11" s="38" t="str">
        <f>'03rek'!I19</f>
        <v>--------------</v>
      </c>
      <c r="K11" s="1091">
        <f t="shared" si="0"/>
        <v>0</v>
      </c>
    </row>
    <row r="12" spans="1:56" s="29" customFormat="1" x14ac:dyDescent="0.2">
      <c r="A12" s="344" t="s">
        <v>65</v>
      </c>
      <c r="B12" s="36" t="s">
        <v>427</v>
      </c>
      <c r="C12" s="37"/>
      <c r="D12" s="345"/>
      <c r="E12" s="346" t="s">
        <v>63</v>
      </c>
      <c r="F12" s="34" t="s">
        <v>63</v>
      </c>
      <c r="G12" s="34" t="s">
        <v>63</v>
      </c>
      <c r="H12" s="34" t="s">
        <v>63</v>
      </c>
      <c r="I12" s="38" t="s">
        <v>63</v>
      </c>
      <c r="K12" s="1091">
        <f t="shared" si="0"/>
        <v>0</v>
      </c>
    </row>
    <row r="13" spans="1:56" s="29" customFormat="1" x14ac:dyDescent="0.2">
      <c r="A13" s="344" t="s">
        <v>67</v>
      </c>
      <c r="B13" s="36" t="s">
        <v>324</v>
      </c>
      <c r="C13" s="37"/>
      <c r="D13" s="345"/>
      <c r="E13" s="34" t="str">
        <f>'05rek'!E23</f>
        <v>--------------</v>
      </c>
      <c r="F13" s="34" t="str">
        <f>'05rek'!F23</f>
        <v>--------------</v>
      </c>
      <c r="G13" s="34" t="str">
        <f>'05rek'!G23</f>
        <v>--------------</v>
      </c>
      <c r="H13" s="34" t="str">
        <f>'05rek'!H23</f>
        <v>--------------</v>
      </c>
      <c r="I13" s="1089" t="str">
        <f>'05rek'!I23</f>
        <v>--------------</v>
      </c>
      <c r="K13" s="1091">
        <f t="shared" si="0"/>
        <v>0</v>
      </c>
    </row>
    <row r="14" spans="1:56" s="29" customFormat="1" ht="13.5" customHeight="1" x14ac:dyDescent="0.2">
      <c r="A14" s="344" t="s">
        <v>68</v>
      </c>
      <c r="B14" s="36" t="s">
        <v>1519</v>
      </c>
      <c r="C14" s="37"/>
      <c r="D14" s="345"/>
      <c r="E14" s="34" t="str">
        <f>'06rek '!E13</f>
        <v>--------------</v>
      </c>
      <c r="F14" s="34" t="str">
        <f>'06rek '!F13</f>
        <v>--------------</v>
      </c>
      <c r="G14" s="34" t="str">
        <f>'06rek '!G13</f>
        <v>--------------</v>
      </c>
      <c r="H14" s="34" t="str">
        <f>'06rek '!H13</f>
        <v>--------------</v>
      </c>
      <c r="I14" s="371" t="str">
        <f>'06rek '!I13</f>
        <v>--------------</v>
      </c>
      <c r="K14" s="1091">
        <f t="shared" si="0"/>
        <v>0</v>
      </c>
    </row>
    <row r="15" spans="1:56" s="29" customFormat="1" x14ac:dyDescent="0.2">
      <c r="A15" s="344" t="s">
        <v>437</v>
      </c>
      <c r="B15" s="36" t="s">
        <v>429</v>
      </c>
      <c r="C15" s="37"/>
      <c r="D15" s="345"/>
      <c r="E15" s="34" t="str">
        <f>'07rek'!E26</f>
        <v>--------------</v>
      </c>
      <c r="F15" s="34" t="str">
        <f>'07rek'!F26</f>
        <v>--------------</v>
      </c>
      <c r="G15" s="34" t="str">
        <f>'07rek'!G26</f>
        <v>--------------</v>
      </c>
      <c r="H15" s="34" t="str">
        <f>'07rek'!H26</f>
        <v>--------------</v>
      </c>
      <c r="I15" s="371" t="str">
        <f>'07rek'!I26</f>
        <v>--------------</v>
      </c>
      <c r="K15" s="1091">
        <f t="shared" si="0"/>
        <v>0</v>
      </c>
    </row>
    <row r="16" spans="1:56" s="29" customFormat="1" x14ac:dyDescent="0.2">
      <c r="A16" s="344" t="s">
        <v>428</v>
      </c>
      <c r="B16" s="36" t="s">
        <v>430</v>
      </c>
      <c r="C16" s="37"/>
      <c r="D16" s="345"/>
      <c r="E16" s="346" t="str">
        <f>'08rek'!E17</f>
        <v>--------------</v>
      </c>
      <c r="F16" s="34" t="str">
        <f>'08rek'!F17</f>
        <v>--------------</v>
      </c>
      <c r="G16" s="34" t="str">
        <f>'08rek'!G17</f>
        <v>--------------</v>
      </c>
      <c r="H16" s="34" t="str">
        <f>'08rek'!H17</f>
        <v>--------------</v>
      </c>
      <c r="I16" s="34" t="str">
        <f>'08rek'!I17</f>
        <v>--------------</v>
      </c>
      <c r="K16" s="1091">
        <f t="shared" si="0"/>
        <v>0</v>
      </c>
    </row>
    <row r="17" spans="1:59" s="29" customFormat="1" x14ac:dyDescent="0.2">
      <c r="A17" s="344"/>
      <c r="B17" s="36"/>
      <c r="C17" s="37"/>
      <c r="D17" s="345"/>
      <c r="E17" s="346"/>
      <c r="F17" s="34"/>
      <c r="G17" s="34"/>
      <c r="H17" s="34"/>
      <c r="I17" s="34"/>
      <c r="K17" s="1091">
        <f t="shared" si="0"/>
        <v>0</v>
      </c>
    </row>
    <row r="18" spans="1:59" s="29" customFormat="1" ht="13.5" thickBot="1" x14ac:dyDescent="0.25">
      <c r="A18" s="344"/>
      <c r="B18" s="36" t="s">
        <v>69</v>
      </c>
      <c r="C18" s="37"/>
      <c r="D18" s="345"/>
      <c r="E18" s="346"/>
      <c r="F18" s="34"/>
      <c r="G18" s="34"/>
      <c r="H18" s="34"/>
      <c r="I18" s="38"/>
      <c r="K18" s="1091">
        <f t="shared" si="0"/>
        <v>0</v>
      </c>
    </row>
    <row r="19" spans="1:59" s="44" customFormat="1" ht="13.5" thickBot="1" x14ac:dyDescent="0.25">
      <c r="A19" s="39"/>
      <c r="B19" s="40" t="s">
        <v>70</v>
      </c>
      <c r="C19" s="40"/>
      <c r="D19" s="41"/>
      <c r="E19" s="42" t="str">
        <f>IF(SUM(E9:E18)&gt;0,SUM(E9:E18),"--------------")</f>
        <v>--------------</v>
      </c>
      <c r="F19" s="42" t="str">
        <f>IF(SUM(F9:F18)&gt;0,SUM(F9:F18),"--------------")</f>
        <v>--------------</v>
      </c>
      <c r="G19" s="42" t="str">
        <f>IF(SUM(G9:G18)&gt;0,SUM(G9:G18),"--------------")</f>
        <v>--------------</v>
      </c>
      <c r="H19" s="42" t="str">
        <f>IF(SUM(H9:H18)&gt;0,SUM(H9:H18),"--------------")</f>
        <v>--------------</v>
      </c>
      <c r="I19" s="43" t="str">
        <f>IF(SUM(I9:I18)&gt;0,SUM(I9:I18),"--------------")</f>
        <v>--------------</v>
      </c>
      <c r="K19" s="1091">
        <f>SUM(K9:K18)</f>
        <v>0</v>
      </c>
    </row>
    <row r="20" spans="1:59" x14ac:dyDescent="0.2">
      <c r="A20" s="29"/>
      <c r="B20" s="29"/>
      <c r="C20" s="29"/>
      <c r="D20" s="29"/>
      <c r="E20" s="29"/>
      <c r="F20" s="29"/>
      <c r="G20" s="29"/>
      <c r="H20" s="29"/>
      <c r="I20" s="29"/>
    </row>
    <row r="21" spans="1:5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2" spans="1:5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3" spans="1:59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59" ht="18" x14ac:dyDescent="0.25">
      <c r="A24" s="20" t="s">
        <v>71</v>
      </c>
      <c r="B24" s="20"/>
      <c r="C24" s="20"/>
      <c r="D24" s="20"/>
      <c r="E24" s="20"/>
      <c r="F24" s="20"/>
      <c r="G24" s="45"/>
      <c r="H24" s="20"/>
      <c r="I24" s="20"/>
      <c r="BA24" s="46"/>
      <c r="BB24" s="46"/>
      <c r="BD24" s="46"/>
      <c r="BE24" s="46"/>
      <c r="BG24" s="47"/>
    </row>
    <row r="25" spans="1:59" ht="13.5" thickBot="1" x14ac:dyDescent="0.25"/>
    <row r="26" spans="1:59" ht="26.45" customHeight="1" thickBot="1" x14ac:dyDescent="0.25">
      <c r="A26" s="48" t="s">
        <v>72</v>
      </c>
      <c r="B26" s="49"/>
      <c r="C26" s="49"/>
      <c r="D26" s="50"/>
      <c r="E26" s="51" t="s">
        <v>73</v>
      </c>
      <c r="F26" s="52" t="s">
        <v>74</v>
      </c>
      <c r="G26" s="52" t="s">
        <v>75</v>
      </c>
      <c r="H26" s="52"/>
      <c r="I26" s="53"/>
    </row>
    <row r="27" spans="1:59" x14ac:dyDescent="0.2">
      <c r="A27" s="54">
        <v>1</v>
      </c>
      <c r="B27" s="31" t="s">
        <v>274</v>
      </c>
      <c r="C27" s="55"/>
      <c r="D27" s="56"/>
      <c r="E27" s="378">
        <f>VRN!H49</f>
        <v>0</v>
      </c>
      <c r="F27" s="379">
        <f>VRN!H79</f>
        <v>0</v>
      </c>
      <c r="G27" s="379">
        <f>VRN!H93</f>
        <v>0</v>
      </c>
      <c r="H27" s="57"/>
      <c r="I27" s="58"/>
      <c r="K27" s="1091">
        <f t="shared" ref="K27:K28" si="1">SUM(E27:J27)</f>
        <v>0</v>
      </c>
    </row>
    <row r="28" spans="1:59" ht="13.5" thickBot="1" x14ac:dyDescent="0.25">
      <c r="A28" s="60"/>
      <c r="B28" s="61"/>
      <c r="C28" s="61"/>
      <c r="D28" s="62"/>
      <c r="E28" s="63"/>
      <c r="F28" s="64"/>
      <c r="G28" s="65"/>
      <c r="H28" s="66"/>
      <c r="I28" s="67"/>
      <c r="K28" s="1091">
        <f t="shared" si="1"/>
        <v>0</v>
      </c>
    </row>
    <row r="29" spans="1:59" ht="15.75" thickBot="1" x14ac:dyDescent="0.3">
      <c r="A29" s="68"/>
      <c r="B29" s="40" t="s">
        <v>76</v>
      </c>
      <c r="C29" s="69"/>
      <c r="D29" s="70"/>
      <c r="E29" s="42" t="str">
        <f>IF(SUM(E26:E28)&gt;0,SUM(E26:E28),"--------------")</f>
        <v>--------------</v>
      </c>
      <c r="F29" s="42" t="str">
        <f>IF(SUM(F26:F28)&gt;0,SUM(F26:F28),"--------------")</f>
        <v>--------------</v>
      </c>
      <c r="G29" s="42" t="str">
        <f>IF(SUM(G26:G28)&gt;0,SUM(G26:G28),"--------------")</f>
        <v>--------------</v>
      </c>
      <c r="H29" s="42" t="str">
        <f>IF(SUM(H26:H28)&gt;0,SUM(H26:H28),"--------------")</f>
        <v>--------------</v>
      </c>
      <c r="I29" s="43" t="str">
        <f>IF(SUM(I26:I28)&gt;0,SUM(I26:I28),"--------------")</f>
        <v>--------------</v>
      </c>
      <c r="K29" s="1091">
        <f>SUM(K27:K28)</f>
        <v>0</v>
      </c>
      <c r="BG29" s="47"/>
    </row>
    <row r="31" spans="1:59" ht="18" x14ac:dyDescent="0.25">
      <c r="A31" s="20" t="s">
        <v>77</v>
      </c>
      <c r="B31" s="20"/>
      <c r="C31" s="20"/>
      <c r="D31" s="20"/>
      <c r="E31" s="20"/>
      <c r="F31" s="20"/>
      <c r="G31" s="45"/>
      <c r="H31" s="20"/>
      <c r="I31" s="20"/>
      <c r="BA31" s="46"/>
      <c r="BB31" s="46"/>
      <c r="BC31" s="46"/>
      <c r="BD31" s="46"/>
      <c r="BE31" s="46"/>
    </row>
    <row r="32" spans="1:59" ht="15.75" thickBot="1" x14ac:dyDescent="0.3">
      <c r="BG32" s="47"/>
    </row>
    <row r="33" spans="1:62" ht="25.9" customHeight="1" thickBot="1" x14ac:dyDescent="0.25">
      <c r="A33" s="48" t="s">
        <v>72</v>
      </c>
      <c r="B33" s="49"/>
      <c r="C33" s="49"/>
      <c r="D33" s="71"/>
      <c r="E33" s="52" t="s">
        <v>78</v>
      </c>
      <c r="F33" s="52" t="s">
        <v>79</v>
      </c>
      <c r="G33" s="52" t="s">
        <v>80</v>
      </c>
      <c r="H33" s="52" t="s">
        <v>81</v>
      </c>
      <c r="I33" s="53" t="s">
        <v>82</v>
      </c>
    </row>
    <row r="34" spans="1:62" x14ac:dyDescent="0.2">
      <c r="A34" s="72">
        <v>1</v>
      </c>
      <c r="B34" s="31" t="s">
        <v>274</v>
      </c>
      <c r="C34" s="55"/>
      <c r="D34" s="56"/>
      <c r="E34" s="378">
        <f>VRN!H8</f>
        <v>0</v>
      </c>
      <c r="F34" s="379">
        <f>VRN!H41</f>
        <v>0</v>
      </c>
      <c r="G34" s="379">
        <f>VRN!H55</f>
        <v>0</v>
      </c>
      <c r="H34" s="379">
        <f>VRN!H73</f>
        <v>150000</v>
      </c>
      <c r="I34" s="380">
        <f>VRN!H103</f>
        <v>0</v>
      </c>
      <c r="K34" s="1091">
        <f t="shared" ref="K34:K35" si="2">SUM(E34:J34)</f>
        <v>150000</v>
      </c>
    </row>
    <row r="35" spans="1:62" ht="13.5" thickBot="1" x14ac:dyDescent="0.25">
      <c r="A35" s="73"/>
      <c r="B35" s="61"/>
      <c r="C35" s="61"/>
      <c r="D35" s="62"/>
      <c r="E35" s="63"/>
      <c r="F35" s="64"/>
      <c r="G35" s="65"/>
      <c r="H35" s="66"/>
      <c r="I35" s="67"/>
      <c r="K35" s="1091">
        <f t="shared" si="2"/>
        <v>0</v>
      </c>
      <c r="BJ35" s="46"/>
    </row>
    <row r="36" spans="1:62" ht="13.5" thickBot="1" x14ac:dyDescent="0.25">
      <c r="A36" s="68"/>
      <c r="B36" s="40" t="s">
        <v>83</v>
      </c>
      <c r="C36" s="69"/>
      <c r="D36" s="70"/>
      <c r="E36" s="42" t="str">
        <f>IF(SUM(E33:E35)&gt;0,SUM(E33:E35),"--------------")</f>
        <v>--------------</v>
      </c>
      <c r="F36" s="42" t="str">
        <f>IF(SUM(F33:F35)&gt;0,SUM(F33:F35),"--------------")</f>
        <v>--------------</v>
      </c>
      <c r="G36" s="42" t="str">
        <f>IF(SUM(G33:G35)&gt;0,SUM(G33:G35),"--------------")</f>
        <v>--------------</v>
      </c>
      <c r="H36" s="42">
        <f>IF(SUM(H33:H35)&gt;0,SUM(H33:H35),"--------------")</f>
        <v>150000</v>
      </c>
      <c r="I36" s="43" t="str">
        <f>IF(SUM(I33:I35)&gt;0,SUM(I33:I35),"--------------")</f>
        <v>--------------</v>
      </c>
      <c r="K36" s="1091">
        <f>SUM(K34:K35)</f>
        <v>150000</v>
      </c>
    </row>
    <row r="38" spans="1:62" x14ac:dyDescent="0.2">
      <c r="F38" s="74"/>
      <c r="G38" s="75"/>
      <c r="H38" s="75"/>
      <c r="I38" s="76"/>
    </row>
    <row r="39" spans="1:62" ht="15" x14ac:dyDescent="0.25">
      <c r="F39" s="74"/>
      <c r="G39" s="75"/>
      <c r="H39" s="75"/>
      <c r="I39" s="76"/>
      <c r="BG39" s="348"/>
    </row>
    <row r="40" spans="1:62" x14ac:dyDescent="0.2">
      <c r="F40" s="74"/>
      <c r="G40" s="75"/>
      <c r="H40" s="75"/>
      <c r="I40" s="76"/>
    </row>
    <row r="41" spans="1:62" x14ac:dyDescent="0.2">
      <c r="F41" s="74"/>
      <c r="G41" s="75"/>
      <c r="H41" s="75"/>
      <c r="I41" s="76"/>
    </row>
    <row r="42" spans="1:62" x14ac:dyDescent="0.2">
      <c r="F42" s="74"/>
      <c r="G42" s="75"/>
      <c r="H42" s="75"/>
      <c r="I42" s="76"/>
    </row>
    <row r="43" spans="1:62" ht="15" x14ac:dyDescent="0.25">
      <c r="F43" s="74"/>
      <c r="G43" s="75"/>
      <c r="H43" s="75"/>
      <c r="I43" s="76"/>
      <c r="BG43" s="348"/>
    </row>
    <row r="44" spans="1:62" x14ac:dyDescent="0.2">
      <c r="F44" s="74"/>
      <c r="G44" s="75"/>
      <c r="H44" s="75"/>
      <c r="I44" s="76"/>
    </row>
    <row r="45" spans="1:62" x14ac:dyDescent="0.2">
      <c r="F45" s="74"/>
      <c r="G45" s="75"/>
      <c r="H45" s="75"/>
      <c r="I45" s="76"/>
    </row>
    <row r="46" spans="1:62" x14ac:dyDescent="0.2">
      <c r="F46" s="74"/>
      <c r="G46" s="75"/>
      <c r="H46" s="75"/>
      <c r="I46" s="76"/>
    </row>
    <row r="47" spans="1:62" x14ac:dyDescent="0.2">
      <c r="F47" s="74"/>
      <c r="G47" s="75"/>
      <c r="H47" s="75"/>
      <c r="I47" s="76"/>
    </row>
    <row r="48" spans="1:62" x14ac:dyDescent="0.2">
      <c r="F48" s="74"/>
      <c r="G48" s="75"/>
      <c r="H48" s="75"/>
      <c r="I48" s="76"/>
    </row>
    <row r="49" spans="6:9" x14ac:dyDescent="0.2">
      <c r="F49" s="74"/>
      <c r="G49" s="75"/>
      <c r="H49" s="75"/>
      <c r="I49" s="76"/>
    </row>
    <row r="50" spans="6:9" x14ac:dyDescent="0.2">
      <c r="F50" s="74"/>
      <c r="G50" s="75"/>
      <c r="H50" s="75"/>
      <c r="I50" s="76"/>
    </row>
    <row r="51" spans="6:9" x14ac:dyDescent="0.2">
      <c r="F51" s="74"/>
      <c r="G51" s="75"/>
      <c r="H51" s="75"/>
      <c r="I51" s="76"/>
    </row>
    <row r="52" spans="6:9" x14ac:dyDescent="0.2">
      <c r="F52" s="74"/>
      <c r="G52" s="75"/>
      <c r="H52" s="75"/>
      <c r="I52" s="76"/>
    </row>
    <row r="53" spans="6:9" x14ac:dyDescent="0.2">
      <c r="F53" s="74"/>
      <c r="G53" s="75"/>
      <c r="H53" s="75"/>
      <c r="I53" s="76"/>
    </row>
    <row r="54" spans="6:9" x14ac:dyDescent="0.2">
      <c r="F54" s="74"/>
      <c r="G54" s="75"/>
      <c r="H54" s="75"/>
      <c r="I54" s="76"/>
    </row>
    <row r="55" spans="6:9" x14ac:dyDescent="0.2">
      <c r="F55" s="74"/>
      <c r="G55" s="75"/>
      <c r="H55" s="75"/>
      <c r="I55" s="76"/>
    </row>
    <row r="56" spans="6:9" x14ac:dyDescent="0.2">
      <c r="F56" s="74"/>
      <c r="G56" s="75"/>
      <c r="H56" s="75"/>
      <c r="I56" s="76"/>
    </row>
    <row r="57" spans="6:9" x14ac:dyDescent="0.2">
      <c r="F57" s="74"/>
      <c r="G57" s="75"/>
      <c r="H57" s="75"/>
      <c r="I57" s="76"/>
    </row>
    <row r="58" spans="6:9" x14ac:dyDescent="0.2">
      <c r="F58" s="74"/>
      <c r="G58" s="75"/>
      <c r="H58" s="75"/>
      <c r="I58" s="76"/>
    </row>
    <row r="59" spans="6:9" x14ac:dyDescent="0.2">
      <c r="F59" s="74"/>
      <c r="G59" s="75"/>
      <c r="H59" s="75"/>
      <c r="I59" s="76"/>
    </row>
  </sheetData>
  <customSheetViews>
    <customSheetView guid="{30B10D60-758F-4E0B-9F03-5879C6CAFDF6}" scale="160" showPageBreaks="1" printArea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2">
    <mergeCell ref="C1:I1"/>
    <mergeCell ref="C2:I2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S109"/>
  <sheetViews>
    <sheetView view="pageBreakPreview" zoomScaleNormal="100" zoomScaleSheetLayoutView="100" workbookViewId="0">
      <pane ySplit="5" topLeftCell="A6" activePane="bottomLeft" state="frozen"/>
      <selection activeCell="M16" sqref="M16"/>
      <selection pane="bottomLeft" activeCell="F104" sqref="F104:G104"/>
    </sheetView>
  </sheetViews>
  <sheetFormatPr defaultRowHeight="12.75" x14ac:dyDescent="0.2"/>
  <cols>
    <col min="1" max="1" width="5.42578125" style="261" customWidth="1"/>
    <col min="2" max="2" width="7.7109375" customWidth="1"/>
    <col min="3" max="3" width="11.5703125" style="260" customWidth="1"/>
    <col min="4" max="4" width="61.140625" customWidth="1"/>
    <col min="5" max="5" width="6.140625" customWidth="1"/>
    <col min="6" max="6" width="9.85546875" customWidth="1"/>
    <col min="7" max="7" width="11.85546875" style="153" customWidth="1"/>
    <col min="8" max="8" width="16.140625" style="153" customWidth="1"/>
    <col min="17" max="17" width="12.42578125" bestFit="1" customWidth="1"/>
    <col min="18" max="18" width="11.85546875" bestFit="1" customWidth="1"/>
    <col min="20" max="20" width="15.85546875" customWidth="1"/>
  </cols>
  <sheetData>
    <row r="1" spans="1:19" s="11" customFormat="1" ht="16.5" customHeight="1" thickTop="1" x14ac:dyDescent="0.25">
      <c r="A1" s="273" t="s">
        <v>49</v>
      </c>
      <c r="B1" s="274"/>
      <c r="C1" s="279" t="str">
        <f>'01 Stavební'!$C$4&amp;" "&amp;'01 Stavební'!$C$5</f>
        <v>Rekonstrukce oddělení ortopedie v pavilonu "B" nemocnice Šumperk</v>
      </c>
      <c r="D1" s="150"/>
      <c r="E1" s="150"/>
      <c r="F1" s="150"/>
      <c r="G1" s="150"/>
      <c r="H1" s="151"/>
    </row>
    <row r="2" spans="1:19" ht="12.75" customHeight="1" x14ac:dyDescent="0.2">
      <c r="A2" s="275" t="s">
        <v>50</v>
      </c>
      <c r="B2" s="276"/>
      <c r="C2" s="282" t="str">
        <f>'01 Stavební'!$C$7</f>
        <v>SO 01 Vlastní objekt</v>
      </c>
      <c r="D2" s="280"/>
      <c r="E2" s="280"/>
      <c r="F2" s="281"/>
      <c r="G2" s="12" t="s">
        <v>52</v>
      </c>
      <c r="H2" s="13">
        <f>'SO01 Krycí list'!H12</f>
        <v>2016021</v>
      </c>
    </row>
    <row r="3" spans="1:19" ht="13.5" customHeight="1" thickBot="1" x14ac:dyDescent="0.25">
      <c r="A3" s="277" t="s">
        <v>53</v>
      </c>
      <c r="B3" s="278"/>
      <c r="C3" s="285" t="s">
        <v>286</v>
      </c>
      <c r="D3" s="283"/>
      <c r="E3" s="283"/>
      <c r="F3" s="284"/>
      <c r="G3" s="14" t="s">
        <v>54</v>
      </c>
      <c r="H3" s="15">
        <f>'01 Stavební'!$C$28</f>
        <v>42635</v>
      </c>
    </row>
    <row r="4" spans="1:19" ht="14.25" thickTop="1" thickBot="1" x14ac:dyDescent="0.25">
      <c r="A4" s="152"/>
      <c r="B4" s="152"/>
      <c r="C4"/>
      <c r="F4" s="29"/>
    </row>
    <row r="5" spans="1:19" ht="26.25" thickBot="1" x14ac:dyDescent="0.25">
      <c r="A5" s="154" t="s">
        <v>138</v>
      </c>
      <c r="B5" s="154" t="s">
        <v>139</v>
      </c>
      <c r="C5" s="155" t="s">
        <v>140</v>
      </c>
      <c r="D5" s="156" t="s">
        <v>445</v>
      </c>
      <c r="E5" s="156" t="s">
        <v>141</v>
      </c>
      <c r="F5" s="156" t="s">
        <v>142</v>
      </c>
      <c r="G5" s="157" t="s">
        <v>143</v>
      </c>
      <c r="H5" s="157" t="s">
        <v>144</v>
      </c>
    </row>
    <row r="6" spans="1:19" s="164" customFormat="1" ht="18.75" x14ac:dyDescent="0.3">
      <c r="A6" s="158" t="s">
        <v>145</v>
      </c>
      <c r="B6" s="159"/>
      <c r="C6" s="160">
        <v>0</v>
      </c>
      <c r="D6" s="159" t="s">
        <v>146</v>
      </c>
      <c r="E6" s="159"/>
      <c r="F6" s="161"/>
      <c r="G6" s="162"/>
      <c r="H6" s="163"/>
    </row>
    <row r="7" spans="1:19" s="170" customFormat="1" ht="8.1" customHeight="1" x14ac:dyDescent="0.25">
      <c r="A7" s="165" t="s">
        <v>145</v>
      </c>
      <c r="B7" s="47"/>
      <c r="C7" s="166"/>
      <c r="D7" s="47"/>
      <c r="E7" s="47"/>
      <c r="F7" s="167"/>
      <c r="G7" s="168"/>
      <c r="H7" s="169"/>
    </row>
    <row r="8" spans="1:19" s="177" customFormat="1" ht="15.75" x14ac:dyDescent="0.25">
      <c r="A8" s="171">
        <f>IF(F8&gt;0,1,"")</f>
        <v>1</v>
      </c>
      <c r="B8" s="172" t="s">
        <v>439</v>
      </c>
      <c r="C8" s="173" t="s">
        <v>62</v>
      </c>
      <c r="D8" s="172" t="s">
        <v>147</v>
      </c>
      <c r="E8" s="172" t="s">
        <v>148</v>
      </c>
      <c r="F8" s="174">
        <f>IF(SUM(F9:F39)=0,0,1)</f>
        <v>1</v>
      </c>
      <c r="G8" s="175"/>
      <c r="H8" s="176">
        <f>SUBTOTAL(9,H9:H40)</f>
        <v>0</v>
      </c>
    </row>
    <row r="9" spans="1:19" s="170" customFormat="1" ht="15" x14ac:dyDescent="0.25">
      <c r="A9" s="178" t="str">
        <f>IF(F9&gt;0,MAX($A$1:A8)+1,"")</f>
        <v/>
      </c>
      <c r="B9" s="47"/>
      <c r="C9" s="166" t="s">
        <v>149</v>
      </c>
      <c r="D9" s="47" t="s">
        <v>150</v>
      </c>
      <c r="E9" s="179" t="s">
        <v>148</v>
      </c>
      <c r="F9" s="180">
        <f>IF(SUM(F10:F22)=0,0,1)</f>
        <v>0</v>
      </c>
      <c r="G9" s="181"/>
      <c r="H9" s="169">
        <f>SUBTOTAL(9,H10:H23)</f>
        <v>0</v>
      </c>
    </row>
    <row r="10" spans="1:19" s="187" customFormat="1" ht="15" x14ac:dyDescent="0.25">
      <c r="A10" s="178" t="str">
        <f>IF(F10&gt;0,MAX($A$1:A9)+1,"")</f>
        <v/>
      </c>
      <c r="B10" s="182"/>
      <c r="C10" s="183" t="s">
        <v>151</v>
      </c>
      <c r="D10" s="182" t="s">
        <v>152</v>
      </c>
      <c r="E10" s="182" t="s">
        <v>153</v>
      </c>
      <c r="F10" s="184">
        <v>0</v>
      </c>
      <c r="G10" s="185"/>
      <c r="H10" s="186">
        <f>F10*G10</f>
        <v>0</v>
      </c>
    </row>
    <row r="11" spans="1:19" s="195" customFormat="1" ht="30" x14ac:dyDescent="0.25">
      <c r="A11" s="188" t="str">
        <f>IF(F10=0,"","*")</f>
        <v/>
      </c>
      <c r="B11" s="189"/>
      <c r="C11" s="190"/>
      <c r="D11" s="191" t="s">
        <v>154</v>
      </c>
      <c r="E11" s="189"/>
      <c r="F11" s="192"/>
      <c r="G11" s="193"/>
      <c r="H11" s="194"/>
    </row>
    <row r="12" spans="1:19" s="187" customFormat="1" ht="15" x14ac:dyDescent="0.25">
      <c r="A12" s="178" t="str">
        <f>IF(F12&gt;0,MAX($A$1:A11)+1,"")</f>
        <v/>
      </c>
      <c r="B12" s="182"/>
      <c r="C12" s="183" t="s">
        <v>155</v>
      </c>
      <c r="D12" s="182" t="s">
        <v>156</v>
      </c>
      <c r="E12" s="182" t="s">
        <v>153</v>
      </c>
      <c r="F12" s="196">
        <v>0</v>
      </c>
      <c r="G12" s="185">
        <v>0</v>
      </c>
      <c r="H12" s="186">
        <f>F12*G12</f>
        <v>0</v>
      </c>
      <c r="N12" s="195"/>
    </row>
    <row r="13" spans="1:19" s="187" customFormat="1" ht="15" x14ac:dyDescent="0.25">
      <c r="A13" s="178" t="str">
        <f>IF(F13&gt;0,MAX($A$1:A12)+1,"")</f>
        <v/>
      </c>
      <c r="B13" s="182"/>
      <c r="C13" s="183" t="s">
        <v>157</v>
      </c>
      <c r="D13" s="182" t="s">
        <v>158</v>
      </c>
      <c r="E13" s="182" t="s">
        <v>153</v>
      </c>
      <c r="F13" s="196">
        <v>0</v>
      </c>
      <c r="G13" s="185">
        <v>0</v>
      </c>
      <c r="H13" s="186">
        <f>F13*G13</f>
        <v>0</v>
      </c>
    </row>
    <row r="14" spans="1:19" s="187" customFormat="1" ht="15" x14ac:dyDescent="0.25">
      <c r="A14" s="178" t="str">
        <f>IF(F14&gt;0,MAX($A$1:A13)+1,"")</f>
        <v/>
      </c>
      <c r="B14" s="182"/>
      <c r="C14" s="183" t="s">
        <v>159</v>
      </c>
      <c r="D14" s="182" t="s">
        <v>160</v>
      </c>
      <c r="E14" s="182" t="s">
        <v>153</v>
      </c>
      <c r="F14" s="196">
        <v>0</v>
      </c>
      <c r="G14" s="185"/>
      <c r="H14" s="186">
        <f>F14*G14</f>
        <v>0</v>
      </c>
    </row>
    <row r="15" spans="1:19" s="201" customFormat="1" ht="15.75" customHeight="1" x14ac:dyDescent="0.25">
      <c r="A15" s="188" t="str">
        <f>IF(F14=0,"","*")</f>
        <v/>
      </c>
      <c r="B15" s="191"/>
      <c r="C15" s="197"/>
      <c r="D15" s="191" t="s">
        <v>276</v>
      </c>
      <c r="E15" s="191"/>
      <c r="F15" s="198"/>
      <c r="G15" s="199"/>
      <c r="H15" s="200"/>
      <c r="S15" s="187"/>
    </row>
    <row r="16" spans="1:19" ht="15" x14ac:dyDescent="0.25">
      <c r="A16" s="178" t="str">
        <f>IF(F16&gt;0,MAX($A$1:A15)+1,"")</f>
        <v/>
      </c>
      <c r="B16" s="29"/>
      <c r="C16" s="202" t="s">
        <v>161</v>
      </c>
      <c r="D16" s="29" t="s">
        <v>162</v>
      </c>
      <c r="E16" s="182" t="s">
        <v>153</v>
      </c>
      <c r="F16" s="203">
        <v>0</v>
      </c>
      <c r="G16" s="193">
        <v>0</v>
      </c>
      <c r="H16" s="186">
        <f>F16*G16</f>
        <v>0</v>
      </c>
      <c r="S16" s="187"/>
    </row>
    <row r="17" spans="1:19" s="195" customFormat="1" ht="18.75" customHeight="1" x14ac:dyDescent="0.25">
      <c r="A17" s="204" t="str">
        <f>IF(F16=0,"","*")</f>
        <v/>
      </c>
      <c r="B17" s="189"/>
      <c r="C17" s="190"/>
      <c r="D17" s="191" t="s">
        <v>163</v>
      </c>
      <c r="E17" s="189"/>
      <c r="F17" s="192"/>
      <c r="G17" s="193"/>
      <c r="H17" s="194"/>
      <c r="S17" s="187"/>
    </row>
    <row r="18" spans="1:19" ht="15" x14ac:dyDescent="0.25">
      <c r="A18" s="178" t="str">
        <f>IF(F18&gt;0,MAX($A$1:A17)+1,"")</f>
        <v/>
      </c>
      <c r="B18" s="29"/>
      <c r="C18" s="202" t="s">
        <v>164</v>
      </c>
      <c r="D18" s="29" t="s">
        <v>165</v>
      </c>
      <c r="E18" s="182" t="s">
        <v>153</v>
      </c>
      <c r="F18" s="203">
        <v>0</v>
      </c>
      <c r="G18" s="193"/>
      <c r="H18" s="186">
        <f>F18*G18</f>
        <v>0</v>
      </c>
      <c r="S18" s="187"/>
    </row>
    <row r="19" spans="1:19" s="210" customFormat="1" ht="15" x14ac:dyDescent="0.25">
      <c r="A19" s="204" t="str">
        <f>IF(F18=0,"","*")</f>
        <v/>
      </c>
      <c r="B19" s="205"/>
      <c r="C19" s="206"/>
      <c r="D19" s="205" t="s">
        <v>166</v>
      </c>
      <c r="E19" s="205"/>
      <c r="F19" s="207"/>
      <c r="G19" s="208"/>
      <c r="H19" s="209"/>
    </row>
    <row r="20" spans="1:19" ht="15" x14ac:dyDescent="0.25">
      <c r="A20" s="178" t="str">
        <f>IF(F20&gt;0,MAX($A$1:A19)+1,"")</f>
        <v/>
      </c>
      <c r="B20" s="29"/>
      <c r="C20" s="202" t="s">
        <v>167</v>
      </c>
      <c r="D20" s="29" t="s">
        <v>168</v>
      </c>
      <c r="E20" s="182" t="s">
        <v>153</v>
      </c>
      <c r="F20" s="192">
        <v>0</v>
      </c>
      <c r="G20" s="193">
        <v>0</v>
      </c>
      <c r="H20" s="186">
        <f>F20*G20</f>
        <v>0</v>
      </c>
    </row>
    <row r="21" spans="1:19" s="201" customFormat="1" ht="30" x14ac:dyDescent="0.25">
      <c r="A21" s="204" t="str">
        <f>IF(F20=0,"","*")</f>
        <v/>
      </c>
      <c r="B21" s="191"/>
      <c r="C21" s="197"/>
      <c r="D21" s="191" t="s">
        <v>169</v>
      </c>
      <c r="E21" s="191"/>
      <c r="F21" s="198"/>
      <c r="G21" s="199"/>
      <c r="H21" s="200"/>
    </row>
    <row r="22" spans="1:19" ht="15" x14ac:dyDescent="0.25">
      <c r="A22" s="178" t="str">
        <f>IF(F22&gt;0,MAX($A$1:A21)+1,"")</f>
        <v/>
      </c>
      <c r="B22" s="29"/>
      <c r="C22" s="202" t="s">
        <v>170</v>
      </c>
      <c r="D22" s="29" t="s">
        <v>171</v>
      </c>
      <c r="E22" s="182" t="s">
        <v>153</v>
      </c>
      <c r="F22" s="192">
        <v>0</v>
      </c>
      <c r="G22" s="193"/>
      <c r="H22" s="186">
        <f>F22*G22</f>
        <v>0</v>
      </c>
    </row>
    <row r="23" spans="1:19" s="201" customFormat="1" ht="30" x14ac:dyDescent="0.25">
      <c r="A23" s="204" t="str">
        <f>IF(F22=0,"","*")</f>
        <v/>
      </c>
      <c r="B23" s="191"/>
      <c r="C23" s="197"/>
      <c r="D23" s="191" t="s">
        <v>172</v>
      </c>
      <c r="E23" s="191"/>
      <c r="F23" s="198"/>
      <c r="G23" s="199"/>
      <c r="H23" s="200"/>
    </row>
    <row r="24" spans="1:19" s="170" customFormat="1" ht="15" x14ac:dyDescent="0.25">
      <c r="A24" s="178">
        <f>IF(F24&gt;0,MAX($A$1:A23)+1,"")</f>
        <v>2</v>
      </c>
      <c r="B24" s="47"/>
      <c r="C24" s="166" t="s">
        <v>173</v>
      </c>
      <c r="D24" s="47" t="s">
        <v>174</v>
      </c>
      <c r="E24" s="179" t="s">
        <v>148</v>
      </c>
      <c r="F24" s="180">
        <f>IF(SUM(F25:F36)=0,0,1)</f>
        <v>1</v>
      </c>
      <c r="G24" s="181"/>
      <c r="H24" s="169">
        <f>SUBTOTAL(9,H25:H32)</f>
        <v>0</v>
      </c>
    </row>
    <row r="25" spans="1:19" ht="15" x14ac:dyDescent="0.25">
      <c r="A25" s="178" t="str">
        <f>IF(F25&gt;0,MAX($A$1:A24)+1,"")</f>
        <v/>
      </c>
      <c r="B25" s="29"/>
      <c r="C25" s="202" t="s">
        <v>175</v>
      </c>
      <c r="D25" s="29" t="s">
        <v>176</v>
      </c>
      <c r="E25" s="182" t="s">
        <v>153</v>
      </c>
      <c r="F25" s="192">
        <v>0</v>
      </c>
      <c r="G25" s="193"/>
      <c r="H25" s="186">
        <f>F25*G25</f>
        <v>0</v>
      </c>
    </row>
    <row r="26" spans="1:19" s="210" customFormat="1" ht="30" x14ac:dyDescent="0.25">
      <c r="A26" s="204" t="str">
        <f>IF(F25=0,"","*")</f>
        <v/>
      </c>
      <c r="B26" s="205"/>
      <c r="C26" s="206"/>
      <c r="D26" s="191" t="s">
        <v>177</v>
      </c>
      <c r="E26" s="205"/>
      <c r="F26" s="207"/>
      <c r="G26" s="208"/>
      <c r="H26" s="209"/>
    </row>
    <row r="27" spans="1:19" ht="15" x14ac:dyDescent="0.25">
      <c r="A27" s="178" t="str">
        <f>IF(F27&gt;0,MAX($A$1:A26)+1,"")</f>
        <v/>
      </c>
      <c r="B27" s="29"/>
      <c r="C27" s="202" t="s">
        <v>178</v>
      </c>
      <c r="D27" s="29" t="s">
        <v>179</v>
      </c>
      <c r="E27" s="182" t="s">
        <v>153</v>
      </c>
      <c r="F27" s="192">
        <v>0</v>
      </c>
      <c r="G27" s="331">
        <v>0</v>
      </c>
      <c r="H27" s="186">
        <f>F27*G27</f>
        <v>0</v>
      </c>
    </row>
    <row r="28" spans="1:19" s="201" customFormat="1" ht="15" x14ac:dyDescent="0.25">
      <c r="A28" s="204" t="str">
        <f>IF(F27=0,"","*")</f>
        <v/>
      </c>
      <c r="B28" s="191"/>
      <c r="C28" s="197"/>
      <c r="D28" s="191" t="s">
        <v>180</v>
      </c>
      <c r="E28" s="191"/>
      <c r="F28" s="198"/>
      <c r="G28" s="199"/>
      <c r="H28" s="200"/>
    </row>
    <row r="29" spans="1:19" ht="15" x14ac:dyDescent="0.25">
      <c r="A29" s="178" t="str">
        <f>IF(F29&gt;0,MAX($A$1:A28)+1,"")</f>
        <v/>
      </c>
      <c r="B29" s="29"/>
      <c r="C29" s="202" t="s">
        <v>181</v>
      </c>
      <c r="D29" s="29" t="s">
        <v>182</v>
      </c>
      <c r="E29" s="182" t="s">
        <v>153</v>
      </c>
      <c r="F29" s="192">
        <v>0</v>
      </c>
      <c r="G29" s="193">
        <v>0</v>
      </c>
      <c r="H29" s="186">
        <f>F29*G29</f>
        <v>0</v>
      </c>
    </row>
    <row r="30" spans="1:19" s="210" customFormat="1" ht="15" x14ac:dyDescent="0.25">
      <c r="A30" s="204" t="str">
        <f>IF(F29=0,"","*")</f>
        <v/>
      </c>
      <c r="B30" s="205"/>
      <c r="C30" s="206"/>
      <c r="D30" s="205" t="s">
        <v>183</v>
      </c>
      <c r="E30" s="205"/>
      <c r="F30" s="207"/>
      <c r="G30" s="208"/>
      <c r="H30" s="209"/>
    </row>
    <row r="31" spans="1:19" ht="15" x14ac:dyDescent="0.25">
      <c r="A31" s="178" t="str">
        <f>IF(F31&gt;0,MAX($A$1:A30)+1,"")</f>
        <v/>
      </c>
      <c r="B31" s="29"/>
      <c r="C31" s="202" t="s">
        <v>184</v>
      </c>
      <c r="D31" s="268" t="s">
        <v>277</v>
      </c>
      <c r="E31" s="182" t="s">
        <v>153</v>
      </c>
      <c r="F31" s="192">
        <v>0</v>
      </c>
      <c r="G31" s="193"/>
      <c r="H31" s="186">
        <f>F31*G31</f>
        <v>0</v>
      </c>
    </row>
    <row r="32" spans="1:19" s="210" customFormat="1" ht="15" x14ac:dyDescent="0.25">
      <c r="A32" s="204" t="str">
        <f>IF(F31=0,"","*")</f>
        <v/>
      </c>
      <c r="B32" s="205"/>
      <c r="C32" s="206"/>
      <c r="D32" s="205" t="s">
        <v>185</v>
      </c>
      <c r="E32" s="205"/>
      <c r="F32" s="207" t="s">
        <v>69</v>
      </c>
      <c r="G32" s="208"/>
      <c r="H32" s="209"/>
    </row>
    <row r="33" spans="1:8" s="170" customFormat="1" ht="15" x14ac:dyDescent="0.25">
      <c r="A33" s="178">
        <f>IF(F33&gt;0,MAX($A$1:A32)+1,"")</f>
        <v>3</v>
      </c>
      <c r="B33" s="47"/>
      <c r="C33" s="166" t="s">
        <v>186</v>
      </c>
      <c r="D33" s="47" t="s">
        <v>187</v>
      </c>
      <c r="E33" s="179" t="s">
        <v>148</v>
      </c>
      <c r="F33" s="180">
        <f>IF(SUM(F34:F38)=0,0,1)</f>
        <v>1</v>
      </c>
      <c r="G33" s="181"/>
      <c r="H33" s="169">
        <f>SUBTOTAL(9,H34:H39)</f>
        <v>0</v>
      </c>
    </row>
    <row r="34" spans="1:8" s="215" customFormat="1" ht="15" x14ac:dyDescent="0.25">
      <c r="A34" s="178" t="str">
        <f>IF(F34&gt;0,MAX($A$1:A33)+1,"")</f>
        <v/>
      </c>
      <c r="B34" s="211"/>
      <c r="C34" s="212" t="s">
        <v>188</v>
      </c>
      <c r="D34" s="182" t="s">
        <v>189</v>
      </c>
      <c r="E34" s="182" t="s">
        <v>153</v>
      </c>
      <c r="F34" s="213">
        <v>0</v>
      </c>
      <c r="G34" s="214"/>
      <c r="H34" s="186">
        <f>F34*G34</f>
        <v>0</v>
      </c>
    </row>
    <row r="35" spans="1:8" s="210" customFormat="1" ht="15" x14ac:dyDescent="0.25">
      <c r="A35" s="204" t="str">
        <f>IF(F34=0,"","*")</f>
        <v/>
      </c>
      <c r="B35" s="205"/>
      <c r="C35" s="206"/>
      <c r="D35" s="205" t="s">
        <v>190</v>
      </c>
      <c r="E35" s="205"/>
      <c r="F35" s="207"/>
      <c r="G35" s="208"/>
      <c r="H35" s="209"/>
    </row>
    <row r="36" spans="1:8" ht="15" x14ac:dyDescent="0.25">
      <c r="A36" s="178">
        <f>IF(F36&gt;0,MAX($A$1:A35)+1,"")</f>
        <v>4</v>
      </c>
      <c r="B36" s="29"/>
      <c r="C36" s="202" t="s">
        <v>191</v>
      </c>
      <c r="D36" s="29" t="s">
        <v>192</v>
      </c>
      <c r="E36" s="182" t="s">
        <v>153</v>
      </c>
      <c r="F36" s="1042">
        <v>1</v>
      </c>
      <c r="G36" s="1043"/>
      <c r="H36" s="186">
        <f>F36*G36</f>
        <v>0</v>
      </c>
    </row>
    <row r="37" spans="1:8" s="210" customFormat="1" ht="15" x14ac:dyDescent="0.25">
      <c r="A37" s="204" t="str">
        <f>IF(F36=0,"","*")</f>
        <v>*</v>
      </c>
      <c r="B37" s="205"/>
      <c r="C37" s="206"/>
      <c r="D37" s="205" t="s">
        <v>193</v>
      </c>
      <c r="E37" s="205"/>
      <c r="F37" s="207"/>
      <c r="G37" s="208"/>
      <c r="H37" s="209"/>
    </row>
    <row r="38" spans="1:8" s="187" customFormat="1" ht="15" x14ac:dyDescent="0.25">
      <c r="A38" s="178" t="str">
        <f>IF(F38&gt;0,MAX($A$1:A37)+1,"")</f>
        <v/>
      </c>
      <c r="B38" s="182"/>
      <c r="C38" s="183" t="s">
        <v>194</v>
      </c>
      <c r="D38" s="182" t="s">
        <v>195</v>
      </c>
      <c r="E38" s="182" t="s">
        <v>153</v>
      </c>
      <c r="F38" s="184">
        <v>0</v>
      </c>
      <c r="G38" s="185"/>
      <c r="H38" s="186">
        <f>F38*G38</f>
        <v>0</v>
      </c>
    </row>
    <row r="39" spans="1:8" s="210" customFormat="1" ht="15" x14ac:dyDescent="0.25">
      <c r="A39" s="204" t="str">
        <f>IF(F38=0,"","*")</f>
        <v/>
      </c>
      <c r="B39" s="205"/>
      <c r="C39" s="206"/>
      <c r="D39" s="205" t="s">
        <v>196</v>
      </c>
      <c r="E39" s="205"/>
      <c r="F39" s="207"/>
      <c r="G39" s="208"/>
      <c r="H39" s="209"/>
    </row>
    <row r="40" spans="1:8" s="220" customFormat="1" ht="8.1" customHeight="1" x14ac:dyDescent="0.25">
      <c r="A40" s="216" t="s">
        <v>145</v>
      </c>
      <c r="B40" s="217"/>
      <c r="C40" s="218"/>
      <c r="D40" s="217"/>
      <c r="E40" s="217"/>
      <c r="F40" s="207"/>
      <c r="G40" s="208"/>
      <c r="H40" s="219"/>
    </row>
    <row r="41" spans="1:8" s="225" customFormat="1" ht="15.75" x14ac:dyDescent="0.25">
      <c r="A41" s="221" t="str">
        <f>IF(F41&gt;0,MAX($A$1:A40)+1,"")</f>
        <v/>
      </c>
      <c r="B41" s="222" t="s">
        <v>439</v>
      </c>
      <c r="C41" s="223" t="s">
        <v>64</v>
      </c>
      <c r="D41" s="222" t="s">
        <v>197</v>
      </c>
      <c r="E41" s="172" t="s">
        <v>148</v>
      </c>
      <c r="F41" s="224">
        <f>IF(SUM(F42:F46)=0,0,1)</f>
        <v>0</v>
      </c>
      <c r="G41" s="175"/>
      <c r="H41" s="176">
        <f>SUBTOTAL(9,H42:H48)</f>
        <v>0</v>
      </c>
    </row>
    <row r="42" spans="1:8" s="230" customFormat="1" ht="15" x14ac:dyDescent="0.25">
      <c r="A42" s="178" t="str">
        <f>IF(F42&gt;0,MAX($A$1:A41)+1,"")</f>
        <v/>
      </c>
      <c r="B42" s="59"/>
      <c r="C42" s="226" t="s">
        <v>198</v>
      </c>
      <c r="D42" s="59" t="s">
        <v>199</v>
      </c>
      <c r="E42" s="59" t="s">
        <v>200</v>
      </c>
      <c r="F42" s="227">
        <v>0</v>
      </c>
      <c r="G42" s="228"/>
      <c r="H42" s="229">
        <f>F42*G42</f>
        <v>0</v>
      </c>
    </row>
    <row r="43" spans="1:8" s="234" customFormat="1" ht="15" x14ac:dyDescent="0.25">
      <c r="A43" s="204" t="str">
        <f>IF(F42=0,"","*")</f>
        <v/>
      </c>
      <c r="B43" s="231"/>
      <c r="C43" s="232"/>
      <c r="D43" s="205" t="s">
        <v>201</v>
      </c>
      <c r="E43" s="231"/>
      <c r="F43" s="227"/>
      <c r="G43" s="228" t="s">
        <v>69</v>
      </c>
      <c r="H43" s="233"/>
    </row>
    <row r="44" spans="1:8" s="230" customFormat="1" ht="15" x14ac:dyDescent="0.25">
      <c r="A44" s="178" t="str">
        <f>IF(F44&gt;0,MAX($A$1:A43)+1,"")</f>
        <v/>
      </c>
      <c r="B44" s="59"/>
      <c r="C44" s="226" t="s">
        <v>202</v>
      </c>
      <c r="D44" s="59" t="s">
        <v>203</v>
      </c>
      <c r="E44" s="59" t="s">
        <v>200</v>
      </c>
      <c r="F44" s="227">
        <v>0</v>
      </c>
      <c r="G44" s="228"/>
      <c r="H44" s="229">
        <f>F44*G44</f>
        <v>0</v>
      </c>
    </row>
    <row r="45" spans="1:8" s="234" customFormat="1" ht="30" x14ac:dyDescent="0.25">
      <c r="A45" s="204" t="str">
        <f>IF(F44=0,"","*")</f>
        <v/>
      </c>
      <c r="B45" s="231"/>
      <c r="C45" s="232"/>
      <c r="D45" s="191" t="s">
        <v>278</v>
      </c>
      <c r="E45" s="231"/>
      <c r="F45" s="227"/>
      <c r="G45" s="228"/>
      <c r="H45" s="233"/>
    </row>
    <row r="46" spans="1:8" s="230" customFormat="1" ht="15" x14ac:dyDescent="0.25">
      <c r="A46" s="178" t="str">
        <f>IF(F46&gt;0,MAX($A$1:A45)+1,"")</f>
        <v/>
      </c>
      <c r="B46" s="59"/>
      <c r="C46" s="226" t="s">
        <v>202</v>
      </c>
      <c r="D46" s="59" t="s">
        <v>204</v>
      </c>
      <c r="E46" s="59" t="s">
        <v>200</v>
      </c>
      <c r="F46" s="227">
        <v>0</v>
      </c>
      <c r="G46" s="228"/>
      <c r="H46" s="229">
        <f>F46*G46</f>
        <v>0</v>
      </c>
    </row>
    <row r="47" spans="1:8" s="234" customFormat="1" ht="20.25" customHeight="1" x14ac:dyDescent="0.25">
      <c r="A47" s="204" t="str">
        <f>IF(F46=0,"","*")</f>
        <v/>
      </c>
      <c r="B47" s="231"/>
      <c r="C47" s="232"/>
      <c r="D47" s="191" t="s">
        <v>279</v>
      </c>
      <c r="E47" s="231"/>
      <c r="F47" s="227"/>
      <c r="G47" s="228"/>
      <c r="H47" s="233"/>
    </row>
    <row r="48" spans="1:8" s="230" customFormat="1" ht="8.1" customHeight="1" x14ac:dyDescent="0.25">
      <c r="A48" s="165" t="s">
        <v>145</v>
      </c>
      <c r="B48" s="59"/>
      <c r="C48" s="226"/>
      <c r="D48" s="235"/>
      <c r="E48" s="59"/>
      <c r="F48" s="227"/>
      <c r="G48" s="228"/>
      <c r="H48" s="229"/>
    </row>
    <row r="49" spans="1:8" s="177" customFormat="1" ht="15.75" x14ac:dyDescent="0.25">
      <c r="A49" s="221" t="str">
        <f>IF(F49&gt;0,MAX($A$1:A48)+1,"")</f>
        <v/>
      </c>
      <c r="B49" s="172" t="s">
        <v>205</v>
      </c>
      <c r="C49" s="173" t="s">
        <v>66</v>
      </c>
      <c r="D49" s="172" t="s">
        <v>206</v>
      </c>
      <c r="E49" s="172" t="s">
        <v>148</v>
      </c>
      <c r="F49" s="174">
        <f>IF(SUM(F50:F52)=0,0,1)</f>
        <v>0</v>
      </c>
      <c r="G49" s="175"/>
      <c r="H49" s="176">
        <f>SUBTOTAL(9,H50:H54)</f>
        <v>0</v>
      </c>
    </row>
    <row r="50" spans="1:8" s="177" customFormat="1" ht="15.75" x14ac:dyDescent="0.25">
      <c r="A50" s="178" t="str">
        <f>IF(F50&gt;0,MAX($A$1:A49)+1,"")</f>
        <v/>
      </c>
      <c r="B50" s="172"/>
      <c r="C50" s="173" t="s">
        <v>207</v>
      </c>
      <c r="D50" s="172" t="s">
        <v>208</v>
      </c>
      <c r="E50" s="172" t="s">
        <v>433</v>
      </c>
      <c r="F50" s="1041"/>
      <c r="G50" s="175">
        <f>SUM('SO01 rekap'!E19:H19)</f>
        <v>0</v>
      </c>
      <c r="H50" s="176">
        <f>ROUND(F50*G50,0)</f>
        <v>0</v>
      </c>
    </row>
    <row r="51" spans="1:8" s="195" customFormat="1" ht="46.5" customHeight="1" x14ac:dyDescent="0.25">
      <c r="A51" s="204" t="str">
        <f>IF(G50=0,"","*")</f>
        <v/>
      </c>
      <c r="B51" s="189"/>
      <c r="C51" s="190"/>
      <c r="D51" s="191" t="s">
        <v>280</v>
      </c>
      <c r="E51" s="189"/>
      <c r="F51" s="192"/>
      <c r="G51" s="193"/>
      <c r="H51" s="194"/>
    </row>
    <row r="52" spans="1:8" s="195" customFormat="1" ht="15" x14ac:dyDescent="0.25">
      <c r="A52" s="204" t="str">
        <f>IF(G50=0,"","*")</f>
        <v/>
      </c>
      <c r="B52" s="189"/>
      <c r="C52" s="190"/>
      <c r="D52" s="191" t="s">
        <v>209</v>
      </c>
      <c r="E52" s="189"/>
      <c r="F52" s="192"/>
      <c r="G52" s="193"/>
      <c r="H52" s="194"/>
    </row>
    <row r="53" spans="1:8" s="195" customFormat="1" ht="32.25" customHeight="1" x14ac:dyDescent="0.25">
      <c r="A53" s="204" t="str">
        <f>IF(G50=0,"","*")</f>
        <v/>
      </c>
      <c r="B53" s="189"/>
      <c r="C53" s="190"/>
      <c r="D53" s="191" t="s">
        <v>210</v>
      </c>
      <c r="E53" s="189"/>
      <c r="F53" s="192"/>
      <c r="G53" s="193"/>
      <c r="H53" s="194"/>
    </row>
    <row r="54" spans="1:8" ht="8.1" customHeight="1" x14ac:dyDescent="0.25">
      <c r="A54" s="239" t="s">
        <v>145</v>
      </c>
      <c r="B54" s="29"/>
      <c r="C54" s="202"/>
      <c r="D54" s="235"/>
      <c r="E54" s="29"/>
      <c r="F54" s="192"/>
      <c r="G54" s="193"/>
      <c r="H54" s="240"/>
    </row>
    <row r="55" spans="1:8" s="177" customFormat="1" ht="15.75" x14ac:dyDescent="0.25">
      <c r="A55" s="221" t="str">
        <f>IF(F55&gt;0,MAX($A$1:A54)+1,"")</f>
        <v/>
      </c>
      <c r="B55" s="172" t="s">
        <v>439</v>
      </c>
      <c r="C55" s="173" t="s">
        <v>65</v>
      </c>
      <c r="D55" s="172" t="s">
        <v>211</v>
      </c>
      <c r="E55" s="172" t="s">
        <v>148</v>
      </c>
      <c r="F55" s="174">
        <f>IF(SUM(F56:F71)=0,0,1)</f>
        <v>0</v>
      </c>
      <c r="G55" s="175"/>
      <c r="H55" s="176">
        <f>SUBTOTAL(9,H56:H72)</f>
        <v>0</v>
      </c>
    </row>
    <row r="56" spans="1:8" s="170" customFormat="1" ht="15" x14ac:dyDescent="0.25">
      <c r="A56" s="178" t="str">
        <f>IF(F56&gt;0,MAX($A$1:A55)+1,"")</f>
        <v/>
      </c>
      <c r="B56" s="47"/>
      <c r="C56" s="166" t="s">
        <v>212</v>
      </c>
      <c r="D56" s="47" t="s">
        <v>213</v>
      </c>
      <c r="E56" s="47" t="s">
        <v>148</v>
      </c>
      <c r="F56" s="180">
        <f>IF(SUM(F57:F61)=0,0,1)</f>
        <v>0</v>
      </c>
      <c r="G56" s="181"/>
      <c r="H56" s="169">
        <f>SUBTOTAL(9,H57:H62)</f>
        <v>0</v>
      </c>
    </row>
    <row r="57" spans="1:8" ht="15" x14ac:dyDescent="0.25">
      <c r="A57" s="178" t="str">
        <f>IF(F57&gt;0,MAX($A$1:A56)+1,"")</f>
        <v/>
      </c>
      <c r="B57" s="29"/>
      <c r="C57" s="202" t="s">
        <v>214</v>
      </c>
      <c r="D57" s="29" t="s">
        <v>215</v>
      </c>
      <c r="E57" s="29" t="s">
        <v>200</v>
      </c>
      <c r="F57" s="1040"/>
      <c r="G57" s="1036"/>
      <c r="H57" s="186">
        <f>F57*G57</f>
        <v>0</v>
      </c>
    </row>
    <row r="58" spans="1:8" s="195" customFormat="1" ht="15" x14ac:dyDescent="0.25">
      <c r="A58" s="204" t="str">
        <f>IF(F57=0,"","*")</f>
        <v/>
      </c>
      <c r="B58" s="189"/>
      <c r="C58" s="190"/>
      <c r="D58" s="241" t="s">
        <v>216</v>
      </c>
      <c r="E58" s="189"/>
      <c r="F58" s="192"/>
      <c r="G58" s="193"/>
      <c r="H58" s="194"/>
    </row>
    <row r="59" spans="1:8" ht="15" x14ac:dyDescent="0.25">
      <c r="A59" s="178" t="str">
        <f>IF(F59&gt;0,MAX($A$1:A58)+1,"")</f>
        <v/>
      </c>
      <c r="B59" s="29"/>
      <c r="C59" s="202" t="s">
        <v>217</v>
      </c>
      <c r="D59" s="29" t="s">
        <v>218</v>
      </c>
      <c r="E59" s="29" t="s">
        <v>200</v>
      </c>
      <c r="F59" s="192">
        <v>0</v>
      </c>
      <c r="G59" s="193"/>
      <c r="H59" s="186">
        <f>F59*G59</f>
        <v>0</v>
      </c>
    </row>
    <row r="60" spans="1:8" s="195" customFormat="1" ht="15" x14ac:dyDescent="0.25">
      <c r="A60" s="204" t="str">
        <f>IF(F59=0,"","*")</f>
        <v/>
      </c>
      <c r="B60" s="189"/>
      <c r="C60" s="190"/>
      <c r="D60" s="191" t="s">
        <v>219</v>
      </c>
      <c r="E60" s="189"/>
      <c r="F60" s="192"/>
      <c r="G60" s="193"/>
      <c r="H60" s="194"/>
    </row>
    <row r="61" spans="1:8" ht="15" x14ac:dyDescent="0.25">
      <c r="A61" s="178" t="str">
        <f>IF(F61&gt;0,MAX($A$1:A60)+1,"")</f>
        <v/>
      </c>
      <c r="B61" s="29"/>
      <c r="C61" s="202" t="s">
        <v>220</v>
      </c>
      <c r="D61" s="29" t="s">
        <v>221</v>
      </c>
      <c r="E61" s="29" t="s">
        <v>200</v>
      </c>
      <c r="F61" s="192">
        <v>0</v>
      </c>
      <c r="G61" s="193"/>
      <c r="H61" s="186">
        <f>F61*G61</f>
        <v>0</v>
      </c>
    </row>
    <row r="62" spans="1:8" s="210" customFormat="1" ht="15" x14ac:dyDescent="0.25">
      <c r="A62" s="204" t="str">
        <f>IF(F61=0,"","*")</f>
        <v/>
      </c>
      <c r="B62" s="205"/>
      <c r="C62" s="206"/>
      <c r="D62" s="205" t="s">
        <v>222</v>
      </c>
      <c r="E62" s="205"/>
      <c r="F62" s="207"/>
      <c r="G62" s="208"/>
      <c r="H62" s="209"/>
    </row>
    <row r="63" spans="1:8" s="170" customFormat="1" ht="15" x14ac:dyDescent="0.25">
      <c r="A63" s="178" t="str">
        <f>IF(F63&gt;0,MAX($A$1:A62)+1,"")</f>
        <v/>
      </c>
      <c r="B63" s="47"/>
      <c r="C63" s="166" t="s">
        <v>223</v>
      </c>
      <c r="D63" s="47" t="s">
        <v>224</v>
      </c>
      <c r="E63" s="47" t="s">
        <v>153</v>
      </c>
      <c r="F63" s="180">
        <v>0</v>
      </c>
      <c r="G63" s="181"/>
      <c r="H63" s="229">
        <f>F63*G63</f>
        <v>0</v>
      </c>
    </row>
    <row r="64" spans="1:8" s="201" customFormat="1" ht="30" x14ac:dyDescent="0.25">
      <c r="A64" s="204" t="str">
        <f>IF(F63=0,"","*")</f>
        <v/>
      </c>
      <c r="B64" s="191"/>
      <c r="C64" s="197"/>
      <c r="D64" s="191" t="s">
        <v>225</v>
      </c>
      <c r="E64" s="191"/>
      <c r="F64" s="198"/>
      <c r="G64" s="199"/>
      <c r="H64" s="200"/>
    </row>
    <row r="65" spans="1:8" s="170" customFormat="1" ht="15" x14ac:dyDescent="0.25">
      <c r="A65" s="178" t="str">
        <f>IF(F65&gt;0,MAX($A$1:A64)+1,"")</f>
        <v/>
      </c>
      <c r="B65" s="47"/>
      <c r="C65" s="166" t="s">
        <v>226</v>
      </c>
      <c r="D65" s="47" t="s">
        <v>227</v>
      </c>
      <c r="E65" s="47" t="s">
        <v>200</v>
      </c>
      <c r="F65" s="1038">
        <v>0</v>
      </c>
      <c r="G65" s="1039">
        <v>0</v>
      </c>
      <c r="H65" s="229">
        <f>F65*G65</f>
        <v>0</v>
      </c>
    </row>
    <row r="66" spans="1:8" s="201" customFormat="1" ht="15" x14ac:dyDescent="0.25">
      <c r="A66" s="204" t="str">
        <f>IF(F65=0,"","*")</f>
        <v/>
      </c>
      <c r="B66" s="191"/>
      <c r="C66" s="197"/>
      <c r="D66" s="191" t="s">
        <v>228</v>
      </c>
      <c r="E66" s="191"/>
      <c r="F66" s="198"/>
      <c r="G66" s="199" t="s">
        <v>855</v>
      </c>
      <c r="H66" s="200"/>
    </row>
    <row r="67" spans="1:8" s="170" customFormat="1" ht="15" x14ac:dyDescent="0.25">
      <c r="A67" s="178" t="str">
        <f>IF(F67&gt;0,MAX($A$1:A66)+1,"")</f>
        <v/>
      </c>
      <c r="B67" s="47"/>
      <c r="C67" s="166" t="s">
        <v>229</v>
      </c>
      <c r="D67" s="47" t="s">
        <v>230</v>
      </c>
      <c r="E67" s="47" t="s">
        <v>200</v>
      </c>
      <c r="F67" s="180">
        <v>0</v>
      </c>
      <c r="G67" s="181"/>
      <c r="H67" s="229">
        <f>F67*G67</f>
        <v>0</v>
      </c>
    </row>
    <row r="68" spans="1:8" s="195" customFormat="1" ht="15" x14ac:dyDescent="0.25">
      <c r="A68" s="204" t="str">
        <f>IF(F67=0,"","*")</f>
        <v/>
      </c>
      <c r="B68" s="189"/>
      <c r="C68" s="190"/>
      <c r="D68" s="191" t="s">
        <v>231</v>
      </c>
      <c r="E68" s="189"/>
      <c r="F68" s="242"/>
      <c r="G68" s="193"/>
      <c r="H68" s="194"/>
    </row>
    <row r="69" spans="1:8" s="170" customFormat="1" ht="15.75" x14ac:dyDescent="0.25">
      <c r="A69" s="178" t="str">
        <f>IF(F69&gt;0,MAX($A$1:A68)+1,"")</f>
        <v/>
      </c>
      <c r="B69" s="47"/>
      <c r="C69" s="166" t="s">
        <v>232</v>
      </c>
      <c r="D69" s="47" t="s">
        <v>281</v>
      </c>
      <c r="E69" s="47" t="s">
        <v>433</v>
      </c>
      <c r="F69" s="1037"/>
      <c r="G69" s="175">
        <f>SUM('SO01 rekap'!E19:H19)</f>
        <v>0</v>
      </c>
      <c r="H69" s="169">
        <f>ROUND(F69*G69/100,0)</f>
        <v>0</v>
      </c>
    </row>
    <row r="70" spans="1:8" s="195" customFormat="1" ht="45" x14ac:dyDescent="0.25">
      <c r="A70" s="204" t="str">
        <f>IF(F69=0,"","*")</f>
        <v/>
      </c>
      <c r="B70" s="189"/>
      <c r="C70" s="190"/>
      <c r="D70" s="191" t="s">
        <v>233</v>
      </c>
      <c r="E70" s="189"/>
      <c r="F70" s="192"/>
      <c r="G70" s="193"/>
      <c r="H70" s="194"/>
    </row>
    <row r="71" spans="1:8" s="195" customFormat="1" ht="31.5" customHeight="1" x14ac:dyDescent="0.25">
      <c r="A71" s="204" t="str">
        <f>IF(F69=0,"","*")</f>
        <v/>
      </c>
      <c r="B71" s="189"/>
      <c r="C71" s="190"/>
      <c r="D71" s="191" t="s">
        <v>234</v>
      </c>
      <c r="E71" s="189"/>
      <c r="F71" s="192"/>
      <c r="G71" s="193"/>
      <c r="H71" s="194"/>
    </row>
    <row r="72" spans="1:8" ht="9" customHeight="1" x14ac:dyDescent="0.25">
      <c r="A72" s="239" t="s">
        <v>145</v>
      </c>
      <c r="B72" s="29"/>
      <c r="C72" s="202"/>
      <c r="D72" s="235"/>
      <c r="E72" s="29"/>
      <c r="F72" s="192"/>
      <c r="G72" s="193"/>
      <c r="H72" s="240"/>
    </row>
    <row r="73" spans="1:8" s="177" customFormat="1" ht="15.75" x14ac:dyDescent="0.25">
      <c r="A73" s="221">
        <f>IF(F73&gt;0,MAX($A$1:A72)+1,"")</f>
        <v>5</v>
      </c>
      <c r="B73" s="172" t="s">
        <v>439</v>
      </c>
      <c r="C73" s="173" t="s">
        <v>67</v>
      </c>
      <c r="D73" s="172" t="s">
        <v>235</v>
      </c>
      <c r="E73" s="172" t="s">
        <v>148</v>
      </c>
      <c r="F73" s="174">
        <f>IF(SUM(F74:F77)=0,0,1)</f>
        <v>1</v>
      </c>
      <c r="G73" s="175"/>
      <c r="H73" s="176">
        <f>SUBTOTAL(9,H74:H78)</f>
        <v>150000</v>
      </c>
    </row>
    <row r="74" spans="1:8" s="170" customFormat="1" ht="15" x14ac:dyDescent="0.25">
      <c r="A74" s="178" t="str">
        <f>IF(F74&gt;0,MAX($A$1:A73)+1,"")</f>
        <v/>
      </c>
      <c r="B74" s="47"/>
      <c r="C74" s="166" t="s">
        <v>236</v>
      </c>
      <c r="D74" s="47" t="s">
        <v>237</v>
      </c>
      <c r="E74" s="47" t="s">
        <v>153</v>
      </c>
      <c r="F74" s="180">
        <v>0</v>
      </c>
      <c r="G74" s="181"/>
      <c r="H74" s="229">
        <f>F74*G74</f>
        <v>0</v>
      </c>
    </row>
    <row r="75" spans="1:8" s="195" customFormat="1" ht="30" x14ac:dyDescent="0.25">
      <c r="A75" s="204" t="str">
        <f>IF(F74=0,"","*")</f>
        <v/>
      </c>
      <c r="B75" s="189"/>
      <c r="C75" s="190"/>
      <c r="D75" s="191" t="s">
        <v>282</v>
      </c>
      <c r="E75" s="189"/>
      <c r="F75" s="192"/>
      <c r="G75" s="193"/>
      <c r="H75" s="194"/>
    </row>
    <row r="76" spans="1:8" s="170" customFormat="1" ht="15.75" x14ac:dyDescent="0.25">
      <c r="A76" s="178">
        <f>IF(F76&gt;0,MAX($A$1:A75)+1,"")</f>
        <v>6</v>
      </c>
      <c r="B76" s="47"/>
      <c r="C76" s="166" t="s">
        <v>238</v>
      </c>
      <c r="D76" s="348" t="s">
        <v>1521</v>
      </c>
      <c r="E76" s="47" t="s">
        <v>433</v>
      </c>
      <c r="F76" s="1139">
        <v>1</v>
      </c>
      <c r="G76" s="1140">
        <v>150000</v>
      </c>
      <c r="H76" s="169">
        <f>ROUND(F76*G76,0)</f>
        <v>150000</v>
      </c>
    </row>
    <row r="77" spans="1:8" s="201" customFormat="1" ht="29.25" customHeight="1" x14ac:dyDescent="0.25">
      <c r="A77" s="204" t="str">
        <f>IF(F76=0,"","*")</f>
        <v>*</v>
      </c>
      <c r="B77" s="191"/>
      <c r="C77" s="197"/>
      <c r="D77" s="191" t="s">
        <v>239</v>
      </c>
      <c r="E77" s="244"/>
      <c r="F77" s="198"/>
      <c r="G77" s="199"/>
      <c r="H77" s="200"/>
    </row>
    <row r="78" spans="1:8" s="249" customFormat="1" ht="8.1" customHeight="1" x14ac:dyDescent="0.25">
      <c r="A78" s="245" t="s">
        <v>145</v>
      </c>
      <c r="B78" s="235"/>
      <c r="C78" s="246"/>
      <c r="D78" s="235"/>
      <c r="E78" s="247"/>
      <c r="F78" s="198"/>
      <c r="G78" s="199"/>
      <c r="H78" s="248"/>
    </row>
    <row r="79" spans="1:8" s="177" customFormat="1" ht="15.75" x14ac:dyDescent="0.25">
      <c r="A79" s="221" t="str">
        <f>IF(F79&gt;0,MAX($A$1:A78)+1,"")</f>
        <v/>
      </c>
      <c r="B79" s="172" t="s">
        <v>205</v>
      </c>
      <c r="C79" s="173" t="s">
        <v>68</v>
      </c>
      <c r="D79" s="172" t="s">
        <v>240</v>
      </c>
      <c r="E79" s="250" t="s">
        <v>148</v>
      </c>
      <c r="F79" s="174">
        <f>IF(SUM(F80:F90)=0,0,1)</f>
        <v>0</v>
      </c>
      <c r="G79" s="175"/>
      <c r="H79" s="176">
        <f>SUBTOTAL(9,H80:H92)</f>
        <v>0</v>
      </c>
    </row>
    <row r="80" spans="1:8" s="170" customFormat="1" ht="15" x14ac:dyDescent="0.25">
      <c r="A80" s="178" t="str">
        <f>IF(F80&gt;0,MAX($A$1:A79)+1,"")</f>
        <v/>
      </c>
      <c r="B80" s="47"/>
      <c r="C80" s="166" t="s">
        <v>241</v>
      </c>
      <c r="D80" s="47" t="s">
        <v>242</v>
      </c>
      <c r="E80" s="47" t="s">
        <v>433</v>
      </c>
      <c r="F80" s="243"/>
      <c r="G80" s="181"/>
      <c r="H80" s="169">
        <f>ROUND(F80*G80/100,0)</f>
        <v>0</v>
      </c>
    </row>
    <row r="81" spans="1:8" s="210" customFormat="1" ht="15" x14ac:dyDescent="0.25">
      <c r="A81" s="204" t="str">
        <f>IF(F80=0,"","*")</f>
        <v/>
      </c>
      <c r="B81" s="205"/>
      <c r="C81" s="206"/>
      <c r="D81" s="205" t="s">
        <v>243</v>
      </c>
      <c r="E81" s="205"/>
      <c r="F81" s="207"/>
      <c r="G81" s="208"/>
      <c r="H81" s="209"/>
    </row>
    <row r="82" spans="1:8" s="170" customFormat="1" ht="15" x14ac:dyDescent="0.25">
      <c r="A82" s="178" t="str">
        <f>IF(F82&gt;0,MAX($A$1:A81)+1,"")</f>
        <v/>
      </c>
      <c r="B82" s="47"/>
      <c r="C82" s="166" t="s">
        <v>244</v>
      </c>
      <c r="D82" s="47" t="s">
        <v>245</v>
      </c>
      <c r="E82" s="47" t="s">
        <v>153</v>
      </c>
      <c r="F82" s="180"/>
      <c r="G82" s="181"/>
      <c r="H82" s="229">
        <f>F82*G82</f>
        <v>0</v>
      </c>
    </row>
    <row r="83" spans="1:8" s="238" customFormat="1" ht="30" x14ac:dyDescent="0.25">
      <c r="A83" s="204" t="str">
        <f>IF(F82=0,"","*")</f>
        <v/>
      </c>
      <c r="B83" s="236"/>
      <c r="C83" s="190"/>
      <c r="D83" s="191" t="s">
        <v>246</v>
      </c>
      <c r="E83" s="236"/>
      <c r="F83" s="213"/>
      <c r="G83" s="214"/>
      <c r="H83" s="237"/>
    </row>
    <row r="84" spans="1:8" s="170" customFormat="1" ht="15" x14ac:dyDescent="0.25">
      <c r="A84" s="178" t="str">
        <f>IF(F84&gt;0,MAX($A$1:A83)+1,"")</f>
        <v/>
      </c>
      <c r="B84" s="47"/>
      <c r="C84" s="166" t="s">
        <v>247</v>
      </c>
      <c r="D84" s="47" t="s">
        <v>248</v>
      </c>
      <c r="E84" s="47" t="s">
        <v>153</v>
      </c>
      <c r="F84" s="180"/>
      <c r="G84" s="181"/>
      <c r="H84" s="229">
        <f>F84*G84</f>
        <v>0</v>
      </c>
    </row>
    <row r="85" spans="1:8" s="238" customFormat="1" ht="15" x14ac:dyDescent="0.25">
      <c r="A85" s="204" t="str">
        <f>IF(F84=0,"","*")</f>
        <v/>
      </c>
      <c r="B85" s="236"/>
      <c r="C85" s="190"/>
      <c r="D85" s="191" t="s">
        <v>249</v>
      </c>
      <c r="E85" s="236"/>
      <c r="F85" s="213"/>
      <c r="G85" s="214"/>
      <c r="H85" s="237"/>
    </row>
    <row r="86" spans="1:8" s="170" customFormat="1" ht="15" x14ac:dyDescent="0.25">
      <c r="A86" s="178" t="str">
        <f>IF(F86&gt;0,MAX($A$1:A85)+1,"")</f>
        <v/>
      </c>
      <c r="B86" s="47"/>
      <c r="C86" s="166" t="s">
        <v>250</v>
      </c>
      <c r="D86" s="47" t="s">
        <v>251</v>
      </c>
      <c r="E86" s="47" t="s">
        <v>153</v>
      </c>
      <c r="F86" s="180"/>
      <c r="G86" s="181">
        <v>0</v>
      </c>
      <c r="H86" s="229">
        <f>F86*G86</f>
        <v>0</v>
      </c>
    </row>
    <row r="87" spans="1:8" s="238" customFormat="1" ht="30" x14ac:dyDescent="0.25">
      <c r="A87" s="204" t="str">
        <f>IF(F86=0,"","*")</f>
        <v/>
      </c>
      <c r="B87" s="236"/>
      <c r="C87" s="190"/>
      <c r="D87" s="191" t="s">
        <v>252</v>
      </c>
      <c r="E87" s="236"/>
      <c r="F87" s="213"/>
      <c r="G87" s="214"/>
      <c r="H87" s="237"/>
    </row>
    <row r="88" spans="1:8" s="170" customFormat="1" ht="15" x14ac:dyDescent="0.25">
      <c r="A88" s="178" t="str">
        <f>IF(F88&gt;0,MAX($A$1:A87)+1,"")</f>
        <v/>
      </c>
      <c r="B88" s="47"/>
      <c r="C88" s="166" t="s">
        <v>253</v>
      </c>
      <c r="D88" s="47" t="s">
        <v>254</v>
      </c>
      <c r="E88" s="47" t="s">
        <v>153</v>
      </c>
      <c r="F88" s="180"/>
      <c r="G88" s="181">
        <v>0</v>
      </c>
      <c r="H88" s="229">
        <f>F88*G88</f>
        <v>0</v>
      </c>
    </row>
    <row r="89" spans="1:8" s="238" customFormat="1" ht="30" x14ac:dyDescent="0.25">
      <c r="A89" s="204" t="str">
        <f>IF(F88=0,"","*")</f>
        <v/>
      </c>
      <c r="B89" s="236"/>
      <c r="C89" s="190"/>
      <c r="D89" s="191" t="s">
        <v>283</v>
      </c>
      <c r="E89" s="236"/>
      <c r="F89" s="213"/>
      <c r="G89" s="214"/>
      <c r="H89" s="237"/>
    </row>
    <row r="90" spans="1:8" s="170" customFormat="1" ht="15" x14ac:dyDescent="0.25">
      <c r="A90" s="178" t="str">
        <f>IF(F90&gt;0,MAX($A$1:A89)+1,"")</f>
        <v/>
      </c>
      <c r="B90" s="47"/>
      <c r="C90" s="166" t="s">
        <v>255</v>
      </c>
      <c r="D90" s="47" t="s">
        <v>256</v>
      </c>
      <c r="E90" s="47" t="s">
        <v>433</v>
      </c>
      <c r="F90" s="243"/>
      <c r="G90" s="181"/>
      <c r="H90" s="169">
        <f>ROUND(F90*G90/100,0)</f>
        <v>0</v>
      </c>
    </row>
    <row r="91" spans="1:8" s="210" customFormat="1" ht="30" x14ac:dyDescent="0.25">
      <c r="A91" s="204" t="str">
        <f>IF(F90=0,"","*")</f>
        <v/>
      </c>
      <c r="B91" s="205"/>
      <c r="C91" s="206"/>
      <c r="D91" s="191" t="s">
        <v>257</v>
      </c>
      <c r="E91" s="205"/>
      <c r="F91" s="207"/>
      <c r="G91" s="208"/>
      <c r="H91" s="209"/>
    </row>
    <row r="92" spans="1:8" s="220" customFormat="1" ht="8.1" customHeight="1" x14ac:dyDescent="0.25">
      <c r="A92" s="251" t="s">
        <v>145</v>
      </c>
      <c r="B92" s="217"/>
      <c r="C92" s="218"/>
      <c r="D92" s="235"/>
      <c r="E92" s="217"/>
      <c r="F92" s="207"/>
      <c r="G92" s="208"/>
      <c r="H92" s="219"/>
    </row>
    <row r="93" spans="1:8" s="177" customFormat="1" ht="15.75" x14ac:dyDescent="0.25">
      <c r="A93" s="221">
        <f>IF(F93&gt;0,MAX($A$1:A92)+1,"")</f>
        <v>7</v>
      </c>
      <c r="B93" s="172" t="s">
        <v>205</v>
      </c>
      <c r="C93" s="173" t="s">
        <v>437</v>
      </c>
      <c r="D93" s="172" t="s">
        <v>258</v>
      </c>
      <c r="E93" s="172" t="s">
        <v>148</v>
      </c>
      <c r="F93" s="174">
        <f>IF(SUM(F94:F100)=0,0,1)</f>
        <v>1</v>
      </c>
      <c r="G93" s="175"/>
      <c r="H93" s="176">
        <f>SUBTOTAL(9,H94:H102)</f>
        <v>0</v>
      </c>
    </row>
    <row r="94" spans="1:8" s="170" customFormat="1" ht="14.25" customHeight="1" x14ac:dyDescent="0.25">
      <c r="A94" s="178">
        <f>IF(F94&gt;0,MAX($A$1:A93)+1,"")</f>
        <v>8</v>
      </c>
      <c r="B94" s="47"/>
      <c r="C94" s="166" t="s">
        <v>259</v>
      </c>
      <c r="D94" s="47" t="s">
        <v>260</v>
      </c>
      <c r="E94" s="47" t="s">
        <v>153</v>
      </c>
      <c r="F94" s="180">
        <v>1</v>
      </c>
      <c r="G94" s="1036"/>
      <c r="H94" s="229">
        <f>F94*G94</f>
        <v>0</v>
      </c>
    </row>
    <row r="95" spans="1:8" s="210" customFormat="1" ht="15" x14ac:dyDescent="0.25">
      <c r="A95" s="204" t="str">
        <f>IF(F94=0,"","*")</f>
        <v>*</v>
      </c>
      <c r="B95" s="205"/>
      <c r="C95" s="206"/>
      <c r="D95" s="191" t="s">
        <v>284</v>
      </c>
      <c r="E95" s="205"/>
      <c r="F95" s="207"/>
      <c r="G95" s="208"/>
      <c r="H95" s="209"/>
    </row>
    <row r="96" spans="1:8" s="170" customFormat="1" ht="14.25" customHeight="1" x14ac:dyDescent="0.25">
      <c r="A96" s="178" t="str">
        <f>IF(F96&gt;0,MAX($A$1:A95)+1,"")</f>
        <v/>
      </c>
      <c r="B96" s="47"/>
      <c r="C96" s="166" t="s">
        <v>261</v>
      </c>
      <c r="D96" s="47" t="s">
        <v>262</v>
      </c>
      <c r="E96" s="47" t="s">
        <v>433</v>
      </c>
      <c r="F96" s="243">
        <v>0</v>
      </c>
      <c r="G96" s="181"/>
      <c r="H96" s="169">
        <f>ROUND(F96*G96/100,0)</f>
        <v>0</v>
      </c>
    </row>
    <row r="97" spans="1:8" s="210" customFormat="1" ht="30" x14ac:dyDescent="0.25">
      <c r="A97" s="204" t="str">
        <f>IF(F96=0,"","*")</f>
        <v/>
      </c>
      <c r="B97" s="205"/>
      <c r="C97" s="206"/>
      <c r="D97" s="191" t="s">
        <v>263</v>
      </c>
      <c r="E97" s="205"/>
      <c r="F97" s="252"/>
      <c r="G97" s="208"/>
      <c r="H97" s="209"/>
    </row>
    <row r="98" spans="1:8" s="170" customFormat="1" ht="14.25" customHeight="1" x14ac:dyDescent="0.25">
      <c r="A98" s="178" t="str">
        <f>IF(F98&gt;0,MAX($A$1:A97)+1,"")</f>
        <v/>
      </c>
      <c r="B98" s="47"/>
      <c r="C98" s="166" t="s">
        <v>264</v>
      </c>
      <c r="D98" s="47" t="s">
        <v>265</v>
      </c>
      <c r="E98" s="47" t="s">
        <v>433</v>
      </c>
      <c r="F98" s="243">
        <v>0</v>
      </c>
      <c r="G98" s="181"/>
      <c r="H98" s="169">
        <f>ROUND(F98*G98/100,0)</f>
        <v>0</v>
      </c>
    </row>
    <row r="99" spans="1:8" s="210" customFormat="1" ht="30" x14ac:dyDescent="0.25">
      <c r="A99" s="204" t="str">
        <f>IF(F98=0,"","*")</f>
        <v/>
      </c>
      <c r="B99" s="205"/>
      <c r="C99" s="206"/>
      <c r="D99" s="191" t="s">
        <v>266</v>
      </c>
      <c r="E99" s="205"/>
      <c r="F99" s="207"/>
      <c r="G99" s="208"/>
      <c r="H99" s="209"/>
    </row>
    <row r="100" spans="1:8" s="170" customFormat="1" ht="14.25" customHeight="1" x14ac:dyDescent="0.25">
      <c r="A100" s="178" t="str">
        <f>IF(F100&gt;0,MAX($A$1:A99)+1,"")</f>
        <v/>
      </c>
      <c r="B100" s="47"/>
      <c r="C100" s="166" t="s">
        <v>267</v>
      </c>
      <c r="D100" s="47" t="s">
        <v>268</v>
      </c>
      <c r="E100" s="47" t="s">
        <v>433</v>
      </c>
      <c r="F100" s="691">
        <v>0</v>
      </c>
      <c r="G100" s="181">
        <v>0</v>
      </c>
      <c r="H100" s="169">
        <f>ROUND(F100*G100/100,0)</f>
        <v>0</v>
      </c>
    </row>
    <row r="101" spans="1:8" s="210" customFormat="1" ht="45.6" customHeight="1" x14ac:dyDescent="0.25">
      <c r="A101" s="204" t="str">
        <f>IF(F100=0,"","*")</f>
        <v/>
      </c>
      <c r="B101" s="205"/>
      <c r="C101" s="206"/>
      <c r="D101" s="191" t="s">
        <v>854</v>
      </c>
      <c r="E101" s="205"/>
      <c r="F101" s="207"/>
      <c r="G101" s="208"/>
      <c r="H101" s="209"/>
    </row>
    <row r="102" spans="1:8" s="220" customFormat="1" ht="8.1" customHeight="1" x14ac:dyDescent="0.25">
      <c r="A102" s="251" t="s">
        <v>145</v>
      </c>
      <c r="B102" s="217"/>
      <c r="C102" s="218"/>
      <c r="D102" s="235"/>
      <c r="E102" s="217"/>
      <c r="F102" s="207"/>
      <c r="G102" s="208"/>
      <c r="H102" s="219"/>
    </row>
    <row r="103" spans="1:8" s="177" customFormat="1" ht="15.75" x14ac:dyDescent="0.25">
      <c r="A103" s="221" t="str">
        <f>IF(F103&gt;0,MAX($A$1:A102)+1,"")</f>
        <v/>
      </c>
      <c r="B103" s="172" t="s">
        <v>439</v>
      </c>
      <c r="C103" s="173" t="s">
        <v>269</v>
      </c>
      <c r="D103" s="172" t="s">
        <v>270</v>
      </c>
      <c r="E103" s="172" t="s">
        <v>148</v>
      </c>
      <c r="F103" s="174">
        <f>IF(SUM(F104:F105)=0,0,1)</f>
        <v>0</v>
      </c>
      <c r="G103" s="175"/>
      <c r="H103" s="176">
        <f>SUBTOTAL(9,H104:H106)</f>
        <v>0</v>
      </c>
    </row>
    <row r="104" spans="1:8" s="230" customFormat="1" ht="15" x14ac:dyDescent="0.25">
      <c r="A104" s="178" t="str">
        <f>IF(F104&gt;0,MAX($A$1:A103)+1,"")</f>
        <v/>
      </c>
      <c r="B104" s="59"/>
      <c r="C104" s="226" t="s">
        <v>271</v>
      </c>
      <c r="D104" s="253" t="s">
        <v>272</v>
      </c>
      <c r="E104" s="59" t="s">
        <v>200</v>
      </c>
      <c r="F104" s="1044"/>
      <c r="G104" s="1036"/>
      <c r="H104" s="229">
        <f>F104*G104</f>
        <v>0</v>
      </c>
    </row>
    <row r="105" spans="1:8" s="230" customFormat="1" ht="15" x14ac:dyDescent="0.25">
      <c r="A105" s="178" t="str">
        <f>IF(F105&gt;0,MAX($A$1:A104)+1,"")</f>
        <v/>
      </c>
      <c r="B105" s="59"/>
      <c r="C105" s="226" t="s">
        <v>271</v>
      </c>
      <c r="D105" s="253" t="s">
        <v>273</v>
      </c>
      <c r="E105" s="59" t="s">
        <v>153</v>
      </c>
      <c r="F105" s="227"/>
      <c r="G105" s="181">
        <v>0</v>
      </c>
      <c r="H105" s="229">
        <f>F105*G105</f>
        <v>0</v>
      </c>
    </row>
    <row r="106" spans="1:8" s="210" customFormat="1" ht="30" x14ac:dyDescent="0.25">
      <c r="A106" s="204" t="str">
        <f>IF(FG103=0,"","*")</f>
        <v/>
      </c>
      <c r="B106" s="205"/>
      <c r="C106" s="206"/>
      <c r="D106" s="191" t="s">
        <v>285</v>
      </c>
      <c r="E106" s="205"/>
      <c r="F106" s="252"/>
      <c r="G106" s="208"/>
      <c r="H106" s="209"/>
    </row>
    <row r="107" spans="1:8" s="220" customFormat="1" ht="15" x14ac:dyDescent="0.25">
      <c r="A107" s="216"/>
      <c r="B107" s="217"/>
      <c r="C107" s="218"/>
      <c r="D107" s="235"/>
      <c r="E107" s="217"/>
      <c r="F107" s="252"/>
      <c r="G107" s="208"/>
      <c r="H107" s="219"/>
    </row>
    <row r="108" spans="1:8" ht="15.75" thickBot="1" x14ac:dyDescent="0.25">
      <c r="A108" s="254" t="s">
        <v>350</v>
      </c>
      <c r="B108" s="255"/>
      <c r="C108" s="256"/>
      <c r="D108" s="255"/>
      <c r="E108" s="255"/>
      <c r="F108" s="255"/>
      <c r="G108" s="257"/>
      <c r="H108" s="258"/>
    </row>
    <row r="109" spans="1:8" ht="15" x14ac:dyDescent="0.2">
      <c r="A109" s="259" t="s">
        <v>145</v>
      </c>
    </row>
  </sheetData>
  <protectedRanges>
    <protectedRange sqref="G36 F50 F57 G57 F69 F76 G94 F104 G104" name="Oblast1"/>
  </protectedRanges>
  <autoFilter ref="A5:A109"/>
  <customSheetViews>
    <customSheetView guid="{30B10D60-758F-4E0B-9F03-5879C6CAFDF6}" showPageBreaks="1" printArea="1" showAutoFilter="1" view="pageBreakPreview">
      <pane ySplit="5" topLeftCell="A86" activePane="bottomLeft" state="frozen"/>
      <selection pane="bottomLeft" activeCell="G94" sqref="G94"/>
      <pageMargins left="0.70866141732283472" right="0.70866141732283472" top="0.78740157480314965" bottom="0.78740157480314965" header="0.31496062992125984" footer="0.31496062992125984"/>
      <pageSetup paperSize="9" orientation="landscape" r:id="rId1"/>
      <headerFooter>
        <oddFooter>Stránka &amp;P z &amp;N</oddFooter>
      </headerFooter>
      <autoFilter ref="A5:A109"/>
    </customSheetView>
  </customSheetViews>
  <phoneticPr fontId="73" type="noConversion"/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>Stránka &amp;P z &amp;N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9" tint="-0.499984740745262"/>
  </sheetPr>
  <dimension ref="A1:BG46"/>
  <sheetViews>
    <sheetView view="pageBreakPreview" zoomScale="160" zoomScaleNormal="100" zoomScaleSheetLayoutView="160" workbookViewId="0">
      <selection activeCell="C27" sqref="C27:E27"/>
    </sheetView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42578125" customWidth="1"/>
    <col min="7" max="7" width="20.140625" customWidth="1"/>
    <col min="8" max="8" width="16.7109375" customWidth="1"/>
    <col min="9" max="9" width="3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08" t="str">
        <f>'SO01 Krycí list'!$C$4:$G$4</f>
        <v>Rekonstrukce oddělení ortopedie</v>
      </c>
      <c r="D4" s="1209"/>
      <c r="E4" s="1209"/>
      <c r="F4" s="1209"/>
      <c r="G4" s="1210"/>
      <c r="H4" s="938" t="s">
        <v>621</v>
      </c>
      <c r="I4" s="84"/>
    </row>
    <row r="5" spans="1:59" ht="21" customHeight="1" x14ac:dyDescent="0.2">
      <c r="A5" s="85"/>
      <c r="B5" s="86"/>
      <c r="C5" s="1208" t="str">
        <f>'SO01 Krycí list'!$C$5:$G$5</f>
        <v>v pavilonu "B" nemocnice Šumperk</v>
      </c>
      <c r="D5" s="1209"/>
      <c r="E5" s="1209"/>
      <c r="F5" s="1209"/>
      <c r="G5" s="1210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208" t="str">
        <f>'SO01 Krycí list'!$C$7:$G$7</f>
        <v>SO 01 Vlastní objekt</v>
      </c>
      <c r="D7" s="1209"/>
      <c r="E7" s="1209"/>
      <c r="F7" s="1209"/>
      <c r="G7" s="1210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321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89" t="s">
        <v>619</v>
      </c>
      <c r="B10" s="91"/>
      <c r="C10" s="1156" t="str">
        <f>'SO01 Krycí list'!C10:E10</f>
        <v>Město Šumperk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213" t="str">
        <f>'SO01 Krycí list'!C11:E11</f>
        <v>Nemocnice Šumperk a.s.</v>
      </c>
      <c r="D11" s="1213"/>
      <c r="E11" s="1213"/>
      <c r="F11" s="100"/>
      <c r="G11" s="92" t="s">
        <v>96</v>
      </c>
      <c r="H11" s="91"/>
      <c r="I11" s="101">
        <f>IF(PocetMJ=0,,ROUND((#REF!+#REF!)/PocetMJ,1))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215"/>
      <c r="I13" s="1216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17"/>
      <c r="H14" s="1218"/>
      <c r="I14" s="1219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'01rek'!E25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'01rek'!F25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292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'01rek'!G25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'01rek'!H25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'01rek'!I25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337">
        <f>SUM(D21:D24)</f>
        <v>0</v>
      </c>
      <c r="E25" s="338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ht="13.5" thickBot="1" x14ac:dyDescent="0.25">
      <c r="A26" s="130" t="s">
        <v>123</v>
      </c>
      <c r="B26" s="131"/>
      <c r="C26" s="1181" t="s">
        <v>101</v>
      </c>
      <c r="D26" s="1182"/>
      <c r="E26" s="1183"/>
      <c r="F26" s="336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53" t="s">
        <v>1419</v>
      </c>
      <c r="D27" s="1254"/>
      <c r="E27" s="1255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222"/>
      <c r="D34" s="1167"/>
      <c r="E34" s="1168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69"/>
      <c r="D35" s="1170"/>
      <c r="E35" s="1171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75"/>
      <c r="D36" s="1176"/>
      <c r="E36" s="1177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72"/>
      <c r="D37" s="1173"/>
      <c r="E37" s="1174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ht="13.5" thickBot="1" x14ac:dyDescent="0.25">
      <c r="A38" s="54" t="s">
        <v>137</v>
      </c>
      <c r="B38" s="29"/>
      <c r="C38" s="1150"/>
      <c r="D38" s="1151"/>
      <c r="E38" s="1151"/>
      <c r="F38" s="1151"/>
      <c r="G38" s="1151"/>
      <c r="H38" s="1151"/>
      <c r="I38" s="1152"/>
    </row>
    <row r="39" spans="1:9" ht="73.5" customHeight="1" thickBot="1" x14ac:dyDescent="0.25">
      <c r="A39" s="1147" t="s">
        <v>1053</v>
      </c>
      <c r="B39" s="1148"/>
      <c r="C39" s="1148"/>
      <c r="D39" s="1148"/>
      <c r="E39" s="1148"/>
      <c r="F39" s="1148"/>
      <c r="G39" s="1148"/>
      <c r="H39" s="1148"/>
      <c r="I39" s="1149"/>
    </row>
    <row r="40" spans="1:9" ht="1.5" customHeight="1" thickBot="1" x14ac:dyDescent="0.25">
      <c r="A40" s="147"/>
      <c r="B40" s="148"/>
      <c r="C40" s="148"/>
      <c r="D40" s="148"/>
      <c r="E40" s="148"/>
      <c r="F40" s="148"/>
      <c r="G40" s="148"/>
      <c r="H40" s="148"/>
      <c r="I40" s="149"/>
    </row>
    <row r="43" spans="1:9" x14ac:dyDescent="0.2">
      <c r="B43" s="332"/>
    </row>
    <row r="44" spans="1:9" x14ac:dyDescent="0.2">
      <c r="B44" s="332"/>
    </row>
    <row r="45" spans="1:9" x14ac:dyDescent="0.2">
      <c r="B45" s="333"/>
    </row>
    <row r="46" spans="1:9" x14ac:dyDescent="0.2">
      <c r="B46" s="332"/>
    </row>
  </sheetData>
  <protectedRanges>
    <protectedRange sqref="C38:I38" name="Oblast2_2_1"/>
  </protectedRanges>
  <customSheetViews>
    <customSheetView guid="{30B10D60-758F-4E0B-9F03-5879C6CAFDF6}" scale="160" showPageBreak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1">
    <mergeCell ref="C38:I38"/>
    <mergeCell ref="A39:I39"/>
    <mergeCell ref="C37:E37"/>
    <mergeCell ref="C31:E31"/>
    <mergeCell ref="C32:E32"/>
    <mergeCell ref="C33:E33"/>
    <mergeCell ref="C34:E34"/>
    <mergeCell ref="C35:E35"/>
    <mergeCell ref="C36:E36"/>
    <mergeCell ref="C9:G9"/>
    <mergeCell ref="C30:E30"/>
    <mergeCell ref="C10:E10"/>
    <mergeCell ref="C29:E29"/>
    <mergeCell ref="F29:G29"/>
    <mergeCell ref="C11:E11"/>
    <mergeCell ref="C12:E12"/>
    <mergeCell ref="D13:E13"/>
    <mergeCell ref="A16:E16"/>
    <mergeCell ref="F16:I16"/>
    <mergeCell ref="C27:E27"/>
    <mergeCell ref="H13:I13"/>
    <mergeCell ref="B14:E14"/>
    <mergeCell ref="G14:I14"/>
    <mergeCell ref="C28:D28"/>
    <mergeCell ref="C26:E26"/>
    <mergeCell ref="H5:I5"/>
    <mergeCell ref="H6:I6"/>
    <mergeCell ref="H7:I7"/>
    <mergeCell ref="C4:G4"/>
    <mergeCell ref="C5:G5"/>
    <mergeCell ref="C7:G7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54273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4273" r:id="rId5"/>
      </mc:Fallback>
    </mc:AlternateContent>
    <mc:AlternateContent xmlns:mc="http://schemas.openxmlformats.org/markup-compatibility/2006">
      <mc:Choice Requires="x14">
        <oleObject progId="Word.Picture.6" shapeId="54274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4274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C35"/>
  <sheetViews>
    <sheetView zoomScale="160" zoomScaleNormal="160" zoomScaleSheetLayoutView="130" workbookViewId="0">
      <selection activeCell="M16" sqref="M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4.7109375" customWidth="1"/>
    <col min="5" max="9" width="11.7109375" customWidth="1"/>
    <col min="11" max="50" width="0" hidden="1" customWidth="1"/>
  </cols>
  <sheetData>
    <row r="1" spans="1:55" s="11" customFormat="1" ht="16.5" customHeight="1" thickTop="1" thickBot="1" x14ac:dyDescent="0.3">
      <c r="A1" s="273" t="s">
        <v>49</v>
      </c>
      <c r="B1" s="274"/>
      <c r="C1" s="1223" t="str">
        <f>'SO01 Krycí list'!$C$4:$G$4</f>
        <v>Rekonstrukce oddělení ortopedie</v>
      </c>
      <c r="D1" s="1224"/>
      <c r="E1" s="1224"/>
      <c r="F1" s="1224"/>
      <c r="G1" s="1224"/>
      <c r="H1" s="1224"/>
      <c r="I1" s="1225"/>
    </row>
    <row r="2" spans="1:55" s="11" customFormat="1" ht="16.5" customHeight="1" thickTop="1" x14ac:dyDescent="0.25">
      <c r="A2" s="334"/>
      <c r="B2" s="335"/>
      <c r="C2" s="1223" t="str">
        <f>'SO01 Krycí list'!$C$5:$G$5</f>
        <v>v pavilonu "B" nemocnice Šumperk</v>
      </c>
      <c r="D2" s="1224"/>
      <c r="E2" s="1224"/>
      <c r="F2" s="1224"/>
      <c r="G2" s="1224"/>
      <c r="H2" s="1224"/>
      <c r="I2" s="1225"/>
    </row>
    <row r="3" spans="1:55" ht="12.75" customHeight="1" x14ac:dyDescent="0.2">
      <c r="A3" s="275" t="s">
        <v>50</v>
      </c>
      <c r="B3" s="276"/>
      <c r="C3" s="282" t="str">
        <f>'SO01 Krycí list'!$C$7:$G$7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">
        <v>321</v>
      </c>
      <c r="D4" s="283"/>
      <c r="E4" s="283"/>
      <c r="F4" s="283"/>
      <c r="G4" s="284"/>
      <c r="H4" s="14" t="s">
        <v>54</v>
      </c>
      <c r="I4" s="15">
        <f>'01 Stavební'!$C$28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x14ac:dyDescent="0.2">
      <c r="A9" s="689" t="s">
        <v>44</v>
      </c>
      <c r="B9" s="36"/>
      <c r="C9" s="270"/>
      <c r="D9" s="264"/>
      <c r="E9" s="34" t="str">
        <f>IF('01Položky'!$J$7=0,"",'01Položky'!$J$7)</f>
        <v/>
      </c>
      <c r="F9" s="34" t="s">
        <v>63</v>
      </c>
      <c r="G9" s="34" t="s">
        <v>63</v>
      </c>
      <c r="H9" s="34" t="s">
        <v>63</v>
      </c>
      <c r="I9" s="38" t="s">
        <v>63</v>
      </c>
    </row>
    <row r="10" spans="1:55" s="268" customFormat="1" x14ac:dyDescent="0.2">
      <c r="A10" s="690" t="s">
        <v>43</v>
      </c>
      <c r="B10" s="36"/>
      <c r="C10" s="270"/>
      <c r="D10" s="264"/>
      <c r="E10" s="34" t="str">
        <f>IF('01Položky'!$J$19=0,"",'01Položky'!$J$19)</f>
        <v/>
      </c>
      <c r="F10" s="34" t="s">
        <v>63</v>
      </c>
      <c r="G10" s="34" t="s">
        <v>63</v>
      </c>
      <c r="H10" s="34" t="s">
        <v>63</v>
      </c>
      <c r="I10" s="38" t="s">
        <v>63</v>
      </c>
    </row>
    <row r="11" spans="1:55" s="268" customFormat="1" x14ac:dyDescent="0.2">
      <c r="A11" s="690" t="s">
        <v>45</v>
      </c>
      <c r="B11" s="36"/>
      <c r="C11" s="270"/>
      <c r="D11" s="264"/>
      <c r="E11" s="34" t="str">
        <f>IF('01Položky'!$J$47=0,"",'01Položky'!$J$47)</f>
        <v/>
      </c>
      <c r="F11" s="34" t="s">
        <v>63</v>
      </c>
      <c r="G11" s="34" t="s">
        <v>63</v>
      </c>
      <c r="H11" s="34" t="s">
        <v>63</v>
      </c>
      <c r="I11" s="38" t="s">
        <v>63</v>
      </c>
    </row>
    <row r="12" spans="1:55" s="268" customFormat="1" x14ac:dyDescent="0.2">
      <c r="A12" s="690" t="s">
        <v>46</v>
      </c>
      <c r="B12" s="36"/>
      <c r="C12" s="270"/>
      <c r="D12" s="264"/>
      <c r="E12" s="34" t="str">
        <f>IF('01Položky'!$J$83=0,"",'01Položky'!$J$83)</f>
        <v/>
      </c>
      <c r="F12" s="34" t="s">
        <v>63</v>
      </c>
      <c r="G12" s="34" t="s">
        <v>63</v>
      </c>
      <c r="H12" s="34" t="s">
        <v>63</v>
      </c>
      <c r="I12" s="38" t="s">
        <v>63</v>
      </c>
    </row>
    <row r="13" spans="1:55" s="268" customFormat="1" x14ac:dyDescent="0.2">
      <c r="A13" s="690" t="s">
        <v>352</v>
      </c>
      <c r="B13" s="36"/>
      <c r="C13" s="270"/>
      <c r="D13" s="264"/>
      <c r="E13" s="34" t="s">
        <v>63</v>
      </c>
      <c r="F13" s="34" t="str">
        <f>IF('01Položky'!$J$91=0,"",'01Položky'!$J$91)</f>
        <v/>
      </c>
      <c r="G13" s="34" t="s">
        <v>63</v>
      </c>
      <c r="H13" s="34" t="s">
        <v>63</v>
      </c>
      <c r="I13" s="38" t="s">
        <v>63</v>
      </c>
    </row>
    <row r="14" spans="1:55" s="268" customFormat="1" x14ac:dyDescent="0.2">
      <c r="A14" s="690" t="s">
        <v>1167</v>
      </c>
      <c r="B14" s="36"/>
      <c r="C14" s="270"/>
      <c r="D14" s="264"/>
      <c r="E14" s="34" t="s">
        <v>63</v>
      </c>
      <c r="F14" s="34" t="str">
        <f>IF('01Položky'!$J$98=0,"",'01Položky'!$J$98)</f>
        <v/>
      </c>
      <c r="G14" s="34" t="s">
        <v>63</v>
      </c>
      <c r="H14" s="34" t="s">
        <v>63</v>
      </c>
      <c r="I14" s="38" t="s">
        <v>63</v>
      </c>
    </row>
    <row r="15" spans="1:55" s="268" customFormat="1" x14ac:dyDescent="0.2">
      <c r="A15" s="690" t="s">
        <v>38</v>
      </c>
      <c r="B15" s="36"/>
      <c r="C15" s="270"/>
      <c r="D15" s="264"/>
      <c r="E15" s="34" t="s">
        <v>63</v>
      </c>
      <c r="F15" s="34" t="str">
        <f>IF('01Položky'!$J$113=0,"",'01Položky'!$J$113)</f>
        <v/>
      </c>
      <c r="G15" s="34" t="s">
        <v>63</v>
      </c>
      <c r="H15" s="34" t="s">
        <v>63</v>
      </c>
      <c r="I15" s="38" t="s">
        <v>63</v>
      </c>
    </row>
    <row r="16" spans="1:55" s="268" customFormat="1" x14ac:dyDescent="0.2">
      <c r="A16" s="690" t="s">
        <v>289</v>
      </c>
      <c r="B16" s="36"/>
      <c r="C16" s="270"/>
      <c r="D16" s="264"/>
      <c r="E16" s="34" t="s">
        <v>63</v>
      </c>
      <c r="F16" s="34" t="str">
        <f>IF('01Položky'!$J$139=0,"",'01Položky'!$J$139)</f>
        <v/>
      </c>
      <c r="G16" s="34" t="s">
        <v>63</v>
      </c>
      <c r="H16" s="34" t="s">
        <v>63</v>
      </c>
      <c r="I16" s="38" t="s">
        <v>63</v>
      </c>
    </row>
    <row r="17" spans="1:9" s="268" customFormat="1" x14ac:dyDescent="0.2">
      <c r="A17" s="690" t="s">
        <v>290</v>
      </c>
      <c r="B17" s="36"/>
      <c r="C17" s="270"/>
      <c r="D17" s="264"/>
      <c r="E17" s="34" t="s">
        <v>63</v>
      </c>
      <c r="F17" s="34" t="str">
        <f>IF('01Položky'!$J$174=0,"",'01Položky'!$J$174)</f>
        <v/>
      </c>
      <c r="G17" s="34" t="s">
        <v>63</v>
      </c>
      <c r="H17" s="34" t="s">
        <v>63</v>
      </c>
      <c r="I17" s="38" t="s">
        <v>63</v>
      </c>
    </row>
    <row r="18" spans="1:9" s="268" customFormat="1" x14ac:dyDescent="0.2">
      <c r="A18" s="690" t="s">
        <v>47</v>
      </c>
      <c r="B18" s="36"/>
      <c r="C18" s="270"/>
      <c r="D18" s="264"/>
      <c r="E18" s="34" t="s">
        <v>63</v>
      </c>
      <c r="F18" s="34" t="str">
        <f>IF('01Položky'!$J$185=0,"",'01Položky'!$J$185)</f>
        <v/>
      </c>
      <c r="G18" s="34" t="s">
        <v>63</v>
      </c>
      <c r="H18" s="34" t="s">
        <v>63</v>
      </c>
      <c r="I18" s="38" t="s">
        <v>63</v>
      </c>
    </row>
    <row r="19" spans="1:9" s="268" customFormat="1" x14ac:dyDescent="0.2">
      <c r="A19" s="690" t="s">
        <v>851</v>
      </c>
      <c r="B19" s="330"/>
      <c r="C19" s="270"/>
      <c r="D19" s="264"/>
      <c r="E19" s="34" t="s">
        <v>63</v>
      </c>
      <c r="F19" s="34" t="str">
        <f>IF('01Položky'!$J$207=0,"",'01Položky'!$J$207)</f>
        <v/>
      </c>
      <c r="G19" s="34" t="s">
        <v>63</v>
      </c>
      <c r="H19" s="34" t="s">
        <v>63</v>
      </c>
      <c r="I19" s="38" t="s">
        <v>63</v>
      </c>
    </row>
    <row r="20" spans="1:9" s="268" customFormat="1" x14ac:dyDescent="0.2">
      <c r="A20" s="690" t="s">
        <v>1309</v>
      </c>
      <c r="B20" s="36"/>
      <c r="C20" s="270"/>
      <c r="D20" s="264"/>
      <c r="E20" s="34" t="s">
        <v>63</v>
      </c>
      <c r="F20" s="34" t="str">
        <f>IF('01Položky'!$J$218=0,"",'01Položky'!$J$218)</f>
        <v/>
      </c>
      <c r="G20" s="34" t="s">
        <v>63</v>
      </c>
      <c r="H20" s="34" t="s">
        <v>63</v>
      </c>
      <c r="I20" s="38" t="s">
        <v>63</v>
      </c>
    </row>
    <row r="21" spans="1:9" s="268" customFormat="1" x14ac:dyDescent="0.2">
      <c r="A21" s="690" t="s">
        <v>354</v>
      </c>
      <c r="B21" s="36"/>
      <c r="C21" s="270"/>
      <c r="D21" s="264"/>
      <c r="E21" s="34" t="s">
        <v>63</v>
      </c>
      <c r="F21" s="34" t="str">
        <f>IF('01Položky'!$J$229=0,"",'01Položky'!$J$229)</f>
        <v/>
      </c>
      <c r="G21" s="34" t="s">
        <v>63</v>
      </c>
      <c r="H21" s="34" t="s">
        <v>63</v>
      </c>
      <c r="I21" s="38" t="s">
        <v>63</v>
      </c>
    </row>
    <row r="22" spans="1:9" s="268" customFormat="1" x14ac:dyDescent="0.2">
      <c r="A22" s="690" t="s">
        <v>291</v>
      </c>
      <c r="B22" s="36"/>
      <c r="C22" s="270"/>
      <c r="D22" s="264"/>
      <c r="E22" s="34" t="s">
        <v>63</v>
      </c>
      <c r="F22" s="34" t="str">
        <f>IF('01Položky'!$J$240=0,"",'01Položky'!$J$240)</f>
        <v/>
      </c>
      <c r="G22" s="34" t="s">
        <v>63</v>
      </c>
      <c r="H22" s="34" t="s">
        <v>63</v>
      </c>
      <c r="I22" s="38" t="s">
        <v>63</v>
      </c>
    </row>
    <row r="23" spans="1:9" s="268" customFormat="1" x14ac:dyDescent="0.2">
      <c r="A23" s="690"/>
      <c r="B23" s="330"/>
      <c r="C23" s="270"/>
      <c r="D23" s="264"/>
      <c r="E23" s="34" t="s">
        <v>63</v>
      </c>
      <c r="F23" s="34" t="s">
        <v>63</v>
      </c>
      <c r="G23" s="34" t="s">
        <v>63</v>
      </c>
      <c r="H23" s="34" t="s">
        <v>63</v>
      </c>
      <c r="I23" s="38" t="s">
        <v>63</v>
      </c>
    </row>
    <row r="24" spans="1:9" s="29" customFormat="1" ht="13.5" thickBot="1" x14ac:dyDescent="0.25">
      <c r="A24" s="688"/>
      <c r="B24" s="265"/>
      <c r="C24" s="140"/>
      <c r="D24" s="266"/>
      <c r="E24" s="262"/>
      <c r="F24" s="262"/>
      <c r="G24" s="262"/>
      <c r="H24" s="262"/>
      <c r="I24" s="377"/>
    </row>
    <row r="25" spans="1:9" s="44" customFormat="1" ht="13.5" thickBot="1" x14ac:dyDescent="0.25">
      <c r="A25" s="39"/>
      <c r="B25" s="40" t="s">
        <v>70</v>
      </c>
      <c r="C25" s="40"/>
      <c r="D25" s="41"/>
      <c r="E25" s="42" t="str">
        <f>IF(SUBTOTAL(9,E9:E24)&gt;0,SUBTOTAL(9,E9:E24),"--------------")</f>
        <v>--------------</v>
      </c>
      <c r="F25" s="42" t="str">
        <f>IF(SUBTOTAL(9,F9:F24)&gt;0,SUBTOTAL(9,F9:F24),"--------------")</f>
        <v>--------------</v>
      </c>
      <c r="G25" s="42" t="str">
        <f>IF(SUM(G10:G24)&gt;0,SUM(G10:G24),"--------------")</f>
        <v>--------------</v>
      </c>
      <c r="H25" s="42" t="str">
        <f>IF(SUM(H10:H24)&gt;0,SUM(H10:H24),"--------------")</f>
        <v>--------------</v>
      </c>
      <c r="I25" s="43" t="str">
        <f>IF(SUM(I10:I24)&gt;0,SUM(I10:I24),"--------------")</f>
        <v>--------------</v>
      </c>
    </row>
    <row r="26" spans="1:9" x14ac:dyDescent="0.2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">
      <c r="F28" s="74"/>
      <c r="G28" s="75"/>
      <c r="H28" s="75"/>
      <c r="I28" s="76"/>
    </row>
    <row r="29" spans="1:9" x14ac:dyDescent="0.2">
      <c r="F29" s="74"/>
      <c r="G29" s="75"/>
      <c r="H29" s="75"/>
      <c r="I29" s="76"/>
    </row>
    <row r="30" spans="1:9" x14ac:dyDescent="0.2">
      <c r="F30" s="74"/>
      <c r="G30" s="75"/>
      <c r="H30" s="75"/>
      <c r="I30" s="76"/>
    </row>
    <row r="31" spans="1:9" x14ac:dyDescent="0.2">
      <c r="F31" s="74"/>
      <c r="G31" s="75"/>
      <c r="H31" s="75"/>
      <c r="I31" s="76"/>
    </row>
    <row r="32" spans="1:9" x14ac:dyDescent="0.2">
      <c r="F32" s="74"/>
      <c r="G32" s="75"/>
      <c r="H32" s="75"/>
      <c r="I32" s="76"/>
    </row>
    <row r="33" spans="6:9" x14ac:dyDescent="0.2">
      <c r="F33" s="74"/>
      <c r="G33" s="75"/>
      <c r="H33" s="75"/>
      <c r="I33" s="76"/>
    </row>
    <row r="34" spans="6:9" x14ac:dyDescent="0.2">
      <c r="F34" s="74"/>
      <c r="G34" s="75"/>
      <c r="H34" s="75"/>
      <c r="I34" s="76"/>
    </row>
    <row r="35" spans="6:9" x14ac:dyDescent="0.2">
      <c r="F35" s="74"/>
      <c r="G35" s="75"/>
      <c r="H35" s="75"/>
      <c r="I35" s="76"/>
    </row>
  </sheetData>
  <customSheetViews>
    <customSheetView guid="{30B10D60-758F-4E0B-9F03-5879C6CAFDF6}" scale="160" hiddenColumns="1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2">
    <mergeCell ref="C1:I1"/>
    <mergeCell ref="C2:I2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outlinePr summaryBelow="0"/>
  </sheetPr>
  <dimension ref="A1:N250"/>
  <sheetViews>
    <sheetView view="pageBreakPreview" zoomScale="115" zoomScaleNormal="100" zoomScaleSheetLayoutView="115" workbookViewId="0">
      <pane ySplit="3" topLeftCell="A4" activePane="bottomLeft" state="frozen"/>
      <selection activeCell="M16" sqref="M16"/>
      <selection pane="bottomLeft" activeCell="A4" sqref="A4"/>
    </sheetView>
  </sheetViews>
  <sheetFormatPr defaultRowHeight="11.25" outlineLevelRow="3" x14ac:dyDescent="0.2"/>
  <cols>
    <col min="1" max="1" width="5.42578125" style="1025" customWidth="1"/>
    <col min="2" max="2" width="4.28515625" style="1026" customWidth="1"/>
    <col min="3" max="3" width="14.28515625" style="1027" customWidth="1"/>
    <col min="4" max="4" width="57.140625" style="1028" customWidth="1"/>
    <col min="5" max="5" width="4.28515625" style="1026" customWidth="1"/>
    <col min="6" max="6" width="9.7109375" style="1029" customWidth="1"/>
    <col min="7" max="7" width="9.7109375" style="1030" hidden="1" customWidth="1"/>
    <col min="8" max="8" width="9.7109375" style="1031" hidden="1" customWidth="1"/>
    <col min="9" max="9" width="9.7109375" style="1032" customWidth="1"/>
    <col min="10" max="10" width="9.7109375" style="1033" customWidth="1"/>
    <col min="11" max="11" width="9.7109375" style="1034" customWidth="1"/>
    <col min="12" max="14" width="9.7109375" style="1030" customWidth="1"/>
    <col min="15" max="15" width="9.42578125" style="1004" customWidth="1"/>
    <col min="16" max="256" width="9.140625" style="1004"/>
    <col min="257" max="257" width="5.42578125" style="1004" customWidth="1"/>
    <col min="258" max="258" width="4.28515625" style="1004" customWidth="1"/>
    <col min="259" max="259" width="14.28515625" style="1004" customWidth="1"/>
    <col min="260" max="260" width="57.140625" style="1004" customWidth="1"/>
    <col min="261" max="261" width="4.28515625" style="1004" customWidth="1"/>
    <col min="262" max="262" width="9.7109375" style="1004" customWidth="1"/>
    <col min="263" max="264" width="0" style="1004" hidden="1" customWidth="1"/>
    <col min="265" max="270" width="9.7109375" style="1004" customWidth="1"/>
    <col min="271" max="271" width="9.42578125" style="1004" customWidth="1"/>
    <col min="272" max="512" width="9.140625" style="1004"/>
    <col min="513" max="513" width="5.42578125" style="1004" customWidth="1"/>
    <col min="514" max="514" width="4.28515625" style="1004" customWidth="1"/>
    <col min="515" max="515" width="14.28515625" style="1004" customWidth="1"/>
    <col min="516" max="516" width="57.140625" style="1004" customWidth="1"/>
    <col min="517" max="517" width="4.28515625" style="1004" customWidth="1"/>
    <col min="518" max="518" width="9.7109375" style="1004" customWidth="1"/>
    <col min="519" max="520" width="0" style="1004" hidden="1" customWidth="1"/>
    <col min="521" max="526" width="9.7109375" style="1004" customWidth="1"/>
    <col min="527" max="527" width="9.42578125" style="1004" customWidth="1"/>
    <col min="528" max="768" width="9.140625" style="1004"/>
    <col min="769" max="769" width="5.42578125" style="1004" customWidth="1"/>
    <col min="770" max="770" width="4.28515625" style="1004" customWidth="1"/>
    <col min="771" max="771" width="14.28515625" style="1004" customWidth="1"/>
    <col min="772" max="772" width="57.140625" style="1004" customWidth="1"/>
    <col min="773" max="773" width="4.28515625" style="1004" customWidth="1"/>
    <col min="774" max="774" width="9.7109375" style="1004" customWidth="1"/>
    <col min="775" max="776" width="0" style="1004" hidden="1" customWidth="1"/>
    <col min="777" max="782" width="9.7109375" style="1004" customWidth="1"/>
    <col min="783" max="783" width="9.42578125" style="1004" customWidth="1"/>
    <col min="784" max="1024" width="9.140625" style="1004"/>
    <col min="1025" max="1025" width="5.42578125" style="1004" customWidth="1"/>
    <col min="1026" max="1026" width="4.28515625" style="1004" customWidth="1"/>
    <col min="1027" max="1027" width="14.28515625" style="1004" customWidth="1"/>
    <col min="1028" max="1028" width="57.140625" style="1004" customWidth="1"/>
    <col min="1029" max="1029" width="4.28515625" style="1004" customWidth="1"/>
    <col min="1030" max="1030" width="9.7109375" style="1004" customWidth="1"/>
    <col min="1031" max="1032" width="0" style="1004" hidden="1" customWidth="1"/>
    <col min="1033" max="1038" width="9.7109375" style="1004" customWidth="1"/>
    <col min="1039" max="1039" width="9.42578125" style="1004" customWidth="1"/>
    <col min="1040" max="1280" width="9.140625" style="1004"/>
    <col min="1281" max="1281" width="5.42578125" style="1004" customWidth="1"/>
    <col min="1282" max="1282" width="4.28515625" style="1004" customWidth="1"/>
    <col min="1283" max="1283" width="14.28515625" style="1004" customWidth="1"/>
    <col min="1284" max="1284" width="57.140625" style="1004" customWidth="1"/>
    <col min="1285" max="1285" width="4.28515625" style="1004" customWidth="1"/>
    <col min="1286" max="1286" width="9.7109375" style="1004" customWidth="1"/>
    <col min="1287" max="1288" width="0" style="1004" hidden="1" customWidth="1"/>
    <col min="1289" max="1294" width="9.7109375" style="1004" customWidth="1"/>
    <col min="1295" max="1295" width="9.42578125" style="1004" customWidth="1"/>
    <col min="1296" max="1536" width="9.140625" style="1004"/>
    <col min="1537" max="1537" width="5.42578125" style="1004" customWidth="1"/>
    <col min="1538" max="1538" width="4.28515625" style="1004" customWidth="1"/>
    <col min="1539" max="1539" width="14.28515625" style="1004" customWidth="1"/>
    <col min="1540" max="1540" width="57.140625" style="1004" customWidth="1"/>
    <col min="1541" max="1541" width="4.28515625" style="1004" customWidth="1"/>
    <col min="1542" max="1542" width="9.7109375" style="1004" customWidth="1"/>
    <col min="1543" max="1544" width="0" style="1004" hidden="1" customWidth="1"/>
    <col min="1545" max="1550" width="9.7109375" style="1004" customWidth="1"/>
    <col min="1551" max="1551" width="9.42578125" style="1004" customWidth="1"/>
    <col min="1552" max="1792" width="9.140625" style="1004"/>
    <col min="1793" max="1793" width="5.42578125" style="1004" customWidth="1"/>
    <col min="1794" max="1794" width="4.28515625" style="1004" customWidth="1"/>
    <col min="1795" max="1795" width="14.28515625" style="1004" customWidth="1"/>
    <col min="1796" max="1796" width="57.140625" style="1004" customWidth="1"/>
    <col min="1797" max="1797" width="4.28515625" style="1004" customWidth="1"/>
    <col min="1798" max="1798" width="9.7109375" style="1004" customWidth="1"/>
    <col min="1799" max="1800" width="0" style="1004" hidden="1" customWidth="1"/>
    <col min="1801" max="1806" width="9.7109375" style="1004" customWidth="1"/>
    <col min="1807" max="1807" width="9.42578125" style="1004" customWidth="1"/>
    <col min="1808" max="2048" width="9.140625" style="1004"/>
    <col min="2049" max="2049" width="5.42578125" style="1004" customWidth="1"/>
    <col min="2050" max="2050" width="4.28515625" style="1004" customWidth="1"/>
    <col min="2051" max="2051" width="14.28515625" style="1004" customWidth="1"/>
    <col min="2052" max="2052" width="57.140625" style="1004" customWidth="1"/>
    <col min="2053" max="2053" width="4.28515625" style="1004" customWidth="1"/>
    <col min="2054" max="2054" width="9.7109375" style="1004" customWidth="1"/>
    <col min="2055" max="2056" width="0" style="1004" hidden="1" customWidth="1"/>
    <col min="2057" max="2062" width="9.7109375" style="1004" customWidth="1"/>
    <col min="2063" max="2063" width="9.42578125" style="1004" customWidth="1"/>
    <col min="2064" max="2304" width="9.140625" style="1004"/>
    <col min="2305" max="2305" width="5.42578125" style="1004" customWidth="1"/>
    <col min="2306" max="2306" width="4.28515625" style="1004" customWidth="1"/>
    <col min="2307" max="2307" width="14.28515625" style="1004" customWidth="1"/>
    <col min="2308" max="2308" width="57.140625" style="1004" customWidth="1"/>
    <col min="2309" max="2309" width="4.28515625" style="1004" customWidth="1"/>
    <col min="2310" max="2310" width="9.7109375" style="1004" customWidth="1"/>
    <col min="2311" max="2312" width="0" style="1004" hidden="1" customWidth="1"/>
    <col min="2313" max="2318" width="9.7109375" style="1004" customWidth="1"/>
    <col min="2319" max="2319" width="9.42578125" style="1004" customWidth="1"/>
    <col min="2320" max="2560" width="9.140625" style="1004"/>
    <col min="2561" max="2561" width="5.42578125" style="1004" customWidth="1"/>
    <col min="2562" max="2562" width="4.28515625" style="1004" customWidth="1"/>
    <col min="2563" max="2563" width="14.28515625" style="1004" customWidth="1"/>
    <col min="2564" max="2564" width="57.140625" style="1004" customWidth="1"/>
    <col min="2565" max="2565" width="4.28515625" style="1004" customWidth="1"/>
    <col min="2566" max="2566" width="9.7109375" style="1004" customWidth="1"/>
    <col min="2567" max="2568" width="0" style="1004" hidden="1" customWidth="1"/>
    <col min="2569" max="2574" width="9.7109375" style="1004" customWidth="1"/>
    <col min="2575" max="2575" width="9.42578125" style="1004" customWidth="1"/>
    <col min="2576" max="2816" width="9.140625" style="1004"/>
    <col min="2817" max="2817" width="5.42578125" style="1004" customWidth="1"/>
    <col min="2818" max="2818" width="4.28515625" style="1004" customWidth="1"/>
    <col min="2819" max="2819" width="14.28515625" style="1004" customWidth="1"/>
    <col min="2820" max="2820" width="57.140625" style="1004" customWidth="1"/>
    <col min="2821" max="2821" width="4.28515625" style="1004" customWidth="1"/>
    <col min="2822" max="2822" width="9.7109375" style="1004" customWidth="1"/>
    <col min="2823" max="2824" width="0" style="1004" hidden="1" customWidth="1"/>
    <col min="2825" max="2830" width="9.7109375" style="1004" customWidth="1"/>
    <col min="2831" max="2831" width="9.42578125" style="1004" customWidth="1"/>
    <col min="2832" max="3072" width="9.140625" style="1004"/>
    <col min="3073" max="3073" width="5.42578125" style="1004" customWidth="1"/>
    <col min="3074" max="3074" width="4.28515625" style="1004" customWidth="1"/>
    <col min="3075" max="3075" width="14.28515625" style="1004" customWidth="1"/>
    <col min="3076" max="3076" width="57.140625" style="1004" customWidth="1"/>
    <col min="3077" max="3077" width="4.28515625" style="1004" customWidth="1"/>
    <col min="3078" max="3078" width="9.7109375" style="1004" customWidth="1"/>
    <col min="3079" max="3080" width="0" style="1004" hidden="1" customWidth="1"/>
    <col min="3081" max="3086" width="9.7109375" style="1004" customWidth="1"/>
    <col min="3087" max="3087" width="9.42578125" style="1004" customWidth="1"/>
    <col min="3088" max="3328" width="9.140625" style="1004"/>
    <col min="3329" max="3329" width="5.42578125" style="1004" customWidth="1"/>
    <col min="3330" max="3330" width="4.28515625" style="1004" customWidth="1"/>
    <col min="3331" max="3331" width="14.28515625" style="1004" customWidth="1"/>
    <col min="3332" max="3332" width="57.140625" style="1004" customWidth="1"/>
    <col min="3333" max="3333" width="4.28515625" style="1004" customWidth="1"/>
    <col min="3334" max="3334" width="9.7109375" style="1004" customWidth="1"/>
    <col min="3335" max="3336" width="0" style="1004" hidden="1" customWidth="1"/>
    <col min="3337" max="3342" width="9.7109375" style="1004" customWidth="1"/>
    <col min="3343" max="3343" width="9.42578125" style="1004" customWidth="1"/>
    <col min="3344" max="3584" width="9.140625" style="1004"/>
    <col min="3585" max="3585" width="5.42578125" style="1004" customWidth="1"/>
    <col min="3586" max="3586" width="4.28515625" style="1004" customWidth="1"/>
    <col min="3587" max="3587" width="14.28515625" style="1004" customWidth="1"/>
    <col min="3588" max="3588" width="57.140625" style="1004" customWidth="1"/>
    <col min="3589" max="3589" width="4.28515625" style="1004" customWidth="1"/>
    <col min="3590" max="3590" width="9.7109375" style="1004" customWidth="1"/>
    <col min="3591" max="3592" width="0" style="1004" hidden="1" customWidth="1"/>
    <col min="3593" max="3598" width="9.7109375" style="1004" customWidth="1"/>
    <col min="3599" max="3599" width="9.42578125" style="1004" customWidth="1"/>
    <col min="3600" max="3840" width="9.140625" style="1004"/>
    <col min="3841" max="3841" width="5.42578125" style="1004" customWidth="1"/>
    <col min="3842" max="3842" width="4.28515625" style="1004" customWidth="1"/>
    <col min="3843" max="3843" width="14.28515625" style="1004" customWidth="1"/>
    <col min="3844" max="3844" width="57.140625" style="1004" customWidth="1"/>
    <col min="3845" max="3845" width="4.28515625" style="1004" customWidth="1"/>
    <col min="3846" max="3846" width="9.7109375" style="1004" customWidth="1"/>
    <col min="3847" max="3848" width="0" style="1004" hidden="1" customWidth="1"/>
    <col min="3849" max="3854" width="9.7109375" style="1004" customWidth="1"/>
    <col min="3855" max="3855" width="9.42578125" style="1004" customWidth="1"/>
    <col min="3856" max="4096" width="9.140625" style="1004"/>
    <col min="4097" max="4097" width="5.42578125" style="1004" customWidth="1"/>
    <col min="4098" max="4098" width="4.28515625" style="1004" customWidth="1"/>
    <col min="4099" max="4099" width="14.28515625" style="1004" customWidth="1"/>
    <col min="4100" max="4100" width="57.140625" style="1004" customWidth="1"/>
    <col min="4101" max="4101" width="4.28515625" style="1004" customWidth="1"/>
    <col min="4102" max="4102" width="9.7109375" style="1004" customWidth="1"/>
    <col min="4103" max="4104" width="0" style="1004" hidden="1" customWidth="1"/>
    <col min="4105" max="4110" width="9.7109375" style="1004" customWidth="1"/>
    <col min="4111" max="4111" width="9.42578125" style="1004" customWidth="1"/>
    <col min="4112" max="4352" width="9.140625" style="1004"/>
    <col min="4353" max="4353" width="5.42578125" style="1004" customWidth="1"/>
    <col min="4354" max="4354" width="4.28515625" style="1004" customWidth="1"/>
    <col min="4355" max="4355" width="14.28515625" style="1004" customWidth="1"/>
    <col min="4356" max="4356" width="57.140625" style="1004" customWidth="1"/>
    <col min="4357" max="4357" width="4.28515625" style="1004" customWidth="1"/>
    <col min="4358" max="4358" width="9.7109375" style="1004" customWidth="1"/>
    <col min="4359" max="4360" width="0" style="1004" hidden="1" customWidth="1"/>
    <col min="4361" max="4366" width="9.7109375" style="1004" customWidth="1"/>
    <col min="4367" max="4367" width="9.42578125" style="1004" customWidth="1"/>
    <col min="4368" max="4608" width="9.140625" style="1004"/>
    <col min="4609" max="4609" width="5.42578125" style="1004" customWidth="1"/>
    <col min="4610" max="4610" width="4.28515625" style="1004" customWidth="1"/>
    <col min="4611" max="4611" width="14.28515625" style="1004" customWidth="1"/>
    <col min="4612" max="4612" width="57.140625" style="1004" customWidth="1"/>
    <col min="4613" max="4613" width="4.28515625" style="1004" customWidth="1"/>
    <col min="4614" max="4614" width="9.7109375" style="1004" customWidth="1"/>
    <col min="4615" max="4616" width="0" style="1004" hidden="1" customWidth="1"/>
    <col min="4617" max="4622" width="9.7109375" style="1004" customWidth="1"/>
    <col min="4623" max="4623" width="9.42578125" style="1004" customWidth="1"/>
    <col min="4624" max="4864" width="9.140625" style="1004"/>
    <col min="4865" max="4865" width="5.42578125" style="1004" customWidth="1"/>
    <col min="4866" max="4866" width="4.28515625" style="1004" customWidth="1"/>
    <col min="4867" max="4867" width="14.28515625" style="1004" customWidth="1"/>
    <col min="4868" max="4868" width="57.140625" style="1004" customWidth="1"/>
    <col min="4869" max="4869" width="4.28515625" style="1004" customWidth="1"/>
    <col min="4870" max="4870" width="9.7109375" style="1004" customWidth="1"/>
    <col min="4871" max="4872" width="0" style="1004" hidden="1" customWidth="1"/>
    <col min="4873" max="4878" width="9.7109375" style="1004" customWidth="1"/>
    <col min="4879" max="4879" width="9.42578125" style="1004" customWidth="1"/>
    <col min="4880" max="5120" width="9.140625" style="1004"/>
    <col min="5121" max="5121" width="5.42578125" style="1004" customWidth="1"/>
    <col min="5122" max="5122" width="4.28515625" style="1004" customWidth="1"/>
    <col min="5123" max="5123" width="14.28515625" style="1004" customWidth="1"/>
    <col min="5124" max="5124" width="57.140625" style="1004" customWidth="1"/>
    <col min="5125" max="5125" width="4.28515625" style="1004" customWidth="1"/>
    <col min="5126" max="5126" width="9.7109375" style="1004" customWidth="1"/>
    <col min="5127" max="5128" width="0" style="1004" hidden="1" customWidth="1"/>
    <col min="5129" max="5134" width="9.7109375" style="1004" customWidth="1"/>
    <col min="5135" max="5135" width="9.42578125" style="1004" customWidth="1"/>
    <col min="5136" max="5376" width="9.140625" style="1004"/>
    <col min="5377" max="5377" width="5.42578125" style="1004" customWidth="1"/>
    <col min="5378" max="5378" width="4.28515625" style="1004" customWidth="1"/>
    <col min="5379" max="5379" width="14.28515625" style="1004" customWidth="1"/>
    <col min="5380" max="5380" width="57.140625" style="1004" customWidth="1"/>
    <col min="5381" max="5381" width="4.28515625" style="1004" customWidth="1"/>
    <col min="5382" max="5382" width="9.7109375" style="1004" customWidth="1"/>
    <col min="5383" max="5384" width="0" style="1004" hidden="1" customWidth="1"/>
    <col min="5385" max="5390" width="9.7109375" style="1004" customWidth="1"/>
    <col min="5391" max="5391" width="9.42578125" style="1004" customWidth="1"/>
    <col min="5392" max="5632" width="9.140625" style="1004"/>
    <col min="5633" max="5633" width="5.42578125" style="1004" customWidth="1"/>
    <col min="5634" max="5634" width="4.28515625" style="1004" customWidth="1"/>
    <col min="5635" max="5635" width="14.28515625" style="1004" customWidth="1"/>
    <col min="5636" max="5636" width="57.140625" style="1004" customWidth="1"/>
    <col min="5637" max="5637" width="4.28515625" style="1004" customWidth="1"/>
    <col min="5638" max="5638" width="9.7109375" style="1004" customWidth="1"/>
    <col min="5639" max="5640" width="0" style="1004" hidden="1" customWidth="1"/>
    <col min="5641" max="5646" width="9.7109375" style="1004" customWidth="1"/>
    <col min="5647" max="5647" width="9.42578125" style="1004" customWidth="1"/>
    <col min="5648" max="5888" width="9.140625" style="1004"/>
    <col min="5889" max="5889" width="5.42578125" style="1004" customWidth="1"/>
    <col min="5890" max="5890" width="4.28515625" style="1004" customWidth="1"/>
    <col min="5891" max="5891" width="14.28515625" style="1004" customWidth="1"/>
    <col min="5892" max="5892" width="57.140625" style="1004" customWidth="1"/>
    <col min="5893" max="5893" width="4.28515625" style="1004" customWidth="1"/>
    <col min="5894" max="5894" width="9.7109375" style="1004" customWidth="1"/>
    <col min="5895" max="5896" width="0" style="1004" hidden="1" customWidth="1"/>
    <col min="5897" max="5902" width="9.7109375" style="1004" customWidth="1"/>
    <col min="5903" max="5903" width="9.42578125" style="1004" customWidth="1"/>
    <col min="5904" max="6144" width="9.140625" style="1004"/>
    <col min="6145" max="6145" width="5.42578125" style="1004" customWidth="1"/>
    <col min="6146" max="6146" width="4.28515625" style="1004" customWidth="1"/>
    <col min="6147" max="6147" width="14.28515625" style="1004" customWidth="1"/>
    <col min="6148" max="6148" width="57.140625" style="1004" customWidth="1"/>
    <col min="6149" max="6149" width="4.28515625" style="1004" customWidth="1"/>
    <col min="6150" max="6150" width="9.7109375" style="1004" customWidth="1"/>
    <col min="6151" max="6152" width="0" style="1004" hidden="1" customWidth="1"/>
    <col min="6153" max="6158" width="9.7109375" style="1004" customWidth="1"/>
    <col min="6159" max="6159" width="9.42578125" style="1004" customWidth="1"/>
    <col min="6160" max="6400" width="9.140625" style="1004"/>
    <col min="6401" max="6401" width="5.42578125" style="1004" customWidth="1"/>
    <col min="6402" max="6402" width="4.28515625" style="1004" customWidth="1"/>
    <col min="6403" max="6403" width="14.28515625" style="1004" customWidth="1"/>
    <col min="6404" max="6404" width="57.140625" style="1004" customWidth="1"/>
    <col min="6405" max="6405" width="4.28515625" style="1004" customWidth="1"/>
    <col min="6406" max="6406" width="9.7109375" style="1004" customWidth="1"/>
    <col min="6407" max="6408" width="0" style="1004" hidden="1" customWidth="1"/>
    <col min="6409" max="6414" width="9.7109375" style="1004" customWidth="1"/>
    <col min="6415" max="6415" width="9.42578125" style="1004" customWidth="1"/>
    <col min="6416" max="6656" width="9.140625" style="1004"/>
    <col min="6657" max="6657" width="5.42578125" style="1004" customWidth="1"/>
    <col min="6658" max="6658" width="4.28515625" style="1004" customWidth="1"/>
    <col min="6659" max="6659" width="14.28515625" style="1004" customWidth="1"/>
    <col min="6660" max="6660" width="57.140625" style="1004" customWidth="1"/>
    <col min="6661" max="6661" width="4.28515625" style="1004" customWidth="1"/>
    <col min="6662" max="6662" width="9.7109375" style="1004" customWidth="1"/>
    <col min="6663" max="6664" width="0" style="1004" hidden="1" customWidth="1"/>
    <col min="6665" max="6670" width="9.7109375" style="1004" customWidth="1"/>
    <col min="6671" max="6671" width="9.42578125" style="1004" customWidth="1"/>
    <col min="6672" max="6912" width="9.140625" style="1004"/>
    <col min="6913" max="6913" width="5.42578125" style="1004" customWidth="1"/>
    <col min="6914" max="6914" width="4.28515625" style="1004" customWidth="1"/>
    <col min="6915" max="6915" width="14.28515625" style="1004" customWidth="1"/>
    <col min="6916" max="6916" width="57.140625" style="1004" customWidth="1"/>
    <col min="6917" max="6917" width="4.28515625" style="1004" customWidth="1"/>
    <col min="6918" max="6918" width="9.7109375" style="1004" customWidth="1"/>
    <col min="6919" max="6920" width="0" style="1004" hidden="1" customWidth="1"/>
    <col min="6921" max="6926" width="9.7109375" style="1004" customWidth="1"/>
    <col min="6927" max="6927" width="9.42578125" style="1004" customWidth="1"/>
    <col min="6928" max="7168" width="9.140625" style="1004"/>
    <col min="7169" max="7169" width="5.42578125" style="1004" customWidth="1"/>
    <col min="7170" max="7170" width="4.28515625" style="1004" customWidth="1"/>
    <col min="7171" max="7171" width="14.28515625" style="1004" customWidth="1"/>
    <col min="7172" max="7172" width="57.140625" style="1004" customWidth="1"/>
    <col min="7173" max="7173" width="4.28515625" style="1004" customWidth="1"/>
    <col min="7174" max="7174" width="9.7109375" style="1004" customWidth="1"/>
    <col min="7175" max="7176" width="0" style="1004" hidden="1" customWidth="1"/>
    <col min="7177" max="7182" width="9.7109375" style="1004" customWidth="1"/>
    <col min="7183" max="7183" width="9.42578125" style="1004" customWidth="1"/>
    <col min="7184" max="7424" width="9.140625" style="1004"/>
    <col min="7425" max="7425" width="5.42578125" style="1004" customWidth="1"/>
    <col min="7426" max="7426" width="4.28515625" style="1004" customWidth="1"/>
    <col min="7427" max="7427" width="14.28515625" style="1004" customWidth="1"/>
    <col min="7428" max="7428" width="57.140625" style="1004" customWidth="1"/>
    <col min="7429" max="7429" width="4.28515625" style="1004" customWidth="1"/>
    <col min="7430" max="7430" width="9.7109375" style="1004" customWidth="1"/>
    <col min="7431" max="7432" width="0" style="1004" hidden="1" customWidth="1"/>
    <col min="7433" max="7438" width="9.7109375" style="1004" customWidth="1"/>
    <col min="7439" max="7439" width="9.42578125" style="1004" customWidth="1"/>
    <col min="7440" max="7680" width="9.140625" style="1004"/>
    <col min="7681" max="7681" width="5.42578125" style="1004" customWidth="1"/>
    <col min="7682" max="7682" width="4.28515625" style="1004" customWidth="1"/>
    <col min="7683" max="7683" width="14.28515625" style="1004" customWidth="1"/>
    <col min="7684" max="7684" width="57.140625" style="1004" customWidth="1"/>
    <col min="7685" max="7685" width="4.28515625" style="1004" customWidth="1"/>
    <col min="7686" max="7686" width="9.7109375" style="1004" customWidth="1"/>
    <col min="7687" max="7688" width="0" style="1004" hidden="1" customWidth="1"/>
    <col min="7689" max="7694" width="9.7109375" style="1004" customWidth="1"/>
    <col min="7695" max="7695" width="9.42578125" style="1004" customWidth="1"/>
    <col min="7696" max="7936" width="9.140625" style="1004"/>
    <col min="7937" max="7937" width="5.42578125" style="1004" customWidth="1"/>
    <col min="7938" max="7938" width="4.28515625" style="1004" customWidth="1"/>
    <col min="7939" max="7939" width="14.28515625" style="1004" customWidth="1"/>
    <col min="7940" max="7940" width="57.140625" style="1004" customWidth="1"/>
    <col min="7941" max="7941" width="4.28515625" style="1004" customWidth="1"/>
    <col min="7942" max="7942" width="9.7109375" style="1004" customWidth="1"/>
    <col min="7943" max="7944" width="0" style="1004" hidden="1" customWidth="1"/>
    <col min="7945" max="7950" width="9.7109375" style="1004" customWidth="1"/>
    <col min="7951" max="7951" width="9.42578125" style="1004" customWidth="1"/>
    <col min="7952" max="8192" width="9.140625" style="1004"/>
    <col min="8193" max="8193" width="5.42578125" style="1004" customWidth="1"/>
    <col min="8194" max="8194" width="4.28515625" style="1004" customWidth="1"/>
    <col min="8195" max="8195" width="14.28515625" style="1004" customWidth="1"/>
    <col min="8196" max="8196" width="57.140625" style="1004" customWidth="1"/>
    <col min="8197" max="8197" width="4.28515625" style="1004" customWidth="1"/>
    <col min="8198" max="8198" width="9.7109375" style="1004" customWidth="1"/>
    <col min="8199" max="8200" width="0" style="1004" hidden="1" customWidth="1"/>
    <col min="8201" max="8206" width="9.7109375" style="1004" customWidth="1"/>
    <col min="8207" max="8207" width="9.42578125" style="1004" customWidth="1"/>
    <col min="8208" max="8448" width="9.140625" style="1004"/>
    <col min="8449" max="8449" width="5.42578125" style="1004" customWidth="1"/>
    <col min="8450" max="8450" width="4.28515625" style="1004" customWidth="1"/>
    <col min="8451" max="8451" width="14.28515625" style="1004" customWidth="1"/>
    <col min="8452" max="8452" width="57.140625" style="1004" customWidth="1"/>
    <col min="8453" max="8453" width="4.28515625" style="1004" customWidth="1"/>
    <col min="8454" max="8454" width="9.7109375" style="1004" customWidth="1"/>
    <col min="8455" max="8456" width="0" style="1004" hidden="1" customWidth="1"/>
    <col min="8457" max="8462" width="9.7109375" style="1004" customWidth="1"/>
    <col min="8463" max="8463" width="9.42578125" style="1004" customWidth="1"/>
    <col min="8464" max="8704" width="9.140625" style="1004"/>
    <col min="8705" max="8705" width="5.42578125" style="1004" customWidth="1"/>
    <col min="8706" max="8706" width="4.28515625" style="1004" customWidth="1"/>
    <col min="8707" max="8707" width="14.28515625" style="1004" customWidth="1"/>
    <col min="8708" max="8708" width="57.140625" style="1004" customWidth="1"/>
    <col min="8709" max="8709" width="4.28515625" style="1004" customWidth="1"/>
    <col min="8710" max="8710" width="9.7109375" style="1004" customWidth="1"/>
    <col min="8711" max="8712" width="0" style="1004" hidden="1" customWidth="1"/>
    <col min="8713" max="8718" width="9.7109375" style="1004" customWidth="1"/>
    <col min="8719" max="8719" width="9.42578125" style="1004" customWidth="1"/>
    <col min="8720" max="8960" width="9.140625" style="1004"/>
    <col min="8961" max="8961" width="5.42578125" style="1004" customWidth="1"/>
    <col min="8962" max="8962" width="4.28515625" style="1004" customWidth="1"/>
    <col min="8963" max="8963" width="14.28515625" style="1004" customWidth="1"/>
    <col min="8964" max="8964" width="57.140625" style="1004" customWidth="1"/>
    <col min="8965" max="8965" width="4.28515625" style="1004" customWidth="1"/>
    <col min="8966" max="8966" width="9.7109375" style="1004" customWidth="1"/>
    <col min="8967" max="8968" width="0" style="1004" hidden="1" customWidth="1"/>
    <col min="8969" max="8974" width="9.7109375" style="1004" customWidth="1"/>
    <col min="8975" max="8975" width="9.42578125" style="1004" customWidth="1"/>
    <col min="8976" max="9216" width="9.140625" style="1004"/>
    <col min="9217" max="9217" width="5.42578125" style="1004" customWidth="1"/>
    <col min="9218" max="9218" width="4.28515625" style="1004" customWidth="1"/>
    <col min="9219" max="9219" width="14.28515625" style="1004" customWidth="1"/>
    <col min="9220" max="9220" width="57.140625" style="1004" customWidth="1"/>
    <col min="9221" max="9221" width="4.28515625" style="1004" customWidth="1"/>
    <col min="9222" max="9222" width="9.7109375" style="1004" customWidth="1"/>
    <col min="9223" max="9224" width="0" style="1004" hidden="1" customWidth="1"/>
    <col min="9225" max="9230" width="9.7109375" style="1004" customWidth="1"/>
    <col min="9231" max="9231" width="9.42578125" style="1004" customWidth="1"/>
    <col min="9232" max="9472" width="9.140625" style="1004"/>
    <col min="9473" max="9473" width="5.42578125" style="1004" customWidth="1"/>
    <col min="9474" max="9474" width="4.28515625" style="1004" customWidth="1"/>
    <col min="9475" max="9475" width="14.28515625" style="1004" customWidth="1"/>
    <col min="9476" max="9476" width="57.140625" style="1004" customWidth="1"/>
    <col min="9477" max="9477" width="4.28515625" style="1004" customWidth="1"/>
    <col min="9478" max="9478" width="9.7109375" style="1004" customWidth="1"/>
    <col min="9479" max="9480" width="0" style="1004" hidden="1" customWidth="1"/>
    <col min="9481" max="9486" width="9.7109375" style="1004" customWidth="1"/>
    <col min="9487" max="9487" width="9.42578125" style="1004" customWidth="1"/>
    <col min="9488" max="9728" width="9.140625" style="1004"/>
    <col min="9729" max="9729" width="5.42578125" style="1004" customWidth="1"/>
    <col min="9730" max="9730" width="4.28515625" style="1004" customWidth="1"/>
    <col min="9731" max="9731" width="14.28515625" style="1004" customWidth="1"/>
    <col min="9732" max="9732" width="57.140625" style="1004" customWidth="1"/>
    <col min="9733" max="9733" width="4.28515625" style="1004" customWidth="1"/>
    <col min="9734" max="9734" width="9.7109375" style="1004" customWidth="1"/>
    <col min="9735" max="9736" width="0" style="1004" hidden="1" customWidth="1"/>
    <col min="9737" max="9742" width="9.7109375" style="1004" customWidth="1"/>
    <col min="9743" max="9743" width="9.42578125" style="1004" customWidth="1"/>
    <col min="9744" max="9984" width="9.140625" style="1004"/>
    <col min="9985" max="9985" width="5.42578125" style="1004" customWidth="1"/>
    <col min="9986" max="9986" width="4.28515625" style="1004" customWidth="1"/>
    <col min="9987" max="9987" width="14.28515625" style="1004" customWidth="1"/>
    <col min="9988" max="9988" width="57.140625" style="1004" customWidth="1"/>
    <col min="9989" max="9989" width="4.28515625" style="1004" customWidth="1"/>
    <col min="9990" max="9990" width="9.7109375" style="1004" customWidth="1"/>
    <col min="9991" max="9992" width="0" style="1004" hidden="1" customWidth="1"/>
    <col min="9993" max="9998" width="9.7109375" style="1004" customWidth="1"/>
    <col min="9999" max="9999" width="9.42578125" style="1004" customWidth="1"/>
    <col min="10000" max="10240" width="9.140625" style="1004"/>
    <col min="10241" max="10241" width="5.42578125" style="1004" customWidth="1"/>
    <col min="10242" max="10242" width="4.28515625" style="1004" customWidth="1"/>
    <col min="10243" max="10243" width="14.28515625" style="1004" customWidth="1"/>
    <col min="10244" max="10244" width="57.140625" style="1004" customWidth="1"/>
    <col min="10245" max="10245" width="4.28515625" style="1004" customWidth="1"/>
    <col min="10246" max="10246" width="9.7109375" style="1004" customWidth="1"/>
    <col min="10247" max="10248" width="0" style="1004" hidden="1" customWidth="1"/>
    <col min="10249" max="10254" width="9.7109375" style="1004" customWidth="1"/>
    <col min="10255" max="10255" width="9.42578125" style="1004" customWidth="1"/>
    <col min="10256" max="10496" width="9.140625" style="1004"/>
    <col min="10497" max="10497" width="5.42578125" style="1004" customWidth="1"/>
    <col min="10498" max="10498" width="4.28515625" style="1004" customWidth="1"/>
    <col min="10499" max="10499" width="14.28515625" style="1004" customWidth="1"/>
    <col min="10500" max="10500" width="57.140625" style="1004" customWidth="1"/>
    <col min="10501" max="10501" width="4.28515625" style="1004" customWidth="1"/>
    <col min="10502" max="10502" width="9.7109375" style="1004" customWidth="1"/>
    <col min="10503" max="10504" width="0" style="1004" hidden="1" customWidth="1"/>
    <col min="10505" max="10510" width="9.7109375" style="1004" customWidth="1"/>
    <col min="10511" max="10511" width="9.42578125" style="1004" customWidth="1"/>
    <col min="10512" max="10752" width="9.140625" style="1004"/>
    <col min="10753" max="10753" width="5.42578125" style="1004" customWidth="1"/>
    <col min="10754" max="10754" width="4.28515625" style="1004" customWidth="1"/>
    <col min="10755" max="10755" width="14.28515625" style="1004" customWidth="1"/>
    <col min="10756" max="10756" width="57.140625" style="1004" customWidth="1"/>
    <col min="10757" max="10757" width="4.28515625" style="1004" customWidth="1"/>
    <col min="10758" max="10758" width="9.7109375" style="1004" customWidth="1"/>
    <col min="10759" max="10760" width="0" style="1004" hidden="1" customWidth="1"/>
    <col min="10761" max="10766" width="9.7109375" style="1004" customWidth="1"/>
    <col min="10767" max="10767" width="9.42578125" style="1004" customWidth="1"/>
    <col min="10768" max="11008" width="9.140625" style="1004"/>
    <col min="11009" max="11009" width="5.42578125" style="1004" customWidth="1"/>
    <col min="11010" max="11010" width="4.28515625" style="1004" customWidth="1"/>
    <col min="11011" max="11011" width="14.28515625" style="1004" customWidth="1"/>
    <col min="11012" max="11012" width="57.140625" style="1004" customWidth="1"/>
    <col min="11013" max="11013" width="4.28515625" style="1004" customWidth="1"/>
    <col min="11014" max="11014" width="9.7109375" style="1004" customWidth="1"/>
    <col min="11015" max="11016" width="0" style="1004" hidden="1" customWidth="1"/>
    <col min="11017" max="11022" width="9.7109375" style="1004" customWidth="1"/>
    <col min="11023" max="11023" width="9.42578125" style="1004" customWidth="1"/>
    <col min="11024" max="11264" width="9.140625" style="1004"/>
    <col min="11265" max="11265" width="5.42578125" style="1004" customWidth="1"/>
    <col min="11266" max="11266" width="4.28515625" style="1004" customWidth="1"/>
    <col min="11267" max="11267" width="14.28515625" style="1004" customWidth="1"/>
    <col min="11268" max="11268" width="57.140625" style="1004" customWidth="1"/>
    <col min="11269" max="11269" width="4.28515625" style="1004" customWidth="1"/>
    <col min="11270" max="11270" width="9.7109375" style="1004" customWidth="1"/>
    <col min="11271" max="11272" width="0" style="1004" hidden="1" customWidth="1"/>
    <col min="11273" max="11278" width="9.7109375" style="1004" customWidth="1"/>
    <col min="11279" max="11279" width="9.42578125" style="1004" customWidth="1"/>
    <col min="11280" max="11520" width="9.140625" style="1004"/>
    <col min="11521" max="11521" width="5.42578125" style="1004" customWidth="1"/>
    <col min="11522" max="11522" width="4.28515625" style="1004" customWidth="1"/>
    <col min="11523" max="11523" width="14.28515625" style="1004" customWidth="1"/>
    <col min="11524" max="11524" width="57.140625" style="1004" customWidth="1"/>
    <col min="11525" max="11525" width="4.28515625" style="1004" customWidth="1"/>
    <col min="11526" max="11526" width="9.7109375" style="1004" customWidth="1"/>
    <col min="11527" max="11528" width="0" style="1004" hidden="1" customWidth="1"/>
    <col min="11529" max="11534" width="9.7109375" style="1004" customWidth="1"/>
    <col min="11535" max="11535" width="9.42578125" style="1004" customWidth="1"/>
    <col min="11536" max="11776" width="9.140625" style="1004"/>
    <col min="11777" max="11777" width="5.42578125" style="1004" customWidth="1"/>
    <col min="11778" max="11778" width="4.28515625" style="1004" customWidth="1"/>
    <col min="11779" max="11779" width="14.28515625" style="1004" customWidth="1"/>
    <col min="11780" max="11780" width="57.140625" style="1004" customWidth="1"/>
    <col min="11781" max="11781" width="4.28515625" style="1004" customWidth="1"/>
    <col min="11782" max="11782" width="9.7109375" style="1004" customWidth="1"/>
    <col min="11783" max="11784" width="0" style="1004" hidden="1" customWidth="1"/>
    <col min="11785" max="11790" width="9.7109375" style="1004" customWidth="1"/>
    <col min="11791" max="11791" width="9.42578125" style="1004" customWidth="1"/>
    <col min="11792" max="12032" width="9.140625" style="1004"/>
    <col min="12033" max="12033" width="5.42578125" style="1004" customWidth="1"/>
    <col min="12034" max="12034" width="4.28515625" style="1004" customWidth="1"/>
    <col min="12035" max="12035" width="14.28515625" style="1004" customWidth="1"/>
    <col min="12036" max="12036" width="57.140625" style="1004" customWidth="1"/>
    <col min="12037" max="12037" width="4.28515625" style="1004" customWidth="1"/>
    <col min="12038" max="12038" width="9.7109375" style="1004" customWidth="1"/>
    <col min="12039" max="12040" width="0" style="1004" hidden="1" customWidth="1"/>
    <col min="12041" max="12046" width="9.7109375" style="1004" customWidth="1"/>
    <col min="12047" max="12047" width="9.42578125" style="1004" customWidth="1"/>
    <col min="12048" max="12288" width="9.140625" style="1004"/>
    <col min="12289" max="12289" width="5.42578125" style="1004" customWidth="1"/>
    <col min="12290" max="12290" width="4.28515625" style="1004" customWidth="1"/>
    <col min="12291" max="12291" width="14.28515625" style="1004" customWidth="1"/>
    <col min="12292" max="12292" width="57.140625" style="1004" customWidth="1"/>
    <col min="12293" max="12293" width="4.28515625" style="1004" customWidth="1"/>
    <col min="12294" max="12294" width="9.7109375" style="1004" customWidth="1"/>
    <col min="12295" max="12296" width="0" style="1004" hidden="1" customWidth="1"/>
    <col min="12297" max="12302" width="9.7109375" style="1004" customWidth="1"/>
    <col min="12303" max="12303" width="9.42578125" style="1004" customWidth="1"/>
    <col min="12304" max="12544" width="9.140625" style="1004"/>
    <col min="12545" max="12545" width="5.42578125" style="1004" customWidth="1"/>
    <col min="12546" max="12546" width="4.28515625" style="1004" customWidth="1"/>
    <col min="12547" max="12547" width="14.28515625" style="1004" customWidth="1"/>
    <col min="12548" max="12548" width="57.140625" style="1004" customWidth="1"/>
    <col min="12549" max="12549" width="4.28515625" style="1004" customWidth="1"/>
    <col min="12550" max="12550" width="9.7109375" style="1004" customWidth="1"/>
    <col min="12551" max="12552" width="0" style="1004" hidden="1" customWidth="1"/>
    <col min="12553" max="12558" width="9.7109375" style="1004" customWidth="1"/>
    <col min="12559" max="12559" width="9.42578125" style="1004" customWidth="1"/>
    <col min="12560" max="12800" width="9.140625" style="1004"/>
    <col min="12801" max="12801" width="5.42578125" style="1004" customWidth="1"/>
    <col min="12802" max="12802" width="4.28515625" style="1004" customWidth="1"/>
    <col min="12803" max="12803" width="14.28515625" style="1004" customWidth="1"/>
    <col min="12804" max="12804" width="57.140625" style="1004" customWidth="1"/>
    <col min="12805" max="12805" width="4.28515625" style="1004" customWidth="1"/>
    <col min="12806" max="12806" width="9.7109375" style="1004" customWidth="1"/>
    <col min="12807" max="12808" width="0" style="1004" hidden="1" customWidth="1"/>
    <col min="12809" max="12814" width="9.7109375" style="1004" customWidth="1"/>
    <col min="12815" max="12815" width="9.42578125" style="1004" customWidth="1"/>
    <col min="12816" max="13056" width="9.140625" style="1004"/>
    <col min="13057" max="13057" width="5.42578125" style="1004" customWidth="1"/>
    <col min="13058" max="13058" width="4.28515625" style="1004" customWidth="1"/>
    <col min="13059" max="13059" width="14.28515625" style="1004" customWidth="1"/>
    <col min="13060" max="13060" width="57.140625" style="1004" customWidth="1"/>
    <col min="13061" max="13061" width="4.28515625" style="1004" customWidth="1"/>
    <col min="13062" max="13062" width="9.7109375" style="1004" customWidth="1"/>
    <col min="13063" max="13064" width="0" style="1004" hidden="1" customWidth="1"/>
    <col min="13065" max="13070" width="9.7109375" style="1004" customWidth="1"/>
    <col min="13071" max="13071" width="9.42578125" style="1004" customWidth="1"/>
    <col min="13072" max="13312" width="9.140625" style="1004"/>
    <col min="13313" max="13313" width="5.42578125" style="1004" customWidth="1"/>
    <col min="13314" max="13314" width="4.28515625" style="1004" customWidth="1"/>
    <col min="13315" max="13315" width="14.28515625" style="1004" customWidth="1"/>
    <col min="13316" max="13316" width="57.140625" style="1004" customWidth="1"/>
    <col min="13317" max="13317" width="4.28515625" style="1004" customWidth="1"/>
    <col min="13318" max="13318" width="9.7109375" style="1004" customWidth="1"/>
    <col min="13319" max="13320" width="0" style="1004" hidden="1" customWidth="1"/>
    <col min="13321" max="13326" width="9.7109375" style="1004" customWidth="1"/>
    <col min="13327" max="13327" width="9.42578125" style="1004" customWidth="1"/>
    <col min="13328" max="13568" width="9.140625" style="1004"/>
    <col min="13569" max="13569" width="5.42578125" style="1004" customWidth="1"/>
    <col min="13570" max="13570" width="4.28515625" style="1004" customWidth="1"/>
    <col min="13571" max="13571" width="14.28515625" style="1004" customWidth="1"/>
    <col min="13572" max="13572" width="57.140625" style="1004" customWidth="1"/>
    <col min="13573" max="13573" width="4.28515625" style="1004" customWidth="1"/>
    <col min="13574" max="13574" width="9.7109375" style="1004" customWidth="1"/>
    <col min="13575" max="13576" width="0" style="1004" hidden="1" customWidth="1"/>
    <col min="13577" max="13582" width="9.7109375" style="1004" customWidth="1"/>
    <col min="13583" max="13583" width="9.42578125" style="1004" customWidth="1"/>
    <col min="13584" max="13824" width="9.140625" style="1004"/>
    <col min="13825" max="13825" width="5.42578125" style="1004" customWidth="1"/>
    <col min="13826" max="13826" width="4.28515625" style="1004" customWidth="1"/>
    <col min="13827" max="13827" width="14.28515625" style="1004" customWidth="1"/>
    <col min="13828" max="13828" width="57.140625" style="1004" customWidth="1"/>
    <col min="13829" max="13829" width="4.28515625" style="1004" customWidth="1"/>
    <col min="13830" max="13830" width="9.7109375" style="1004" customWidth="1"/>
    <col min="13831" max="13832" width="0" style="1004" hidden="1" customWidth="1"/>
    <col min="13833" max="13838" width="9.7109375" style="1004" customWidth="1"/>
    <col min="13839" max="13839" width="9.42578125" style="1004" customWidth="1"/>
    <col min="13840" max="14080" width="9.140625" style="1004"/>
    <col min="14081" max="14081" width="5.42578125" style="1004" customWidth="1"/>
    <col min="14082" max="14082" width="4.28515625" style="1004" customWidth="1"/>
    <col min="14083" max="14083" width="14.28515625" style="1004" customWidth="1"/>
    <col min="14084" max="14084" width="57.140625" style="1004" customWidth="1"/>
    <col min="14085" max="14085" width="4.28515625" style="1004" customWidth="1"/>
    <col min="14086" max="14086" width="9.7109375" style="1004" customWidth="1"/>
    <col min="14087" max="14088" width="0" style="1004" hidden="1" customWidth="1"/>
    <col min="14089" max="14094" width="9.7109375" style="1004" customWidth="1"/>
    <col min="14095" max="14095" width="9.42578125" style="1004" customWidth="1"/>
    <col min="14096" max="14336" width="9.140625" style="1004"/>
    <col min="14337" max="14337" width="5.42578125" style="1004" customWidth="1"/>
    <col min="14338" max="14338" width="4.28515625" style="1004" customWidth="1"/>
    <col min="14339" max="14339" width="14.28515625" style="1004" customWidth="1"/>
    <col min="14340" max="14340" width="57.140625" style="1004" customWidth="1"/>
    <col min="14341" max="14341" width="4.28515625" style="1004" customWidth="1"/>
    <col min="14342" max="14342" width="9.7109375" style="1004" customWidth="1"/>
    <col min="14343" max="14344" width="0" style="1004" hidden="1" customWidth="1"/>
    <col min="14345" max="14350" width="9.7109375" style="1004" customWidth="1"/>
    <col min="14351" max="14351" width="9.42578125" style="1004" customWidth="1"/>
    <col min="14352" max="14592" width="9.140625" style="1004"/>
    <col min="14593" max="14593" width="5.42578125" style="1004" customWidth="1"/>
    <col min="14594" max="14594" width="4.28515625" style="1004" customWidth="1"/>
    <col min="14595" max="14595" width="14.28515625" style="1004" customWidth="1"/>
    <col min="14596" max="14596" width="57.140625" style="1004" customWidth="1"/>
    <col min="14597" max="14597" width="4.28515625" style="1004" customWidth="1"/>
    <col min="14598" max="14598" width="9.7109375" style="1004" customWidth="1"/>
    <col min="14599" max="14600" width="0" style="1004" hidden="1" customWidth="1"/>
    <col min="14601" max="14606" width="9.7109375" style="1004" customWidth="1"/>
    <col min="14607" max="14607" width="9.42578125" style="1004" customWidth="1"/>
    <col min="14608" max="14848" width="9.140625" style="1004"/>
    <col min="14849" max="14849" width="5.42578125" style="1004" customWidth="1"/>
    <col min="14850" max="14850" width="4.28515625" style="1004" customWidth="1"/>
    <col min="14851" max="14851" width="14.28515625" style="1004" customWidth="1"/>
    <col min="14852" max="14852" width="57.140625" style="1004" customWidth="1"/>
    <col min="14853" max="14853" width="4.28515625" style="1004" customWidth="1"/>
    <col min="14854" max="14854" width="9.7109375" style="1004" customWidth="1"/>
    <col min="14855" max="14856" width="0" style="1004" hidden="1" customWidth="1"/>
    <col min="14857" max="14862" width="9.7109375" style="1004" customWidth="1"/>
    <col min="14863" max="14863" width="9.42578125" style="1004" customWidth="1"/>
    <col min="14864" max="15104" width="9.140625" style="1004"/>
    <col min="15105" max="15105" width="5.42578125" style="1004" customWidth="1"/>
    <col min="15106" max="15106" width="4.28515625" style="1004" customWidth="1"/>
    <col min="15107" max="15107" width="14.28515625" style="1004" customWidth="1"/>
    <col min="15108" max="15108" width="57.140625" style="1004" customWidth="1"/>
    <col min="15109" max="15109" width="4.28515625" style="1004" customWidth="1"/>
    <col min="15110" max="15110" width="9.7109375" style="1004" customWidth="1"/>
    <col min="15111" max="15112" width="0" style="1004" hidden="1" customWidth="1"/>
    <col min="15113" max="15118" width="9.7109375" style="1004" customWidth="1"/>
    <col min="15119" max="15119" width="9.42578125" style="1004" customWidth="1"/>
    <col min="15120" max="15360" width="9.140625" style="1004"/>
    <col min="15361" max="15361" width="5.42578125" style="1004" customWidth="1"/>
    <col min="15362" max="15362" width="4.28515625" style="1004" customWidth="1"/>
    <col min="15363" max="15363" width="14.28515625" style="1004" customWidth="1"/>
    <col min="15364" max="15364" width="57.140625" style="1004" customWidth="1"/>
    <col min="15365" max="15365" width="4.28515625" style="1004" customWidth="1"/>
    <col min="15366" max="15366" width="9.7109375" style="1004" customWidth="1"/>
    <col min="15367" max="15368" width="0" style="1004" hidden="1" customWidth="1"/>
    <col min="15369" max="15374" width="9.7109375" style="1004" customWidth="1"/>
    <col min="15375" max="15375" width="9.42578125" style="1004" customWidth="1"/>
    <col min="15376" max="15616" width="9.140625" style="1004"/>
    <col min="15617" max="15617" width="5.42578125" style="1004" customWidth="1"/>
    <col min="15618" max="15618" width="4.28515625" style="1004" customWidth="1"/>
    <col min="15619" max="15619" width="14.28515625" style="1004" customWidth="1"/>
    <col min="15620" max="15620" width="57.140625" style="1004" customWidth="1"/>
    <col min="15621" max="15621" width="4.28515625" style="1004" customWidth="1"/>
    <col min="15622" max="15622" width="9.7109375" style="1004" customWidth="1"/>
    <col min="15623" max="15624" width="0" style="1004" hidden="1" customWidth="1"/>
    <col min="15625" max="15630" width="9.7109375" style="1004" customWidth="1"/>
    <col min="15631" max="15631" width="9.42578125" style="1004" customWidth="1"/>
    <col min="15632" max="15872" width="9.140625" style="1004"/>
    <col min="15873" max="15873" width="5.42578125" style="1004" customWidth="1"/>
    <col min="15874" max="15874" width="4.28515625" style="1004" customWidth="1"/>
    <col min="15875" max="15875" width="14.28515625" style="1004" customWidth="1"/>
    <col min="15876" max="15876" width="57.140625" style="1004" customWidth="1"/>
    <col min="15877" max="15877" width="4.28515625" style="1004" customWidth="1"/>
    <col min="15878" max="15878" width="9.7109375" style="1004" customWidth="1"/>
    <col min="15879" max="15880" width="0" style="1004" hidden="1" customWidth="1"/>
    <col min="15881" max="15886" width="9.7109375" style="1004" customWidth="1"/>
    <col min="15887" max="15887" width="9.42578125" style="1004" customWidth="1"/>
    <col min="15888" max="16128" width="9.140625" style="1004"/>
    <col min="16129" max="16129" width="5.42578125" style="1004" customWidth="1"/>
    <col min="16130" max="16130" width="4.28515625" style="1004" customWidth="1"/>
    <col min="16131" max="16131" width="14.28515625" style="1004" customWidth="1"/>
    <col min="16132" max="16132" width="57.140625" style="1004" customWidth="1"/>
    <col min="16133" max="16133" width="4.28515625" style="1004" customWidth="1"/>
    <col min="16134" max="16134" width="9.7109375" style="1004" customWidth="1"/>
    <col min="16135" max="16136" width="0" style="1004" hidden="1" customWidth="1"/>
    <col min="16137" max="16142" width="9.7109375" style="1004" customWidth="1"/>
    <col min="16143" max="16143" width="9.42578125" style="1004" customWidth="1"/>
    <col min="16144" max="16384" width="9.140625" style="1004"/>
  </cols>
  <sheetData>
    <row r="1" spans="1:14" s="949" customFormat="1" ht="21" customHeight="1" x14ac:dyDescent="0.3">
      <c r="A1" s="948" t="s">
        <v>1055</v>
      </c>
      <c r="B1" s="950"/>
      <c r="C1" s="950"/>
      <c r="D1" s="950"/>
      <c r="E1" s="950"/>
      <c r="F1" s="952"/>
      <c r="G1" s="953"/>
      <c r="H1" s="952"/>
      <c r="I1" s="954"/>
      <c r="J1" s="955"/>
      <c r="K1" s="956"/>
      <c r="L1" s="953"/>
      <c r="M1" s="953"/>
      <c r="N1" s="953"/>
    </row>
    <row r="2" spans="1:14" s="949" customFormat="1" ht="21.6" customHeight="1" x14ac:dyDescent="0.3">
      <c r="A2" s="948" t="s">
        <v>1054</v>
      </c>
      <c r="B2" s="950"/>
      <c r="C2" s="950"/>
      <c r="D2" s="950"/>
      <c r="E2" s="950"/>
      <c r="F2" s="952"/>
      <c r="G2" s="953"/>
      <c r="H2" s="952"/>
      <c r="I2" s="954"/>
      <c r="J2" s="955"/>
      <c r="K2" s="956"/>
      <c r="L2" s="953"/>
      <c r="M2" s="953"/>
      <c r="N2" s="953"/>
    </row>
    <row r="3" spans="1:14" s="962" customFormat="1" ht="12.75" x14ac:dyDescent="0.2">
      <c r="A3" s="957"/>
      <c r="B3" s="958"/>
      <c r="C3" s="959"/>
      <c r="D3" s="960"/>
      <c r="E3" s="958"/>
      <c r="F3" s="961"/>
      <c r="G3" s="957"/>
      <c r="H3" s="961"/>
      <c r="I3" s="1226" t="s">
        <v>1056</v>
      </c>
      <c r="J3" s="1226"/>
      <c r="K3" s="1226" t="s">
        <v>1057</v>
      </c>
      <c r="L3" s="1227"/>
      <c r="M3" s="1226" t="s">
        <v>1058</v>
      </c>
      <c r="N3" s="1227"/>
    </row>
    <row r="4" spans="1:14" s="962" customFormat="1" ht="13.5" thickBot="1" x14ac:dyDescent="0.25">
      <c r="A4" s="963" t="s">
        <v>448</v>
      </c>
      <c r="B4" s="964" t="s">
        <v>443</v>
      </c>
      <c r="C4" s="965" t="s">
        <v>442</v>
      </c>
      <c r="D4" s="966" t="s">
        <v>445</v>
      </c>
      <c r="E4" s="964" t="s">
        <v>438</v>
      </c>
      <c r="F4" s="967" t="s">
        <v>449</v>
      </c>
      <c r="G4" s="963" t="s">
        <v>447</v>
      </c>
      <c r="H4" s="967" t="s">
        <v>449</v>
      </c>
      <c r="I4" s="967" t="s">
        <v>1059</v>
      </c>
      <c r="J4" s="963" t="s">
        <v>1060</v>
      </c>
      <c r="K4" s="968" t="s">
        <v>1059</v>
      </c>
      <c r="L4" s="963" t="s">
        <v>1060</v>
      </c>
      <c r="M4" s="968" t="s">
        <v>1059</v>
      </c>
      <c r="N4" s="963" t="s">
        <v>1060</v>
      </c>
    </row>
    <row r="5" spans="1:14" s="949" customFormat="1" ht="11.25" customHeight="1" x14ac:dyDescent="0.2">
      <c r="A5" s="969"/>
      <c r="B5" s="970"/>
      <c r="C5" s="951"/>
      <c r="D5" s="971"/>
      <c r="E5" s="970"/>
      <c r="F5" s="972"/>
      <c r="G5" s="969"/>
      <c r="H5" s="972"/>
      <c r="I5" s="972"/>
      <c r="J5" s="969"/>
      <c r="K5" s="969"/>
      <c r="L5" s="969"/>
      <c r="M5" s="969"/>
      <c r="N5" s="969"/>
    </row>
    <row r="6" spans="1:14" s="982" customFormat="1" ht="18.75" customHeight="1" x14ac:dyDescent="0.2">
      <c r="A6" s="973"/>
      <c r="B6" s="974"/>
      <c r="C6" s="975"/>
      <c r="D6" s="975" t="s">
        <v>1061</v>
      </c>
      <c r="E6" s="974"/>
      <c r="F6" s="976"/>
      <c r="G6" s="977"/>
      <c r="H6" s="978"/>
      <c r="I6" s="979"/>
      <c r="J6" s="980">
        <f>SUBTOTAL(9,J7:J249)</f>
        <v>0</v>
      </c>
      <c r="K6" s="981"/>
      <c r="L6" s="977">
        <f>SUBTOTAL(9,L7:L249)</f>
        <v>9.4118105000000014</v>
      </c>
      <c r="M6" s="977"/>
      <c r="N6" s="977">
        <f>SUBTOTAL(9,N7:N249)</f>
        <v>28.705528525000005</v>
      </c>
    </row>
    <row r="7" spans="1:14" s="993" customFormat="1" ht="16.5" customHeight="1" outlineLevel="1" x14ac:dyDescent="0.2">
      <c r="A7" s="983"/>
      <c r="B7" s="984"/>
      <c r="C7" s="985"/>
      <c r="D7" s="985" t="s">
        <v>44</v>
      </c>
      <c r="E7" s="984"/>
      <c r="F7" s="986"/>
      <c r="G7" s="987"/>
      <c r="H7" s="988"/>
      <c r="I7" s="989"/>
      <c r="J7" s="990">
        <f>SUBTOTAL(9,J8:J18)</f>
        <v>0</v>
      </c>
      <c r="K7" s="991"/>
      <c r="L7" s="992">
        <f>SUBTOTAL(9,L8:L18)</f>
        <v>2.53404775</v>
      </c>
      <c r="M7" s="987"/>
      <c r="N7" s="992">
        <f>SUBTOTAL(9,N8:N18)</f>
        <v>0</v>
      </c>
    </row>
    <row r="8" spans="1:14" outlineLevel="2" x14ac:dyDescent="0.2">
      <c r="A8" s="994">
        <v>1</v>
      </c>
      <c r="B8" s="995" t="s">
        <v>440</v>
      </c>
      <c r="C8" s="996" t="s">
        <v>1062</v>
      </c>
      <c r="D8" s="997" t="s">
        <v>1063</v>
      </c>
      <c r="E8" s="995" t="s">
        <v>441</v>
      </c>
      <c r="F8" s="998">
        <v>3.6749999999999998</v>
      </c>
      <c r="G8" s="999">
        <v>0</v>
      </c>
      <c r="H8" s="1000">
        <f>F8*(1+G8/100)</f>
        <v>3.6749999999999998</v>
      </c>
      <c r="I8" s="1035"/>
      <c r="J8" s="1001">
        <f>H8*I8</f>
        <v>0</v>
      </c>
      <c r="K8" s="1002">
        <v>2.8570000000000002E-2</v>
      </c>
      <c r="L8" s="1003">
        <f>H8*K8</f>
        <v>0.10499475</v>
      </c>
      <c r="M8" s="1002"/>
      <c r="N8" s="1003">
        <f>H8*M8</f>
        <v>0</v>
      </c>
    </row>
    <row r="9" spans="1:14" s="1014" customFormat="1" outlineLevel="3" x14ac:dyDescent="0.2">
      <c r="A9" s="1005"/>
      <c r="B9" s="1006"/>
      <c r="C9" s="1006"/>
      <c r="D9" s="1007" t="s">
        <v>1064</v>
      </c>
      <c r="E9" s="1006"/>
      <c r="F9" s="1008">
        <v>3.6749999999999998</v>
      </c>
      <c r="G9" s="1009"/>
      <c r="H9" s="1010"/>
      <c r="I9" s="1011"/>
      <c r="J9" s="1012"/>
      <c r="K9" s="1013"/>
      <c r="L9" s="1009"/>
      <c r="M9" s="1009"/>
      <c r="N9" s="1009"/>
    </row>
    <row r="10" spans="1:14" outlineLevel="2" x14ac:dyDescent="0.2">
      <c r="A10" s="994">
        <v>2</v>
      </c>
      <c r="B10" s="995" t="s">
        <v>440</v>
      </c>
      <c r="C10" s="996" t="s">
        <v>1065</v>
      </c>
      <c r="D10" s="997" t="s">
        <v>1066</v>
      </c>
      <c r="E10" s="995" t="s">
        <v>441</v>
      </c>
      <c r="F10" s="998">
        <v>1.02</v>
      </c>
      <c r="G10" s="999">
        <v>0</v>
      </c>
      <c r="H10" s="1000">
        <f>F10*(1+G10/100)</f>
        <v>1.02</v>
      </c>
      <c r="I10" s="1035"/>
      <c r="J10" s="1001">
        <f>H10*I10</f>
        <v>0</v>
      </c>
      <c r="K10" s="1002">
        <v>4.795E-2</v>
      </c>
      <c r="L10" s="1003">
        <f>H10*K10</f>
        <v>4.8909000000000001E-2</v>
      </c>
      <c r="M10" s="1002"/>
      <c r="N10" s="1003">
        <f>H10*M10</f>
        <v>0</v>
      </c>
    </row>
    <row r="11" spans="1:14" s="1014" customFormat="1" outlineLevel="3" x14ac:dyDescent="0.2">
      <c r="A11" s="1005"/>
      <c r="B11" s="1006"/>
      <c r="C11" s="1006"/>
      <c r="D11" s="1007" t="s">
        <v>1067</v>
      </c>
      <c r="E11" s="1006"/>
      <c r="F11" s="1008">
        <v>1.02</v>
      </c>
      <c r="G11" s="1009"/>
      <c r="H11" s="1010"/>
      <c r="I11" s="1011"/>
      <c r="J11" s="1012"/>
      <c r="K11" s="1013"/>
      <c r="L11" s="1009"/>
      <c r="M11" s="1009"/>
      <c r="N11" s="1009"/>
    </row>
    <row r="12" spans="1:14" outlineLevel="2" x14ac:dyDescent="0.2">
      <c r="A12" s="994">
        <v>3</v>
      </c>
      <c r="B12" s="995" t="s">
        <v>440</v>
      </c>
      <c r="C12" s="996" t="s">
        <v>1068</v>
      </c>
      <c r="D12" s="997" t="s">
        <v>1069</v>
      </c>
      <c r="E12" s="995" t="s">
        <v>435</v>
      </c>
      <c r="F12" s="998">
        <v>116.6</v>
      </c>
      <c r="G12" s="999">
        <v>0</v>
      </c>
      <c r="H12" s="1000">
        <f>F12*(1+G12/100)</f>
        <v>116.6</v>
      </c>
      <c r="I12" s="1035"/>
      <c r="J12" s="1001">
        <f>H12*I12</f>
        <v>0</v>
      </c>
      <c r="K12" s="1002">
        <v>2.0000000000000001E-4</v>
      </c>
      <c r="L12" s="1003">
        <f>H12*K12</f>
        <v>2.332E-2</v>
      </c>
      <c r="M12" s="1002"/>
      <c r="N12" s="1003">
        <f>H12*M12</f>
        <v>0</v>
      </c>
    </row>
    <row r="13" spans="1:14" s="1014" customFormat="1" outlineLevel="3" x14ac:dyDescent="0.2">
      <c r="A13" s="1005"/>
      <c r="B13" s="1006"/>
      <c r="C13" s="1006"/>
      <c r="D13" s="1007" t="s">
        <v>1070</v>
      </c>
      <c r="E13" s="1006"/>
      <c r="F13" s="1008">
        <v>116.6</v>
      </c>
      <c r="G13" s="1009"/>
      <c r="H13" s="1010"/>
      <c r="I13" s="1011"/>
      <c r="J13" s="1012"/>
      <c r="K13" s="1013"/>
      <c r="L13" s="1009"/>
      <c r="M13" s="1009"/>
      <c r="N13" s="1009"/>
    </row>
    <row r="14" spans="1:14" ht="22.5" outlineLevel="2" x14ac:dyDescent="0.2">
      <c r="A14" s="994">
        <v>4</v>
      </c>
      <c r="B14" s="995" t="s">
        <v>440</v>
      </c>
      <c r="C14" s="996" t="s">
        <v>1071</v>
      </c>
      <c r="D14" s="997" t="s">
        <v>1072</v>
      </c>
      <c r="E14" s="995" t="s">
        <v>441</v>
      </c>
      <c r="F14" s="998">
        <v>40.92</v>
      </c>
      <c r="G14" s="999"/>
      <c r="H14" s="1000">
        <f>F14*(1+G14/100)</f>
        <v>40.92</v>
      </c>
      <c r="I14" s="1035"/>
      <c r="J14" s="1001">
        <f>H14*I14</f>
        <v>0</v>
      </c>
      <c r="K14" s="1002">
        <v>5.2170000000000001E-2</v>
      </c>
      <c r="L14" s="1003">
        <f>H14*K14</f>
        <v>2.1347963999999999</v>
      </c>
      <c r="M14" s="1002"/>
      <c r="N14" s="1003">
        <f>H14*M14</f>
        <v>0</v>
      </c>
    </row>
    <row r="15" spans="1:14" s="1014" customFormat="1" outlineLevel="3" x14ac:dyDescent="0.2">
      <c r="A15" s="1005"/>
      <c r="B15" s="1006"/>
      <c r="C15" s="1006"/>
      <c r="D15" s="1007" t="s">
        <v>1073</v>
      </c>
      <c r="E15" s="1006"/>
      <c r="F15" s="1008">
        <v>40.92</v>
      </c>
      <c r="G15" s="1009"/>
      <c r="H15" s="1010"/>
      <c r="I15" s="1011"/>
      <c r="J15" s="1012"/>
      <c r="K15" s="1013"/>
      <c r="L15" s="1009"/>
      <c r="M15" s="1009"/>
      <c r="N15" s="1009"/>
    </row>
    <row r="16" spans="1:14" ht="22.5" outlineLevel="2" x14ac:dyDescent="0.2">
      <c r="A16" s="994">
        <v>5</v>
      </c>
      <c r="B16" s="995" t="s">
        <v>440</v>
      </c>
      <c r="C16" s="996" t="s">
        <v>1074</v>
      </c>
      <c r="D16" s="997" t="s">
        <v>1075</v>
      </c>
      <c r="E16" s="995" t="s">
        <v>441</v>
      </c>
      <c r="F16" s="998">
        <v>3.18</v>
      </c>
      <c r="G16" s="999"/>
      <c r="H16" s="1000">
        <f>F16*(1+G16/100)</f>
        <v>3.18</v>
      </c>
      <c r="I16" s="1035"/>
      <c r="J16" s="1001">
        <f>H16*I16</f>
        <v>0</v>
      </c>
      <c r="K16" s="1002">
        <v>6.9819999999999993E-2</v>
      </c>
      <c r="L16" s="1003">
        <f>H16*K16</f>
        <v>0.22202759999999999</v>
      </c>
      <c r="M16" s="1002"/>
      <c r="N16" s="1003">
        <f>H16*M16</f>
        <v>0</v>
      </c>
    </row>
    <row r="17" spans="1:14" s="1014" customFormat="1" outlineLevel="3" x14ac:dyDescent="0.2">
      <c r="A17" s="1005"/>
      <c r="B17" s="1006"/>
      <c r="C17" s="1006"/>
      <c r="D17" s="1007" t="s">
        <v>1076</v>
      </c>
      <c r="E17" s="1006"/>
      <c r="F17" s="1008">
        <v>3.18</v>
      </c>
      <c r="G17" s="1009"/>
      <c r="H17" s="1010"/>
      <c r="I17" s="1011"/>
      <c r="J17" s="1012"/>
      <c r="K17" s="1013"/>
      <c r="L17" s="1009"/>
      <c r="M17" s="1009"/>
      <c r="N17" s="1009"/>
    </row>
    <row r="18" spans="1:14" s="1024" customFormat="1" ht="12.75" customHeight="1" outlineLevel="2" x14ac:dyDescent="0.2">
      <c r="A18" s="1015"/>
      <c r="B18" s="1016"/>
      <c r="C18" s="1016"/>
      <c r="D18" s="1017"/>
      <c r="E18" s="1016"/>
      <c r="F18" s="1018"/>
      <c r="G18" s="1019"/>
      <c r="H18" s="1020"/>
      <c r="I18" s="1021"/>
      <c r="J18" s="1022"/>
      <c r="K18" s="1023"/>
      <c r="L18" s="1019"/>
      <c r="M18" s="1019"/>
      <c r="N18" s="1019"/>
    </row>
    <row r="19" spans="1:14" s="993" customFormat="1" ht="16.5" customHeight="1" outlineLevel="1" x14ac:dyDescent="0.2">
      <c r="A19" s="983"/>
      <c r="B19" s="984"/>
      <c r="C19" s="985"/>
      <c r="D19" s="985" t="s">
        <v>43</v>
      </c>
      <c r="E19" s="984"/>
      <c r="F19" s="986"/>
      <c r="G19" s="987"/>
      <c r="H19" s="988"/>
      <c r="I19" s="989"/>
      <c r="J19" s="990">
        <f>SUBTOTAL(9,J20:J46)</f>
        <v>0</v>
      </c>
      <c r="K19" s="991"/>
      <c r="L19" s="992">
        <f>SUBTOTAL(9,L20:L46)</f>
        <v>6.7767508900000006</v>
      </c>
      <c r="M19" s="987"/>
      <c r="N19" s="992">
        <f>SUBTOTAL(9,N20:N46)</f>
        <v>0</v>
      </c>
    </row>
    <row r="20" spans="1:14" outlineLevel="2" x14ac:dyDescent="0.2">
      <c r="A20" s="994">
        <v>1</v>
      </c>
      <c r="B20" s="995" t="s">
        <v>440</v>
      </c>
      <c r="C20" s="996" t="s">
        <v>1077</v>
      </c>
      <c r="D20" s="997" t="s">
        <v>1078</v>
      </c>
      <c r="E20" s="995" t="s">
        <v>441</v>
      </c>
      <c r="F20" s="998">
        <v>54.38</v>
      </c>
      <c r="G20" s="999"/>
      <c r="H20" s="1000">
        <f>F20*(1+G20/100)</f>
        <v>54.38</v>
      </c>
      <c r="I20" s="1035"/>
      <c r="J20" s="1001">
        <f>H20*I20</f>
        <v>0</v>
      </c>
      <c r="K20" s="1002">
        <v>2.5999999999999998E-4</v>
      </c>
      <c r="L20" s="1003">
        <f>H20*K20</f>
        <v>1.41388E-2</v>
      </c>
      <c r="M20" s="1002"/>
      <c r="N20" s="1003">
        <f>H20*M20</f>
        <v>0</v>
      </c>
    </row>
    <row r="21" spans="1:14" s="1014" customFormat="1" outlineLevel="3" x14ac:dyDescent="0.2">
      <c r="A21" s="1005"/>
      <c r="B21" s="1006"/>
      <c r="C21" s="1006"/>
      <c r="D21" s="1007" t="s">
        <v>1079</v>
      </c>
      <c r="E21" s="1006"/>
      <c r="F21" s="1008">
        <v>54.38</v>
      </c>
      <c r="G21" s="1009"/>
      <c r="H21" s="1010"/>
      <c r="I21" s="1011"/>
      <c r="J21" s="1012"/>
      <c r="K21" s="1013"/>
      <c r="L21" s="1009"/>
      <c r="M21" s="1009"/>
      <c r="N21" s="1009"/>
    </row>
    <row r="22" spans="1:14" ht="22.5" outlineLevel="2" x14ac:dyDescent="0.2">
      <c r="A22" s="994">
        <v>2</v>
      </c>
      <c r="B22" s="995" t="s">
        <v>440</v>
      </c>
      <c r="C22" s="996" t="s">
        <v>1080</v>
      </c>
      <c r="D22" s="997" t="s">
        <v>1081</v>
      </c>
      <c r="E22" s="995" t="s">
        <v>441</v>
      </c>
      <c r="F22" s="998">
        <v>54.38</v>
      </c>
      <c r="G22" s="999"/>
      <c r="H22" s="1000">
        <f>F22*(1+G22/100)</f>
        <v>54.38</v>
      </c>
      <c r="I22" s="1035"/>
      <c r="J22" s="1001">
        <f>H22*I22</f>
        <v>0</v>
      </c>
      <c r="K22" s="1002">
        <v>5.1000000000000004E-3</v>
      </c>
      <c r="L22" s="1003">
        <f>H22*K22</f>
        <v>0.27733800000000003</v>
      </c>
      <c r="M22" s="1002"/>
      <c r="N22" s="1003">
        <f>H22*M22</f>
        <v>0</v>
      </c>
    </row>
    <row r="23" spans="1:14" s="1014" customFormat="1" outlineLevel="3" x14ac:dyDescent="0.2">
      <c r="A23" s="1005"/>
      <c r="B23" s="1006"/>
      <c r="C23" s="1006"/>
      <c r="D23" s="1007" t="s">
        <v>1079</v>
      </c>
      <c r="E23" s="1006"/>
      <c r="F23" s="1008">
        <v>54.38</v>
      </c>
      <c r="G23" s="1009"/>
      <c r="H23" s="1010"/>
      <c r="I23" s="1011"/>
      <c r="J23" s="1012"/>
      <c r="K23" s="1013"/>
      <c r="L23" s="1009"/>
      <c r="M23" s="1009"/>
      <c r="N23" s="1009"/>
    </row>
    <row r="24" spans="1:14" outlineLevel="2" x14ac:dyDescent="0.2">
      <c r="A24" s="994">
        <v>3</v>
      </c>
      <c r="B24" s="995" t="s">
        <v>440</v>
      </c>
      <c r="C24" s="996" t="s">
        <v>1082</v>
      </c>
      <c r="D24" s="997" t="s">
        <v>1083</v>
      </c>
      <c r="E24" s="995" t="s">
        <v>441</v>
      </c>
      <c r="F24" s="998">
        <v>284.67099999999999</v>
      </c>
      <c r="G24" s="999"/>
      <c r="H24" s="1000">
        <f>F24*(1+G24/100)</f>
        <v>284.67099999999999</v>
      </c>
      <c r="I24" s="1035"/>
      <c r="J24" s="1001">
        <f>H24*I24</f>
        <v>0</v>
      </c>
      <c r="K24" s="1002">
        <v>2.5999999999999998E-4</v>
      </c>
      <c r="L24" s="1003">
        <f>H24*K24</f>
        <v>7.401445999999999E-2</v>
      </c>
      <c r="M24" s="1002"/>
      <c r="N24" s="1003">
        <f>H24*M24</f>
        <v>0</v>
      </c>
    </row>
    <row r="25" spans="1:14" s="1014" customFormat="1" ht="22.5" outlineLevel="3" x14ac:dyDescent="0.2">
      <c r="A25" s="1005"/>
      <c r="B25" s="1006"/>
      <c r="C25" s="1006"/>
      <c r="D25" s="1007" t="s">
        <v>1084</v>
      </c>
      <c r="E25" s="1006"/>
      <c r="F25" s="1008">
        <v>222.86</v>
      </c>
      <c r="G25" s="1009"/>
      <c r="H25" s="1010"/>
      <c r="I25" s="1011"/>
      <c r="J25" s="1012"/>
      <c r="K25" s="1013"/>
      <c r="L25" s="1009"/>
      <c r="M25" s="1009"/>
      <c r="N25" s="1009"/>
    </row>
    <row r="26" spans="1:14" s="1014" customFormat="1" ht="22.5" outlineLevel="3" x14ac:dyDescent="0.2">
      <c r="A26" s="1005"/>
      <c r="B26" s="1006"/>
      <c r="C26" s="1006"/>
      <c r="D26" s="1007" t="s">
        <v>1085</v>
      </c>
      <c r="E26" s="1006"/>
      <c r="F26" s="1008">
        <v>31.63</v>
      </c>
      <c r="G26" s="1009"/>
      <c r="H26" s="1010"/>
      <c r="I26" s="1011"/>
      <c r="J26" s="1012"/>
      <c r="K26" s="1013"/>
      <c r="L26" s="1009"/>
      <c r="M26" s="1009"/>
      <c r="N26" s="1009"/>
    </row>
    <row r="27" spans="1:14" s="1014" customFormat="1" ht="33.75" outlineLevel="3" x14ac:dyDescent="0.2">
      <c r="A27" s="1005"/>
      <c r="B27" s="1006"/>
      <c r="C27" s="1006"/>
      <c r="D27" s="1007" t="s">
        <v>1086</v>
      </c>
      <c r="E27" s="1006"/>
      <c r="F27" s="1008">
        <v>30.181000000000004</v>
      </c>
      <c r="G27" s="1009"/>
      <c r="H27" s="1010"/>
      <c r="I27" s="1011"/>
      <c r="J27" s="1012"/>
      <c r="K27" s="1013"/>
      <c r="L27" s="1009"/>
      <c r="M27" s="1009"/>
      <c r="N27" s="1009"/>
    </row>
    <row r="28" spans="1:14" outlineLevel="2" x14ac:dyDescent="0.2">
      <c r="A28" s="994">
        <v>4</v>
      </c>
      <c r="B28" s="995" t="s">
        <v>440</v>
      </c>
      <c r="C28" s="996" t="s">
        <v>1087</v>
      </c>
      <c r="D28" s="997" t="s">
        <v>1088</v>
      </c>
      <c r="E28" s="995" t="s">
        <v>441</v>
      </c>
      <c r="F28" s="998">
        <v>222.86</v>
      </c>
      <c r="G28" s="999">
        <v>0</v>
      </c>
      <c r="H28" s="1000">
        <f>F28*(1+G28/100)</f>
        <v>222.86</v>
      </c>
      <c r="I28" s="1035"/>
      <c r="J28" s="1001">
        <f>H28*I28</f>
        <v>0</v>
      </c>
      <c r="K28" s="1002">
        <v>1.47E-2</v>
      </c>
      <c r="L28" s="1003">
        <f>H28*K28</f>
        <v>3.2760419999999999</v>
      </c>
      <c r="M28" s="1002"/>
      <c r="N28" s="1003">
        <f>H28*M28</f>
        <v>0</v>
      </c>
    </row>
    <row r="29" spans="1:14" s="1014" customFormat="1" ht="22.5" outlineLevel="3" x14ac:dyDescent="0.2">
      <c r="A29" s="1005"/>
      <c r="B29" s="1006"/>
      <c r="C29" s="1006"/>
      <c r="D29" s="1007" t="s">
        <v>1084</v>
      </c>
      <c r="E29" s="1006"/>
      <c r="F29" s="1008">
        <v>222.86</v>
      </c>
      <c r="G29" s="1009"/>
      <c r="H29" s="1010"/>
      <c r="I29" s="1011"/>
      <c r="J29" s="1012"/>
      <c r="K29" s="1013"/>
      <c r="L29" s="1009"/>
      <c r="M29" s="1009"/>
      <c r="N29" s="1009"/>
    </row>
    <row r="30" spans="1:14" outlineLevel="2" x14ac:dyDescent="0.2">
      <c r="A30" s="994">
        <v>5</v>
      </c>
      <c r="B30" s="995" t="s">
        <v>440</v>
      </c>
      <c r="C30" s="996" t="s">
        <v>1089</v>
      </c>
      <c r="D30" s="997" t="s">
        <v>1090</v>
      </c>
      <c r="E30" s="995" t="s">
        <v>441</v>
      </c>
      <c r="F30" s="998">
        <v>61.811000000000007</v>
      </c>
      <c r="G30" s="999">
        <v>0</v>
      </c>
      <c r="H30" s="1000">
        <f>F30*(1+G30/100)</f>
        <v>61.811000000000007</v>
      </c>
      <c r="I30" s="1035"/>
      <c r="J30" s="1001">
        <f>H30*I30</f>
        <v>0</v>
      </c>
      <c r="K30" s="1002">
        <v>1.7330000000000002E-2</v>
      </c>
      <c r="L30" s="1003">
        <f>H30*K30</f>
        <v>1.0711846300000003</v>
      </c>
      <c r="M30" s="1002"/>
      <c r="N30" s="1003">
        <f>H30*M30</f>
        <v>0</v>
      </c>
    </row>
    <row r="31" spans="1:14" s="1014" customFormat="1" ht="22.5" outlineLevel="3" x14ac:dyDescent="0.2">
      <c r="A31" s="1005"/>
      <c r="B31" s="1006"/>
      <c r="C31" s="1006"/>
      <c r="D31" s="1007" t="s">
        <v>1085</v>
      </c>
      <c r="E31" s="1006"/>
      <c r="F31" s="1008">
        <v>31.63</v>
      </c>
      <c r="G31" s="1009"/>
      <c r="H31" s="1010"/>
      <c r="I31" s="1011"/>
      <c r="J31" s="1012"/>
      <c r="K31" s="1013"/>
      <c r="L31" s="1009"/>
      <c r="M31" s="1009"/>
      <c r="N31" s="1009"/>
    </row>
    <row r="32" spans="1:14" s="1014" customFormat="1" ht="33.75" outlineLevel="3" x14ac:dyDescent="0.2">
      <c r="A32" s="1005"/>
      <c r="B32" s="1006"/>
      <c r="C32" s="1006"/>
      <c r="D32" s="1007" t="s">
        <v>1086</v>
      </c>
      <c r="E32" s="1006"/>
      <c r="F32" s="1008">
        <v>30.181000000000004</v>
      </c>
      <c r="G32" s="1009"/>
      <c r="H32" s="1010"/>
      <c r="I32" s="1011"/>
      <c r="J32" s="1012"/>
      <c r="K32" s="1013"/>
      <c r="L32" s="1009"/>
      <c r="M32" s="1009"/>
      <c r="N32" s="1009"/>
    </row>
    <row r="33" spans="1:14" ht="22.5" outlineLevel="2" x14ac:dyDescent="0.2">
      <c r="A33" s="994">
        <v>6</v>
      </c>
      <c r="B33" s="995" t="s">
        <v>440</v>
      </c>
      <c r="C33" s="996" t="s">
        <v>1091</v>
      </c>
      <c r="D33" s="997" t="s">
        <v>1092</v>
      </c>
      <c r="E33" s="995" t="s">
        <v>441</v>
      </c>
      <c r="F33" s="998">
        <v>148.13999999999999</v>
      </c>
      <c r="G33" s="999"/>
      <c r="H33" s="1000">
        <f>F33*(1+G33/100)</f>
        <v>148.13999999999999</v>
      </c>
      <c r="I33" s="1035"/>
      <c r="J33" s="1001">
        <f>H33*I33</f>
        <v>0</v>
      </c>
      <c r="K33" s="1002">
        <v>5.7000000000000002E-3</v>
      </c>
      <c r="L33" s="1003">
        <f>H33*K33</f>
        <v>0.84439799999999998</v>
      </c>
      <c r="M33" s="1002"/>
      <c r="N33" s="1003">
        <f>H33*M33</f>
        <v>0</v>
      </c>
    </row>
    <row r="34" spans="1:14" s="1014" customFormat="1" outlineLevel="3" x14ac:dyDescent="0.2">
      <c r="A34" s="1005"/>
      <c r="B34" s="1006"/>
      <c r="C34" s="1006"/>
      <c r="D34" s="1007" t="s">
        <v>1093</v>
      </c>
      <c r="E34" s="1006"/>
      <c r="F34" s="1008">
        <v>148.13999999999999</v>
      </c>
      <c r="G34" s="1009"/>
      <c r="H34" s="1010"/>
      <c r="I34" s="1011"/>
      <c r="J34" s="1012"/>
      <c r="K34" s="1013"/>
      <c r="L34" s="1009"/>
      <c r="M34" s="1009"/>
      <c r="N34" s="1009"/>
    </row>
    <row r="35" spans="1:14" ht="22.5" outlineLevel="2" x14ac:dyDescent="0.2">
      <c r="A35" s="994">
        <v>7</v>
      </c>
      <c r="B35" s="995" t="s">
        <v>440</v>
      </c>
      <c r="C35" s="996" t="s">
        <v>1094</v>
      </c>
      <c r="D35" s="997" t="s">
        <v>1095</v>
      </c>
      <c r="E35" s="995" t="s">
        <v>441</v>
      </c>
      <c r="F35" s="998">
        <v>32.869999999999997</v>
      </c>
      <c r="G35" s="999"/>
      <c r="H35" s="1000">
        <f>F35*(1+G35/100)</f>
        <v>32.869999999999997</v>
      </c>
      <c r="I35" s="1035"/>
      <c r="J35" s="1001">
        <f>H35*I35</f>
        <v>0</v>
      </c>
      <c r="K35" s="1002">
        <v>1.7000000000000001E-2</v>
      </c>
      <c r="L35" s="1003">
        <f>H35*K35</f>
        <v>0.55879000000000001</v>
      </c>
      <c r="M35" s="1002"/>
      <c r="N35" s="1003">
        <f>H35*M35</f>
        <v>0</v>
      </c>
    </row>
    <row r="36" spans="1:14" s="1014" customFormat="1" outlineLevel="3" x14ac:dyDescent="0.2">
      <c r="A36" s="1005"/>
      <c r="B36" s="1006"/>
      <c r="C36" s="1006"/>
      <c r="D36" s="1007" t="s">
        <v>1096</v>
      </c>
      <c r="E36" s="1006"/>
      <c r="F36" s="1008">
        <v>36.409999999999997</v>
      </c>
      <c r="G36" s="1009"/>
      <c r="H36" s="1010"/>
      <c r="I36" s="1011"/>
      <c r="J36" s="1012"/>
      <c r="K36" s="1013"/>
      <c r="L36" s="1009"/>
      <c r="M36" s="1009"/>
      <c r="N36" s="1009"/>
    </row>
    <row r="37" spans="1:14" s="1014" customFormat="1" outlineLevel="3" x14ac:dyDescent="0.2">
      <c r="A37" s="1005"/>
      <c r="B37" s="1006"/>
      <c r="C37" s="1006"/>
      <c r="D37" s="1007" t="s">
        <v>1097</v>
      </c>
      <c r="E37" s="1006"/>
      <c r="F37" s="1008">
        <v>-3.54</v>
      </c>
      <c r="G37" s="1009"/>
      <c r="H37" s="1010"/>
      <c r="I37" s="1011"/>
      <c r="J37" s="1012"/>
      <c r="K37" s="1013"/>
      <c r="L37" s="1009"/>
      <c r="M37" s="1009"/>
      <c r="N37" s="1009"/>
    </row>
    <row r="38" spans="1:14" outlineLevel="2" x14ac:dyDescent="0.2">
      <c r="A38" s="994">
        <v>8</v>
      </c>
      <c r="B38" s="995" t="s">
        <v>440</v>
      </c>
      <c r="C38" s="996" t="s">
        <v>1098</v>
      </c>
      <c r="D38" s="997" t="s">
        <v>1099</v>
      </c>
      <c r="E38" s="995" t="s">
        <v>435</v>
      </c>
      <c r="F38" s="998">
        <v>59.75</v>
      </c>
      <c r="G38" s="999"/>
      <c r="H38" s="1000">
        <f>F38*(1+G38/100)</f>
        <v>59.75</v>
      </c>
      <c r="I38" s="1035"/>
      <c r="J38" s="1001">
        <f>H38*I38</f>
        <v>0</v>
      </c>
      <c r="K38" s="1002">
        <v>1.5E-3</v>
      </c>
      <c r="L38" s="1003">
        <f>H38*K38</f>
        <v>8.9624999999999996E-2</v>
      </c>
      <c r="M38" s="1002"/>
      <c r="N38" s="1003">
        <f>H38*M38</f>
        <v>0</v>
      </c>
    </row>
    <row r="39" spans="1:14" s="1014" customFormat="1" ht="33.75" outlineLevel="3" x14ac:dyDescent="0.2">
      <c r="A39" s="1005"/>
      <c r="B39" s="1006"/>
      <c r="C39" s="1006"/>
      <c r="D39" s="1007" t="s">
        <v>1100</v>
      </c>
      <c r="E39" s="1006"/>
      <c r="F39" s="1008">
        <v>59.75</v>
      </c>
      <c r="G39" s="1009"/>
      <c r="H39" s="1010"/>
      <c r="I39" s="1011"/>
      <c r="J39" s="1012"/>
      <c r="K39" s="1013"/>
      <c r="L39" s="1009"/>
      <c r="M39" s="1009"/>
      <c r="N39" s="1009"/>
    </row>
    <row r="40" spans="1:14" ht="22.5" outlineLevel="2" x14ac:dyDescent="0.2">
      <c r="A40" s="994">
        <v>9</v>
      </c>
      <c r="B40" s="995" t="s">
        <v>440</v>
      </c>
      <c r="C40" s="996" t="s">
        <v>1101</v>
      </c>
      <c r="D40" s="997" t="s">
        <v>1102</v>
      </c>
      <c r="E40" s="995" t="s">
        <v>444</v>
      </c>
      <c r="F40" s="998">
        <v>6</v>
      </c>
      <c r="G40" s="999">
        <v>0</v>
      </c>
      <c r="H40" s="1000">
        <f>F40*(1+G40/100)</f>
        <v>6</v>
      </c>
      <c r="I40" s="1035"/>
      <c r="J40" s="1001">
        <f>H40*I40</f>
        <v>0</v>
      </c>
      <c r="K40" s="1002">
        <v>5.3620000000000001E-2</v>
      </c>
      <c r="L40" s="1003">
        <f>H40*K40</f>
        <v>0.32172000000000001</v>
      </c>
      <c r="M40" s="1002"/>
      <c r="N40" s="1003">
        <f>H40*M40</f>
        <v>0</v>
      </c>
    </row>
    <row r="41" spans="1:14" s="1014" customFormat="1" outlineLevel="3" x14ac:dyDescent="0.2">
      <c r="A41" s="1005"/>
      <c r="B41" s="1006"/>
      <c r="C41" s="1006"/>
      <c r="D41" s="1007" t="s">
        <v>1103</v>
      </c>
      <c r="E41" s="1006"/>
      <c r="F41" s="1008">
        <v>6</v>
      </c>
      <c r="G41" s="1009"/>
      <c r="H41" s="1010"/>
      <c r="I41" s="1011"/>
      <c r="J41" s="1012"/>
      <c r="K41" s="1013"/>
      <c r="L41" s="1009"/>
      <c r="M41" s="1009"/>
      <c r="N41" s="1009"/>
    </row>
    <row r="42" spans="1:14" outlineLevel="2" x14ac:dyDescent="0.2">
      <c r="A42" s="994">
        <v>10</v>
      </c>
      <c r="B42" s="995" t="s">
        <v>434</v>
      </c>
      <c r="C42" s="996" t="s">
        <v>1104</v>
      </c>
      <c r="D42" s="997" t="s">
        <v>1105</v>
      </c>
      <c r="E42" s="995" t="s">
        <v>444</v>
      </c>
      <c r="F42" s="998">
        <v>1</v>
      </c>
      <c r="G42" s="999">
        <v>0</v>
      </c>
      <c r="H42" s="1000">
        <f>F42*(1+G42/100)</f>
        <v>1</v>
      </c>
      <c r="I42" s="1035"/>
      <c r="J42" s="1001">
        <f>H42*I42</f>
        <v>0</v>
      </c>
      <c r="K42" s="1002">
        <v>3.6999999999999998E-2</v>
      </c>
      <c r="L42" s="1003">
        <f>H42*K42</f>
        <v>3.6999999999999998E-2</v>
      </c>
      <c r="M42" s="1002"/>
      <c r="N42" s="1003">
        <f>H42*M42</f>
        <v>0</v>
      </c>
    </row>
    <row r="43" spans="1:14" s="1014" customFormat="1" outlineLevel="3" x14ac:dyDescent="0.2">
      <c r="A43" s="1005"/>
      <c r="B43" s="1006"/>
      <c r="C43" s="1006"/>
      <c r="D43" s="1007" t="s">
        <v>1106</v>
      </c>
      <c r="E43" s="1006"/>
      <c r="F43" s="1008">
        <v>1</v>
      </c>
      <c r="G43" s="1009"/>
      <c r="H43" s="1010"/>
      <c r="I43" s="1011"/>
      <c r="J43" s="1012"/>
      <c r="K43" s="1013"/>
      <c r="L43" s="1009"/>
      <c r="M43" s="1009"/>
      <c r="N43" s="1009"/>
    </row>
    <row r="44" spans="1:14" outlineLevel="2" x14ac:dyDescent="0.2">
      <c r="A44" s="994">
        <v>11</v>
      </c>
      <c r="B44" s="995" t="s">
        <v>434</v>
      </c>
      <c r="C44" s="996" t="s">
        <v>844</v>
      </c>
      <c r="D44" s="997" t="s">
        <v>1107</v>
      </c>
      <c r="E44" s="995" t="s">
        <v>444</v>
      </c>
      <c r="F44" s="998">
        <v>5</v>
      </c>
      <c r="G44" s="999">
        <v>0</v>
      </c>
      <c r="H44" s="1000">
        <f>F44*(1+G44/100)</f>
        <v>5</v>
      </c>
      <c r="I44" s="1035"/>
      <c r="J44" s="1001">
        <f>H44*I44</f>
        <v>0</v>
      </c>
      <c r="K44" s="1002">
        <v>4.2500000000000003E-2</v>
      </c>
      <c r="L44" s="1003">
        <f>H44*K44</f>
        <v>0.21250000000000002</v>
      </c>
      <c r="M44" s="1002"/>
      <c r="N44" s="1003">
        <f>H44*M44</f>
        <v>0</v>
      </c>
    </row>
    <row r="45" spans="1:14" s="1014" customFormat="1" outlineLevel="3" x14ac:dyDescent="0.2">
      <c r="A45" s="1005"/>
      <c r="B45" s="1006"/>
      <c r="C45" s="1006"/>
      <c r="D45" s="1007" t="s">
        <v>1108</v>
      </c>
      <c r="E45" s="1006"/>
      <c r="F45" s="1008">
        <v>5</v>
      </c>
      <c r="G45" s="1009"/>
      <c r="H45" s="1010"/>
      <c r="I45" s="1011"/>
      <c r="J45" s="1012"/>
      <c r="K45" s="1013"/>
      <c r="L45" s="1009"/>
      <c r="M45" s="1009"/>
      <c r="N45" s="1009"/>
    </row>
    <row r="46" spans="1:14" s="1024" customFormat="1" ht="12.75" customHeight="1" outlineLevel="2" x14ac:dyDescent="0.2">
      <c r="A46" s="1015"/>
      <c r="B46" s="1016"/>
      <c r="C46" s="1016"/>
      <c r="D46" s="1017"/>
      <c r="E46" s="1016"/>
      <c r="F46" s="1018"/>
      <c r="G46" s="1019"/>
      <c r="H46" s="1020"/>
      <c r="I46" s="1021"/>
      <c r="J46" s="1022"/>
      <c r="K46" s="1023"/>
      <c r="L46" s="1019"/>
      <c r="M46" s="1019"/>
      <c r="N46" s="1019"/>
    </row>
    <row r="47" spans="1:14" s="993" customFormat="1" ht="16.5" customHeight="1" outlineLevel="1" x14ac:dyDescent="0.2">
      <c r="A47" s="983"/>
      <c r="B47" s="984"/>
      <c r="C47" s="985"/>
      <c r="D47" s="985" t="s">
        <v>45</v>
      </c>
      <c r="E47" s="984"/>
      <c r="F47" s="986"/>
      <c r="G47" s="987"/>
      <c r="H47" s="988"/>
      <c r="I47" s="989"/>
      <c r="J47" s="990">
        <f>SUBTOTAL(9,J48:J82)</f>
        <v>0</v>
      </c>
      <c r="K47" s="991"/>
      <c r="L47" s="992">
        <f>SUBTOTAL(9,L48:L82)</f>
        <v>0.10101185999999999</v>
      </c>
      <c r="M47" s="987"/>
      <c r="N47" s="992">
        <f>SUBTOTAL(9,N48:N82)</f>
        <v>24.940667500000004</v>
      </c>
    </row>
    <row r="48" spans="1:14" ht="22.5" outlineLevel="2" x14ac:dyDescent="0.2">
      <c r="A48" s="994">
        <v>1</v>
      </c>
      <c r="B48" s="995" t="s">
        <v>440</v>
      </c>
      <c r="C48" s="996" t="s">
        <v>1109</v>
      </c>
      <c r="D48" s="997" t="s">
        <v>1110</v>
      </c>
      <c r="E48" s="995" t="s">
        <v>441</v>
      </c>
      <c r="F48" s="998">
        <v>474.9919999999999</v>
      </c>
      <c r="G48" s="999"/>
      <c r="H48" s="1000">
        <f>F48*(1+G48/100)</f>
        <v>474.9919999999999</v>
      </c>
      <c r="I48" s="1035"/>
      <c r="J48" s="1001">
        <f>H48*I48</f>
        <v>0</v>
      </c>
      <c r="K48" s="1002">
        <v>1.2999999999999999E-4</v>
      </c>
      <c r="L48" s="1003">
        <f>H48*K48</f>
        <v>6.1748959999999985E-2</v>
      </c>
      <c r="M48" s="1002"/>
      <c r="N48" s="1003">
        <f>H48*M48</f>
        <v>0</v>
      </c>
    </row>
    <row r="49" spans="1:14" s="1014" customFormat="1" ht="22.5" outlineLevel="3" x14ac:dyDescent="0.2">
      <c r="A49" s="1005"/>
      <c r="B49" s="1006"/>
      <c r="C49" s="1006"/>
      <c r="D49" s="1007" t="s">
        <v>1111</v>
      </c>
      <c r="E49" s="1006"/>
      <c r="F49" s="1008">
        <v>474.9919999999999</v>
      </c>
      <c r="G49" s="1009"/>
      <c r="H49" s="1010"/>
      <c r="I49" s="1011"/>
      <c r="J49" s="1012"/>
      <c r="K49" s="1013"/>
      <c r="L49" s="1009"/>
      <c r="M49" s="1009"/>
      <c r="N49" s="1009"/>
    </row>
    <row r="50" spans="1:14" outlineLevel="2" x14ac:dyDescent="0.2">
      <c r="A50" s="994">
        <v>2</v>
      </c>
      <c r="B50" s="995" t="s">
        <v>440</v>
      </c>
      <c r="C50" s="996" t="s">
        <v>287</v>
      </c>
      <c r="D50" s="997" t="s">
        <v>288</v>
      </c>
      <c r="E50" s="995" t="s">
        <v>441</v>
      </c>
      <c r="F50" s="998">
        <v>678.56</v>
      </c>
      <c r="G50" s="999"/>
      <c r="H50" s="1000">
        <f>F50*(1+G50/100)</f>
        <v>678.56</v>
      </c>
      <c r="I50" s="1035"/>
      <c r="J50" s="1001">
        <f>H50*I50</f>
        <v>0</v>
      </c>
      <c r="K50" s="1002">
        <v>4.0000000000000003E-5</v>
      </c>
      <c r="L50" s="1003">
        <f>H50*K50</f>
        <v>2.7142400000000001E-2</v>
      </c>
      <c r="M50" s="1002"/>
      <c r="N50" s="1003">
        <f>H50*M50</f>
        <v>0</v>
      </c>
    </row>
    <row r="51" spans="1:14" s="1014" customFormat="1" outlineLevel="3" x14ac:dyDescent="0.2">
      <c r="A51" s="1005"/>
      <c r="B51" s="1006"/>
      <c r="C51" s="1006"/>
      <c r="D51" s="1007" t="s">
        <v>1112</v>
      </c>
      <c r="E51" s="1006"/>
      <c r="F51" s="1008">
        <v>678.56</v>
      </c>
      <c r="G51" s="1009"/>
      <c r="H51" s="1010"/>
      <c r="I51" s="1011"/>
      <c r="J51" s="1012"/>
      <c r="K51" s="1013"/>
      <c r="L51" s="1009"/>
      <c r="M51" s="1009"/>
      <c r="N51" s="1009"/>
    </row>
    <row r="52" spans="1:14" ht="22.5" outlineLevel="2" x14ac:dyDescent="0.2">
      <c r="A52" s="994">
        <v>3</v>
      </c>
      <c r="B52" s="995" t="s">
        <v>440</v>
      </c>
      <c r="C52" s="996" t="s">
        <v>1113</v>
      </c>
      <c r="D52" s="997" t="s">
        <v>1114</v>
      </c>
      <c r="E52" s="995" t="s">
        <v>320</v>
      </c>
      <c r="F52" s="998">
        <v>1.05525</v>
      </c>
      <c r="G52" s="999">
        <v>0</v>
      </c>
      <c r="H52" s="1000">
        <f>F52*(1+G52/100)</f>
        <v>1.05525</v>
      </c>
      <c r="I52" s="1035"/>
      <c r="J52" s="1001">
        <f>H52*I52</f>
        <v>0</v>
      </c>
      <c r="K52" s="1002"/>
      <c r="L52" s="1003">
        <f>H52*K52</f>
        <v>0</v>
      </c>
      <c r="M52" s="1002">
        <v>2.2000000000000002</v>
      </c>
      <c r="N52" s="1003">
        <f>H52*M52</f>
        <v>2.3215500000000002</v>
      </c>
    </row>
    <row r="53" spans="1:14" s="1014" customFormat="1" outlineLevel="3" x14ac:dyDescent="0.2">
      <c r="A53" s="1005"/>
      <c r="B53" s="1006"/>
      <c r="C53" s="1006"/>
      <c r="D53" s="1007" t="s">
        <v>1115</v>
      </c>
      <c r="E53" s="1006"/>
      <c r="F53" s="1008">
        <v>1.05525</v>
      </c>
      <c r="G53" s="1009"/>
      <c r="H53" s="1010"/>
      <c r="I53" s="1011"/>
      <c r="J53" s="1012"/>
      <c r="K53" s="1013"/>
      <c r="L53" s="1009"/>
      <c r="M53" s="1009"/>
      <c r="N53" s="1009"/>
    </row>
    <row r="54" spans="1:14" ht="22.5" outlineLevel="2" x14ac:dyDescent="0.2">
      <c r="A54" s="994">
        <v>4</v>
      </c>
      <c r="B54" s="995" t="s">
        <v>440</v>
      </c>
      <c r="C54" s="996" t="s">
        <v>1116</v>
      </c>
      <c r="D54" s="997" t="s">
        <v>1117</v>
      </c>
      <c r="E54" s="995" t="s">
        <v>441</v>
      </c>
      <c r="F54" s="998">
        <v>38.292499999999997</v>
      </c>
      <c r="G54" s="999"/>
      <c r="H54" s="1000">
        <f>F54*(1+G54/100)</f>
        <v>38.292499999999997</v>
      </c>
      <c r="I54" s="1035"/>
      <c r="J54" s="1001">
        <f>H54*I54</f>
        <v>0</v>
      </c>
      <c r="K54" s="1002"/>
      <c r="L54" s="1003">
        <f>H54*K54</f>
        <v>0</v>
      </c>
      <c r="M54" s="1002">
        <v>1.4999999999999999E-2</v>
      </c>
      <c r="N54" s="1003">
        <f>H54*M54</f>
        <v>0.57438749999999994</v>
      </c>
    </row>
    <row r="55" spans="1:14" s="1014" customFormat="1" ht="22.5" outlineLevel="3" x14ac:dyDescent="0.2">
      <c r="A55" s="1005"/>
      <c r="B55" s="1006"/>
      <c r="C55" s="1006"/>
      <c r="D55" s="1007" t="s">
        <v>1118</v>
      </c>
      <c r="E55" s="1006"/>
      <c r="F55" s="1008">
        <v>38.292499999999997</v>
      </c>
      <c r="G55" s="1009"/>
      <c r="H55" s="1010"/>
      <c r="I55" s="1011"/>
      <c r="J55" s="1012"/>
      <c r="K55" s="1013"/>
      <c r="L55" s="1009"/>
      <c r="M55" s="1009"/>
      <c r="N55" s="1009"/>
    </row>
    <row r="56" spans="1:14" ht="22.5" outlineLevel="2" x14ac:dyDescent="0.2">
      <c r="A56" s="994">
        <v>5</v>
      </c>
      <c r="B56" s="995" t="s">
        <v>440</v>
      </c>
      <c r="C56" s="996" t="s">
        <v>1119</v>
      </c>
      <c r="D56" s="997" t="s">
        <v>1120</v>
      </c>
      <c r="E56" s="995" t="s">
        <v>320</v>
      </c>
      <c r="F56" s="998">
        <v>0.70599999999999996</v>
      </c>
      <c r="G56" s="999"/>
      <c r="H56" s="1000">
        <f>F56*(1+G56/100)</f>
        <v>0.70599999999999996</v>
      </c>
      <c r="I56" s="1035"/>
      <c r="J56" s="1001">
        <f>H56*I56</f>
        <v>0</v>
      </c>
      <c r="K56" s="1002"/>
      <c r="L56" s="1003">
        <f>H56*K56</f>
        <v>0</v>
      </c>
      <c r="M56" s="1002">
        <v>1.8</v>
      </c>
      <c r="N56" s="1003">
        <f>H56*M56</f>
        <v>1.2707999999999999</v>
      </c>
    </row>
    <row r="57" spans="1:14" s="1014" customFormat="1" ht="22.5" outlineLevel="3" x14ac:dyDescent="0.2">
      <c r="A57" s="1005"/>
      <c r="B57" s="1006"/>
      <c r="C57" s="1006"/>
      <c r="D57" s="1007" t="s">
        <v>1121</v>
      </c>
      <c r="E57" s="1006"/>
      <c r="F57" s="1008">
        <v>0.70599999999999996</v>
      </c>
      <c r="G57" s="1009"/>
      <c r="H57" s="1010"/>
      <c r="I57" s="1011"/>
      <c r="J57" s="1012"/>
      <c r="K57" s="1013"/>
      <c r="L57" s="1009"/>
      <c r="M57" s="1009"/>
      <c r="N57" s="1009"/>
    </row>
    <row r="58" spans="1:14" outlineLevel="2" x14ac:dyDescent="0.2">
      <c r="A58" s="994">
        <v>6</v>
      </c>
      <c r="B58" s="995" t="s">
        <v>440</v>
      </c>
      <c r="C58" s="996" t="s">
        <v>835</v>
      </c>
      <c r="D58" s="997" t="s">
        <v>836</v>
      </c>
      <c r="E58" s="995" t="s">
        <v>441</v>
      </c>
      <c r="F58" s="998">
        <v>20.400000000000002</v>
      </c>
      <c r="G58" s="999"/>
      <c r="H58" s="1000">
        <f>F58*(1+G58/100)</f>
        <v>20.400000000000002</v>
      </c>
      <c r="I58" s="1035"/>
      <c r="J58" s="1001">
        <f>H58*I58</f>
        <v>0</v>
      </c>
      <c r="K58" s="1002"/>
      <c r="L58" s="1003">
        <f>H58*K58</f>
        <v>0</v>
      </c>
      <c r="M58" s="1002">
        <v>7.5999999999999998E-2</v>
      </c>
      <c r="N58" s="1003">
        <f>H58*M58</f>
        <v>1.5504000000000002</v>
      </c>
    </row>
    <row r="59" spans="1:14" s="1014" customFormat="1" outlineLevel="3" x14ac:dyDescent="0.2">
      <c r="A59" s="1005"/>
      <c r="B59" s="1006"/>
      <c r="C59" s="1006"/>
      <c r="D59" s="1007" t="s">
        <v>1122</v>
      </c>
      <c r="E59" s="1006"/>
      <c r="F59" s="1008">
        <v>20.400000000000002</v>
      </c>
      <c r="G59" s="1009"/>
      <c r="H59" s="1010"/>
      <c r="I59" s="1011"/>
      <c r="J59" s="1012"/>
      <c r="K59" s="1013"/>
      <c r="L59" s="1009"/>
      <c r="M59" s="1009"/>
      <c r="N59" s="1009"/>
    </row>
    <row r="60" spans="1:14" outlineLevel="2" x14ac:dyDescent="0.2">
      <c r="A60" s="994">
        <v>7</v>
      </c>
      <c r="B60" s="995" t="s">
        <v>440</v>
      </c>
      <c r="C60" s="996" t="s">
        <v>837</v>
      </c>
      <c r="D60" s="997" t="s">
        <v>838</v>
      </c>
      <c r="E60" s="995" t="s">
        <v>441</v>
      </c>
      <c r="F60" s="998">
        <v>10.199999999999999</v>
      </c>
      <c r="G60" s="999"/>
      <c r="H60" s="1000">
        <f>F60*(1+G60/100)</f>
        <v>10.199999999999999</v>
      </c>
      <c r="I60" s="1035"/>
      <c r="J60" s="1001">
        <f>H60*I60</f>
        <v>0</v>
      </c>
      <c r="K60" s="1002"/>
      <c r="L60" s="1003">
        <f>H60*K60</f>
        <v>0</v>
      </c>
      <c r="M60" s="1002">
        <v>6.3E-2</v>
      </c>
      <c r="N60" s="1003">
        <f>H60*M60</f>
        <v>0.64259999999999995</v>
      </c>
    </row>
    <row r="61" spans="1:14" s="1014" customFormat="1" outlineLevel="3" x14ac:dyDescent="0.2">
      <c r="A61" s="1005"/>
      <c r="B61" s="1006"/>
      <c r="C61" s="1006"/>
      <c r="D61" s="1007" t="s">
        <v>1123</v>
      </c>
      <c r="E61" s="1006"/>
      <c r="F61" s="1008">
        <v>10.199999999999999</v>
      </c>
      <c r="G61" s="1009"/>
      <c r="H61" s="1010"/>
      <c r="I61" s="1011"/>
      <c r="J61" s="1012"/>
      <c r="K61" s="1013"/>
      <c r="L61" s="1009"/>
      <c r="M61" s="1009"/>
      <c r="N61" s="1009"/>
    </row>
    <row r="62" spans="1:14" outlineLevel="2" x14ac:dyDescent="0.2">
      <c r="A62" s="994">
        <v>8</v>
      </c>
      <c r="B62" s="995" t="s">
        <v>440</v>
      </c>
      <c r="C62" s="996" t="s">
        <v>1124</v>
      </c>
      <c r="D62" s="997" t="s">
        <v>1125</v>
      </c>
      <c r="E62" s="995" t="s">
        <v>441</v>
      </c>
      <c r="F62" s="998">
        <v>10</v>
      </c>
      <c r="G62" s="999">
        <v>0</v>
      </c>
      <c r="H62" s="1000">
        <f>F62*(1+G62/100)</f>
        <v>10</v>
      </c>
      <c r="I62" s="1035"/>
      <c r="J62" s="1001">
        <f>H62*I62</f>
        <v>0</v>
      </c>
      <c r="K62" s="1002"/>
      <c r="L62" s="1003">
        <f>H62*K62</f>
        <v>0</v>
      </c>
      <c r="M62" s="1002">
        <v>8.3000000000000004E-2</v>
      </c>
      <c r="N62" s="1003">
        <f>H62*M62</f>
        <v>0.83000000000000007</v>
      </c>
    </row>
    <row r="63" spans="1:14" s="1014" customFormat="1" outlineLevel="3" x14ac:dyDescent="0.2">
      <c r="A63" s="1005"/>
      <c r="B63" s="1006"/>
      <c r="C63" s="1006"/>
      <c r="D63" s="1007" t="s">
        <v>1126</v>
      </c>
      <c r="E63" s="1006"/>
      <c r="F63" s="1008">
        <v>10</v>
      </c>
      <c r="G63" s="1009"/>
      <c r="H63" s="1010"/>
      <c r="I63" s="1011"/>
      <c r="J63" s="1012"/>
      <c r="K63" s="1013"/>
      <c r="L63" s="1009"/>
      <c r="M63" s="1009"/>
      <c r="N63" s="1009"/>
    </row>
    <row r="64" spans="1:14" ht="22.5" outlineLevel="2" x14ac:dyDescent="0.2">
      <c r="A64" s="994">
        <v>9</v>
      </c>
      <c r="B64" s="995" t="s">
        <v>440</v>
      </c>
      <c r="C64" s="996" t="s">
        <v>839</v>
      </c>
      <c r="D64" s="997" t="s">
        <v>840</v>
      </c>
      <c r="E64" s="995" t="s">
        <v>444</v>
      </c>
      <c r="F64" s="998">
        <v>2</v>
      </c>
      <c r="G64" s="999">
        <v>0</v>
      </c>
      <c r="H64" s="1000">
        <f>F64*(1+G64/100)</f>
        <v>2</v>
      </c>
      <c r="I64" s="1035"/>
      <c r="J64" s="1001">
        <f>H64*I64</f>
        <v>0</v>
      </c>
      <c r="K64" s="1002"/>
      <c r="L64" s="1003">
        <f>H64*K64</f>
        <v>0</v>
      </c>
      <c r="M64" s="1002">
        <v>5.8999999999999997E-2</v>
      </c>
      <c r="N64" s="1003">
        <f>H64*M64</f>
        <v>0.11799999999999999</v>
      </c>
    </row>
    <row r="65" spans="1:14" s="1014" customFormat="1" outlineLevel="3" x14ac:dyDescent="0.2">
      <c r="A65" s="1005"/>
      <c r="B65" s="1006"/>
      <c r="C65" s="1006"/>
      <c r="D65" s="1007" t="s">
        <v>1127</v>
      </c>
      <c r="E65" s="1006"/>
      <c r="F65" s="1008">
        <v>2</v>
      </c>
      <c r="G65" s="1009"/>
      <c r="H65" s="1010"/>
      <c r="I65" s="1011"/>
      <c r="J65" s="1012"/>
      <c r="K65" s="1013"/>
      <c r="L65" s="1009"/>
      <c r="M65" s="1009"/>
      <c r="N65" s="1009"/>
    </row>
    <row r="66" spans="1:14" outlineLevel="2" x14ac:dyDescent="0.2">
      <c r="A66" s="994">
        <v>10</v>
      </c>
      <c r="B66" s="995" t="s">
        <v>440</v>
      </c>
      <c r="C66" s="996" t="s">
        <v>1128</v>
      </c>
      <c r="D66" s="997" t="s">
        <v>1129</v>
      </c>
      <c r="E66" s="995" t="s">
        <v>435</v>
      </c>
      <c r="F66" s="998">
        <v>0.15</v>
      </c>
      <c r="G66" s="999"/>
      <c r="H66" s="1000">
        <f>F66*(1+G66/100)</f>
        <v>0.15</v>
      </c>
      <c r="I66" s="1035"/>
      <c r="J66" s="1001">
        <f>H66*I66</f>
        <v>0</v>
      </c>
      <c r="K66" s="1002">
        <v>1.08E-3</v>
      </c>
      <c r="L66" s="1003">
        <f>H66*K66</f>
        <v>1.6200000000000001E-4</v>
      </c>
      <c r="M66" s="1002">
        <v>5.2999999999999999E-2</v>
      </c>
      <c r="N66" s="1003">
        <f>H66*M66</f>
        <v>7.9499999999999987E-3</v>
      </c>
    </row>
    <row r="67" spans="1:14" s="1014" customFormat="1" outlineLevel="3" x14ac:dyDescent="0.2">
      <c r="A67" s="1005"/>
      <c r="B67" s="1006"/>
      <c r="C67" s="1006"/>
      <c r="D67" s="1007" t="s">
        <v>1130</v>
      </c>
      <c r="E67" s="1006"/>
      <c r="F67" s="1008">
        <v>0.15</v>
      </c>
      <c r="G67" s="1009"/>
      <c r="H67" s="1010"/>
      <c r="I67" s="1011"/>
      <c r="J67" s="1012"/>
      <c r="K67" s="1013"/>
      <c r="L67" s="1009"/>
      <c r="M67" s="1009"/>
      <c r="N67" s="1009"/>
    </row>
    <row r="68" spans="1:14" outlineLevel="2" x14ac:dyDescent="0.2">
      <c r="A68" s="994">
        <v>11</v>
      </c>
      <c r="B68" s="995" t="s">
        <v>440</v>
      </c>
      <c r="C68" s="996" t="s">
        <v>1131</v>
      </c>
      <c r="D68" s="997" t="s">
        <v>1132</v>
      </c>
      <c r="E68" s="995" t="s">
        <v>435</v>
      </c>
      <c r="F68" s="998">
        <v>0.1</v>
      </c>
      <c r="G68" s="999"/>
      <c r="H68" s="1000">
        <f>F68*(1+G68/100)</f>
        <v>0.1</v>
      </c>
      <c r="I68" s="1035"/>
      <c r="J68" s="1001">
        <f>H68*I68</f>
        <v>0</v>
      </c>
      <c r="K68" s="1002">
        <v>1.2199999999999999E-3</v>
      </c>
      <c r="L68" s="1003">
        <f>H68*K68</f>
        <v>1.22E-4</v>
      </c>
      <c r="M68" s="1002">
        <v>7.0000000000000007E-2</v>
      </c>
      <c r="N68" s="1003">
        <f>H68*M68</f>
        <v>7.000000000000001E-3</v>
      </c>
    </row>
    <row r="69" spans="1:14" s="1014" customFormat="1" outlineLevel="3" x14ac:dyDescent="0.2">
      <c r="A69" s="1005"/>
      <c r="B69" s="1006"/>
      <c r="C69" s="1006"/>
      <c r="D69" s="1007" t="s">
        <v>1133</v>
      </c>
      <c r="E69" s="1006"/>
      <c r="F69" s="1008">
        <v>0.1</v>
      </c>
      <c r="G69" s="1009"/>
      <c r="H69" s="1010"/>
      <c r="I69" s="1011"/>
      <c r="J69" s="1012"/>
      <c r="K69" s="1013"/>
      <c r="L69" s="1009"/>
      <c r="M69" s="1009"/>
      <c r="N69" s="1009"/>
    </row>
    <row r="70" spans="1:14" outlineLevel="2" x14ac:dyDescent="0.2">
      <c r="A70" s="994">
        <v>12</v>
      </c>
      <c r="B70" s="995" t="s">
        <v>440</v>
      </c>
      <c r="C70" s="996" t="s">
        <v>1134</v>
      </c>
      <c r="D70" s="997" t="s">
        <v>1135</v>
      </c>
      <c r="E70" s="995" t="s">
        <v>435</v>
      </c>
      <c r="F70" s="998">
        <v>0.1</v>
      </c>
      <c r="G70" s="999"/>
      <c r="H70" s="1000">
        <f>F70*(1+G70/100)</f>
        <v>0.1</v>
      </c>
      <c r="I70" s="1035"/>
      <c r="J70" s="1001">
        <f>H70*I70</f>
        <v>0</v>
      </c>
      <c r="K70" s="1002">
        <v>2.82E-3</v>
      </c>
      <c r="L70" s="1003">
        <f>H70*K70</f>
        <v>2.8200000000000002E-4</v>
      </c>
      <c r="M70" s="1002">
        <v>0.10100000000000001</v>
      </c>
      <c r="N70" s="1003">
        <f>H70*M70</f>
        <v>1.0100000000000001E-2</v>
      </c>
    </row>
    <row r="71" spans="1:14" s="1014" customFormat="1" outlineLevel="3" x14ac:dyDescent="0.2">
      <c r="A71" s="1005"/>
      <c r="B71" s="1006"/>
      <c r="C71" s="1006"/>
      <c r="D71" s="1007" t="s">
        <v>1136</v>
      </c>
      <c r="E71" s="1006"/>
      <c r="F71" s="1008">
        <v>0.1</v>
      </c>
      <c r="G71" s="1009"/>
      <c r="H71" s="1010"/>
      <c r="I71" s="1011"/>
      <c r="J71" s="1012"/>
      <c r="K71" s="1013"/>
      <c r="L71" s="1009"/>
      <c r="M71" s="1009"/>
      <c r="N71" s="1009"/>
    </row>
    <row r="72" spans="1:14" outlineLevel="2" x14ac:dyDescent="0.2">
      <c r="A72" s="994">
        <v>13</v>
      </c>
      <c r="B72" s="995" t="s">
        <v>440</v>
      </c>
      <c r="C72" s="996" t="s">
        <v>1137</v>
      </c>
      <c r="D72" s="997" t="s">
        <v>1138</v>
      </c>
      <c r="E72" s="995" t="s">
        <v>435</v>
      </c>
      <c r="F72" s="998">
        <v>1.1499999999999999</v>
      </c>
      <c r="G72" s="999"/>
      <c r="H72" s="1000">
        <f>F72*(1+G72/100)</f>
        <v>1.1499999999999999</v>
      </c>
      <c r="I72" s="1035"/>
      <c r="J72" s="1001">
        <f>H72*I72</f>
        <v>0</v>
      </c>
      <c r="K72" s="1002">
        <v>3.0899999999999999E-3</v>
      </c>
      <c r="L72" s="1003">
        <f>H72*K72</f>
        <v>3.5534999999999994E-3</v>
      </c>
      <c r="M72" s="1002">
        <v>0.126</v>
      </c>
      <c r="N72" s="1003">
        <f>H72*M72</f>
        <v>0.1449</v>
      </c>
    </row>
    <row r="73" spans="1:14" s="1014" customFormat="1" outlineLevel="3" x14ac:dyDescent="0.2">
      <c r="A73" s="1005"/>
      <c r="B73" s="1006"/>
      <c r="C73" s="1006"/>
      <c r="D73" s="1007" t="s">
        <v>1139</v>
      </c>
      <c r="E73" s="1006"/>
      <c r="F73" s="1008">
        <v>0.3</v>
      </c>
      <c r="G73" s="1009"/>
      <c r="H73" s="1010"/>
      <c r="I73" s="1011"/>
      <c r="J73" s="1012"/>
      <c r="K73" s="1013"/>
      <c r="L73" s="1009"/>
      <c r="M73" s="1009"/>
      <c r="N73" s="1009"/>
    </row>
    <row r="74" spans="1:14" s="1014" customFormat="1" outlineLevel="3" x14ac:dyDescent="0.2">
      <c r="A74" s="1005"/>
      <c r="B74" s="1006"/>
      <c r="C74" s="1006"/>
      <c r="D74" s="1007" t="s">
        <v>1140</v>
      </c>
      <c r="E74" s="1006"/>
      <c r="F74" s="1008">
        <v>0.15</v>
      </c>
      <c r="G74" s="1009"/>
      <c r="H74" s="1010"/>
      <c r="I74" s="1011"/>
      <c r="J74" s="1012"/>
      <c r="K74" s="1013"/>
      <c r="L74" s="1009"/>
      <c r="M74" s="1009"/>
      <c r="N74" s="1009"/>
    </row>
    <row r="75" spans="1:14" s="1014" customFormat="1" ht="22.5" outlineLevel="3" x14ac:dyDescent="0.2">
      <c r="A75" s="1005"/>
      <c r="B75" s="1006"/>
      <c r="C75" s="1006"/>
      <c r="D75" s="1007" t="s">
        <v>1141</v>
      </c>
      <c r="E75" s="1006"/>
      <c r="F75" s="1008">
        <v>0.7</v>
      </c>
      <c r="G75" s="1009"/>
      <c r="H75" s="1010"/>
      <c r="I75" s="1011"/>
      <c r="J75" s="1012"/>
      <c r="K75" s="1013"/>
      <c r="L75" s="1009"/>
      <c r="M75" s="1009"/>
      <c r="N75" s="1009"/>
    </row>
    <row r="76" spans="1:14" outlineLevel="2" x14ac:dyDescent="0.2">
      <c r="A76" s="994">
        <v>14</v>
      </c>
      <c r="B76" s="995" t="s">
        <v>440</v>
      </c>
      <c r="C76" s="996" t="s">
        <v>1142</v>
      </c>
      <c r="D76" s="997" t="s">
        <v>1143</v>
      </c>
      <c r="E76" s="995" t="s">
        <v>435</v>
      </c>
      <c r="F76" s="998">
        <v>1.4</v>
      </c>
      <c r="G76" s="999"/>
      <c r="H76" s="1000">
        <f>F76*(1+G76/100)</f>
        <v>1.4</v>
      </c>
      <c r="I76" s="1035"/>
      <c r="J76" s="1001">
        <f>H76*I76</f>
        <v>0</v>
      </c>
      <c r="K76" s="1002">
        <v>3.63E-3</v>
      </c>
      <c r="L76" s="1003">
        <f>H76*K76</f>
        <v>5.0819999999999997E-3</v>
      </c>
      <c r="M76" s="1002">
        <v>0.19600000000000001</v>
      </c>
      <c r="N76" s="1003">
        <f>H76*M76</f>
        <v>0.27439999999999998</v>
      </c>
    </row>
    <row r="77" spans="1:14" s="1014" customFormat="1" ht="22.5" outlineLevel="3" x14ac:dyDescent="0.2">
      <c r="A77" s="1005"/>
      <c r="B77" s="1006"/>
      <c r="C77" s="1006"/>
      <c r="D77" s="1007" t="s">
        <v>1144</v>
      </c>
      <c r="E77" s="1006"/>
      <c r="F77" s="1008">
        <v>1.4</v>
      </c>
      <c r="G77" s="1009"/>
      <c r="H77" s="1010"/>
      <c r="I77" s="1011"/>
      <c r="J77" s="1012"/>
      <c r="K77" s="1013"/>
      <c r="L77" s="1009"/>
      <c r="M77" s="1009"/>
      <c r="N77" s="1009"/>
    </row>
    <row r="78" spans="1:14" outlineLevel="2" x14ac:dyDescent="0.2">
      <c r="A78" s="994">
        <v>15</v>
      </c>
      <c r="B78" s="995" t="s">
        <v>440</v>
      </c>
      <c r="C78" s="996" t="s">
        <v>1145</v>
      </c>
      <c r="D78" s="997" t="s">
        <v>1146</v>
      </c>
      <c r="E78" s="995" t="s">
        <v>435</v>
      </c>
      <c r="F78" s="998">
        <v>0.7</v>
      </c>
      <c r="G78" s="999"/>
      <c r="H78" s="1000">
        <f>F78*(1+G78/100)</f>
        <v>0.7</v>
      </c>
      <c r="I78" s="1035"/>
      <c r="J78" s="1001">
        <f>H78*I78</f>
        <v>0</v>
      </c>
      <c r="K78" s="1002">
        <v>4.1700000000000001E-3</v>
      </c>
      <c r="L78" s="1003">
        <f>H78*K78</f>
        <v>2.9189999999999997E-3</v>
      </c>
      <c r="M78" s="1002">
        <v>0.28299999999999997</v>
      </c>
      <c r="N78" s="1003">
        <f>H78*M78</f>
        <v>0.19809999999999997</v>
      </c>
    </row>
    <row r="79" spans="1:14" s="1014" customFormat="1" outlineLevel="3" x14ac:dyDescent="0.2">
      <c r="A79" s="1005"/>
      <c r="B79" s="1006"/>
      <c r="C79" s="1006"/>
      <c r="D79" s="1007" t="s">
        <v>1147</v>
      </c>
      <c r="E79" s="1006"/>
      <c r="F79" s="1008">
        <v>0.7</v>
      </c>
      <c r="G79" s="1009"/>
      <c r="H79" s="1010"/>
      <c r="I79" s="1011"/>
      <c r="J79" s="1012"/>
      <c r="K79" s="1013"/>
      <c r="L79" s="1009"/>
      <c r="M79" s="1009"/>
      <c r="N79" s="1009"/>
    </row>
    <row r="80" spans="1:14" outlineLevel="2" x14ac:dyDescent="0.2">
      <c r="A80" s="994">
        <v>16</v>
      </c>
      <c r="B80" s="995" t="s">
        <v>440</v>
      </c>
      <c r="C80" s="996" t="s">
        <v>841</v>
      </c>
      <c r="D80" s="997" t="s">
        <v>1148</v>
      </c>
      <c r="E80" s="995" t="s">
        <v>441</v>
      </c>
      <c r="F80" s="998">
        <v>249.86</v>
      </c>
      <c r="G80" s="999"/>
      <c r="H80" s="1000">
        <f>F80*(1+G80/100)</f>
        <v>249.86</v>
      </c>
      <c r="I80" s="1035"/>
      <c r="J80" s="1001">
        <f>H80*I80</f>
        <v>0</v>
      </c>
      <c r="K80" s="1002"/>
      <c r="L80" s="1003">
        <f>H80*K80</f>
        <v>0</v>
      </c>
      <c r="M80" s="1002">
        <v>6.8000000000000005E-2</v>
      </c>
      <c r="N80" s="1003">
        <f>H80*M80</f>
        <v>16.990480000000002</v>
      </c>
    </row>
    <row r="81" spans="1:14" s="1014" customFormat="1" outlineLevel="3" x14ac:dyDescent="0.2">
      <c r="A81" s="1005"/>
      <c r="B81" s="1006"/>
      <c r="C81" s="1006"/>
      <c r="D81" s="1007" t="s">
        <v>1149</v>
      </c>
      <c r="E81" s="1006"/>
      <c r="F81" s="1008">
        <v>249.86</v>
      </c>
      <c r="G81" s="1009"/>
      <c r="H81" s="1010"/>
      <c r="I81" s="1011"/>
      <c r="J81" s="1012"/>
      <c r="K81" s="1013"/>
      <c r="L81" s="1009"/>
      <c r="M81" s="1009"/>
      <c r="N81" s="1009"/>
    </row>
    <row r="82" spans="1:14" s="1024" customFormat="1" ht="12.75" customHeight="1" outlineLevel="2" x14ac:dyDescent="0.2">
      <c r="A82" s="1015"/>
      <c r="B82" s="1016"/>
      <c r="C82" s="1016"/>
      <c r="D82" s="1017"/>
      <c r="E82" s="1016"/>
      <c r="F82" s="1018"/>
      <c r="G82" s="1019"/>
      <c r="H82" s="1020"/>
      <c r="I82" s="1021"/>
      <c r="J82" s="1022"/>
      <c r="K82" s="1023"/>
      <c r="L82" s="1019"/>
      <c r="M82" s="1019"/>
      <c r="N82" s="1019"/>
    </row>
    <row r="83" spans="1:14" s="993" customFormat="1" ht="16.5" customHeight="1" outlineLevel="1" x14ac:dyDescent="0.2">
      <c r="A83" s="983"/>
      <c r="B83" s="984"/>
      <c r="C83" s="985"/>
      <c r="D83" s="985" t="s">
        <v>46</v>
      </c>
      <c r="E83" s="984"/>
      <c r="F83" s="986"/>
      <c r="G83" s="987"/>
      <c r="H83" s="988"/>
      <c r="I83" s="989"/>
      <c r="J83" s="990">
        <f>SUBTOTAL(9,J84:J90)</f>
        <v>0</v>
      </c>
      <c r="K83" s="991"/>
      <c r="L83" s="992">
        <f>SUBTOTAL(9,L84:L90)</f>
        <v>0</v>
      </c>
      <c r="M83" s="987"/>
      <c r="N83" s="992">
        <f>SUBTOTAL(9,N84:N90)</f>
        <v>0</v>
      </c>
    </row>
    <row r="84" spans="1:14" ht="22.5" outlineLevel="2" x14ac:dyDescent="0.2">
      <c r="A84" s="994">
        <v>1</v>
      </c>
      <c r="B84" s="995" t="s">
        <v>440</v>
      </c>
      <c r="C84" s="996" t="s">
        <v>1150</v>
      </c>
      <c r="D84" s="997" t="s">
        <v>1151</v>
      </c>
      <c r="E84" s="995" t="s">
        <v>436</v>
      </c>
      <c r="F84" s="998">
        <v>28.705528524999998</v>
      </c>
      <c r="G84" s="999"/>
      <c r="H84" s="1000">
        <f>F84*(1+G84/100)</f>
        <v>28.705528524999998</v>
      </c>
      <c r="I84" s="1035"/>
      <c r="J84" s="1001">
        <f>H84*I84</f>
        <v>0</v>
      </c>
      <c r="K84" s="1002"/>
      <c r="L84" s="1003">
        <f>H84*K84</f>
        <v>0</v>
      </c>
      <c r="M84" s="1002"/>
      <c r="N84" s="1003">
        <f>H84*M84</f>
        <v>0</v>
      </c>
    </row>
    <row r="85" spans="1:14" ht="22.5" outlineLevel="2" x14ac:dyDescent="0.2">
      <c r="A85" s="994">
        <v>2</v>
      </c>
      <c r="B85" s="995" t="s">
        <v>440</v>
      </c>
      <c r="C85" s="996" t="s">
        <v>1152</v>
      </c>
      <c r="D85" s="997" t="s">
        <v>1153</v>
      </c>
      <c r="E85" s="995" t="s">
        <v>436</v>
      </c>
      <c r="F85" s="998">
        <v>28.705528524999998</v>
      </c>
      <c r="G85" s="999"/>
      <c r="H85" s="1000">
        <f>F85*(1+G85/100)</f>
        <v>28.705528524999998</v>
      </c>
      <c r="I85" s="1035"/>
      <c r="J85" s="1001">
        <f>H85*I85</f>
        <v>0</v>
      </c>
      <c r="K85" s="1002"/>
      <c r="L85" s="1003">
        <f>H85*K85</f>
        <v>0</v>
      </c>
      <c r="M85" s="1002"/>
      <c r="N85" s="1003">
        <f>H85*M85</f>
        <v>0</v>
      </c>
    </row>
    <row r="86" spans="1:14" outlineLevel="2" x14ac:dyDescent="0.2">
      <c r="A86" s="994">
        <v>3</v>
      </c>
      <c r="B86" s="995" t="s">
        <v>440</v>
      </c>
      <c r="C86" s="996" t="s">
        <v>1154</v>
      </c>
      <c r="D86" s="997" t="s">
        <v>1155</v>
      </c>
      <c r="E86" s="995" t="s">
        <v>436</v>
      </c>
      <c r="F86" s="998">
        <v>229.648</v>
      </c>
      <c r="G86" s="999"/>
      <c r="H86" s="1000">
        <f>F86*(1+G86/100)</f>
        <v>229.648</v>
      </c>
      <c r="I86" s="1035"/>
      <c r="J86" s="1001">
        <f>H86*I86</f>
        <v>0</v>
      </c>
      <c r="K86" s="1002"/>
      <c r="L86" s="1003">
        <f>H86*K86</f>
        <v>0</v>
      </c>
      <c r="M86" s="1002"/>
      <c r="N86" s="1003">
        <f>H86*M86</f>
        <v>0</v>
      </c>
    </row>
    <row r="87" spans="1:14" s="1014" customFormat="1" ht="22.5" outlineLevel="3" x14ac:dyDescent="0.2">
      <c r="A87" s="1005"/>
      <c r="B87" s="1006"/>
      <c r="C87" s="1006"/>
      <c r="D87" s="1007" t="s">
        <v>1156</v>
      </c>
      <c r="E87" s="1006"/>
      <c r="F87" s="1008">
        <v>229.648</v>
      </c>
      <c r="G87" s="1009"/>
      <c r="H87" s="1010"/>
      <c r="I87" s="1011"/>
      <c r="J87" s="1012"/>
      <c r="K87" s="1013"/>
      <c r="L87" s="1009"/>
      <c r="M87" s="1009"/>
      <c r="N87" s="1009"/>
    </row>
    <row r="88" spans="1:14" outlineLevel="2" x14ac:dyDescent="0.2">
      <c r="A88" s="994">
        <v>4</v>
      </c>
      <c r="B88" s="995" t="s">
        <v>440</v>
      </c>
      <c r="C88" s="996" t="s">
        <v>1157</v>
      </c>
      <c r="D88" s="997" t="s">
        <v>842</v>
      </c>
      <c r="E88" s="995" t="s">
        <v>436</v>
      </c>
      <c r="F88" s="998">
        <v>28.705528524999998</v>
      </c>
      <c r="G88" s="999"/>
      <c r="H88" s="1000">
        <f>F88*(1+G88/100)</f>
        <v>28.705528524999998</v>
      </c>
      <c r="I88" s="1035"/>
      <c r="J88" s="1001">
        <f>H88*I88</f>
        <v>0</v>
      </c>
      <c r="K88" s="1002"/>
      <c r="L88" s="1003">
        <f>H88*K88</f>
        <v>0</v>
      </c>
      <c r="M88" s="1002"/>
      <c r="N88" s="1003">
        <f>H88*M88</f>
        <v>0</v>
      </c>
    </row>
    <row r="89" spans="1:14" outlineLevel="2" x14ac:dyDescent="0.2">
      <c r="A89" s="994">
        <v>5</v>
      </c>
      <c r="B89" s="995" t="s">
        <v>440</v>
      </c>
      <c r="C89" s="996" t="s">
        <v>1158</v>
      </c>
      <c r="D89" s="997" t="s">
        <v>1159</v>
      </c>
      <c r="E89" s="995" t="s">
        <v>436</v>
      </c>
      <c r="F89" s="998">
        <v>9.4118105000000032</v>
      </c>
      <c r="G89" s="999"/>
      <c r="H89" s="1000">
        <f>F89*(1+G89/100)</f>
        <v>9.4118105000000032</v>
      </c>
      <c r="I89" s="1035"/>
      <c r="J89" s="1001">
        <f>H89*I89</f>
        <v>0</v>
      </c>
      <c r="K89" s="1002"/>
      <c r="L89" s="1003">
        <f>H89*K89</f>
        <v>0</v>
      </c>
      <c r="M89" s="1002"/>
      <c r="N89" s="1003">
        <f>H89*M89</f>
        <v>0</v>
      </c>
    </row>
    <row r="90" spans="1:14" s="1024" customFormat="1" ht="12.75" customHeight="1" outlineLevel="2" x14ac:dyDescent="0.2">
      <c r="A90" s="1015"/>
      <c r="B90" s="1016"/>
      <c r="C90" s="1016"/>
      <c r="D90" s="1017"/>
      <c r="E90" s="1016"/>
      <c r="F90" s="1018"/>
      <c r="G90" s="1019"/>
      <c r="H90" s="1020"/>
      <c r="I90" s="1021"/>
      <c r="J90" s="1022"/>
      <c r="K90" s="1023"/>
      <c r="L90" s="1019"/>
      <c r="M90" s="1019"/>
      <c r="N90" s="1019"/>
    </row>
    <row r="91" spans="1:14" s="993" customFormat="1" ht="16.5" customHeight="1" outlineLevel="1" x14ac:dyDescent="0.2">
      <c r="A91" s="983"/>
      <c r="B91" s="984"/>
      <c r="C91" s="985"/>
      <c r="D91" s="985" t="s">
        <v>352</v>
      </c>
      <c r="E91" s="984"/>
      <c r="F91" s="986"/>
      <c r="G91" s="987"/>
      <c r="H91" s="988"/>
      <c r="I91" s="989"/>
      <c r="J91" s="990">
        <f>SUBTOTAL(9,J92:J97)</f>
        <v>0</v>
      </c>
      <c r="K91" s="991"/>
      <c r="L91" s="992"/>
      <c r="M91" s="987"/>
      <c r="N91" s="992">
        <f>SUBTOTAL(9,N92:N97)</f>
        <v>0</v>
      </c>
    </row>
    <row r="92" spans="1:14" ht="22.5" outlineLevel="2" x14ac:dyDescent="0.2">
      <c r="A92" s="994">
        <v>1</v>
      </c>
      <c r="B92" s="995" t="s">
        <v>440</v>
      </c>
      <c r="C92" s="996" t="s">
        <v>1160</v>
      </c>
      <c r="D92" s="997" t="s">
        <v>1161</v>
      </c>
      <c r="E92" s="995" t="s">
        <v>441</v>
      </c>
      <c r="F92" s="998">
        <v>29.58</v>
      </c>
      <c r="G92" s="999"/>
      <c r="H92" s="1000">
        <f>F92*(1+G92/100)</f>
        <v>29.58</v>
      </c>
      <c r="I92" s="1035"/>
      <c r="J92" s="1001">
        <f>H92*I92</f>
        <v>0</v>
      </c>
      <c r="K92" s="1002"/>
      <c r="L92" s="1003"/>
      <c r="M92" s="1002"/>
      <c r="N92" s="1003">
        <f>H92*M92</f>
        <v>0</v>
      </c>
    </row>
    <row r="93" spans="1:14" s="1014" customFormat="1" outlineLevel="3" x14ac:dyDescent="0.2">
      <c r="A93" s="1005"/>
      <c r="B93" s="1006"/>
      <c r="C93" s="1006"/>
      <c r="D93" s="1007" t="s">
        <v>1162</v>
      </c>
      <c r="E93" s="1006"/>
      <c r="F93" s="1008">
        <v>29.58</v>
      </c>
      <c r="G93" s="1009"/>
      <c r="H93" s="1010"/>
      <c r="I93" s="1011"/>
      <c r="J93" s="1012"/>
      <c r="K93" s="1013"/>
      <c r="L93" s="1009"/>
      <c r="M93" s="1009"/>
      <c r="N93" s="1009"/>
    </row>
    <row r="94" spans="1:14" ht="22.5" outlineLevel="2" x14ac:dyDescent="0.2">
      <c r="A94" s="994">
        <v>2</v>
      </c>
      <c r="B94" s="995" t="s">
        <v>440</v>
      </c>
      <c r="C94" s="996" t="s">
        <v>1163</v>
      </c>
      <c r="D94" s="997" t="s">
        <v>1164</v>
      </c>
      <c r="E94" s="995" t="s">
        <v>441</v>
      </c>
      <c r="F94" s="998">
        <v>38.43</v>
      </c>
      <c r="G94" s="999"/>
      <c r="H94" s="1000">
        <f>F94*(1+G94/100)</f>
        <v>38.43</v>
      </c>
      <c r="I94" s="1035"/>
      <c r="J94" s="1001">
        <f>H94*I94</f>
        <v>0</v>
      </c>
      <c r="K94" s="1002"/>
      <c r="L94" s="1003"/>
      <c r="M94" s="1002"/>
      <c r="N94" s="1003">
        <f>H94*M94</f>
        <v>0</v>
      </c>
    </row>
    <row r="95" spans="1:14" s="1014" customFormat="1" outlineLevel="3" x14ac:dyDescent="0.2">
      <c r="A95" s="1005"/>
      <c r="B95" s="1006"/>
      <c r="C95" s="1006"/>
      <c r="D95" s="1007" t="s">
        <v>1165</v>
      </c>
      <c r="E95" s="1006"/>
      <c r="F95" s="1008">
        <v>38.43</v>
      </c>
      <c r="G95" s="1009"/>
      <c r="H95" s="1010"/>
      <c r="I95" s="1011"/>
      <c r="J95" s="1012"/>
      <c r="K95" s="1013"/>
      <c r="L95" s="1009"/>
      <c r="M95" s="1009"/>
      <c r="N95" s="1009"/>
    </row>
    <row r="96" spans="1:14" ht="22.5" outlineLevel="2" x14ac:dyDescent="0.2">
      <c r="A96" s="994">
        <v>3</v>
      </c>
      <c r="B96" s="995" t="s">
        <v>440</v>
      </c>
      <c r="C96" s="996" t="s">
        <v>843</v>
      </c>
      <c r="D96" s="997" t="s">
        <v>1166</v>
      </c>
      <c r="E96" s="995" t="s">
        <v>433</v>
      </c>
      <c r="F96" s="998">
        <v>3.21</v>
      </c>
      <c r="G96" s="999">
        <v>0</v>
      </c>
      <c r="H96" s="1000">
        <f>F96*(1+G96/100)</f>
        <v>3.21</v>
      </c>
      <c r="I96" s="1035"/>
      <c r="J96" s="1001">
        <f>H96*I96</f>
        <v>0</v>
      </c>
      <c r="K96" s="1002"/>
      <c r="L96" s="1003"/>
      <c r="M96" s="1002"/>
      <c r="N96" s="1003">
        <f>H96*M96</f>
        <v>0</v>
      </c>
    </row>
    <row r="97" spans="1:14" s="1024" customFormat="1" ht="12.75" customHeight="1" outlineLevel="2" x14ac:dyDescent="0.2">
      <c r="A97" s="1015"/>
      <c r="B97" s="1016"/>
      <c r="C97" s="1016"/>
      <c r="D97" s="1017"/>
      <c r="E97" s="1016"/>
      <c r="F97" s="1018"/>
      <c r="G97" s="1019"/>
      <c r="H97" s="1020"/>
      <c r="I97" s="1021"/>
      <c r="J97" s="1022"/>
      <c r="K97" s="1023"/>
      <c r="L97" s="1019"/>
      <c r="M97" s="1019"/>
      <c r="N97" s="1019"/>
    </row>
    <row r="98" spans="1:14" s="993" customFormat="1" ht="16.5" customHeight="1" outlineLevel="1" x14ac:dyDescent="0.2">
      <c r="A98" s="983"/>
      <c r="B98" s="984"/>
      <c r="C98" s="985"/>
      <c r="D98" s="985" t="s">
        <v>1167</v>
      </c>
      <c r="E98" s="984"/>
      <c r="F98" s="986"/>
      <c r="G98" s="987"/>
      <c r="H98" s="988"/>
      <c r="I98" s="989"/>
      <c r="J98" s="990">
        <f>SUBTOTAL(9,J99:J112)</f>
        <v>0</v>
      </c>
      <c r="K98" s="991"/>
      <c r="L98" s="992"/>
      <c r="M98" s="987"/>
      <c r="N98" s="992">
        <f>SUBTOTAL(9,N99:N112)</f>
        <v>0</v>
      </c>
    </row>
    <row r="99" spans="1:14" ht="22.5" outlineLevel="2" x14ac:dyDescent="0.2">
      <c r="A99" s="994">
        <v>1</v>
      </c>
      <c r="B99" s="995" t="s">
        <v>440</v>
      </c>
      <c r="C99" s="996" t="s">
        <v>1168</v>
      </c>
      <c r="D99" s="997" t="s">
        <v>1169</v>
      </c>
      <c r="E99" s="995" t="s">
        <v>444</v>
      </c>
      <c r="F99" s="998">
        <v>27</v>
      </c>
      <c r="G99" s="999"/>
      <c r="H99" s="1000">
        <f>F99*(1+G99/100)</f>
        <v>27</v>
      </c>
      <c r="I99" s="1035"/>
      <c r="J99" s="1001">
        <f>H99*I99</f>
        <v>0</v>
      </c>
      <c r="K99" s="1002"/>
      <c r="L99" s="1003"/>
      <c r="M99" s="1002"/>
      <c r="N99" s="1003">
        <f>H99*M99</f>
        <v>0</v>
      </c>
    </row>
    <row r="100" spans="1:14" s="1014" customFormat="1" outlineLevel="3" x14ac:dyDescent="0.2">
      <c r="A100" s="1005"/>
      <c r="B100" s="1006"/>
      <c r="C100" s="1006"/>
      <c r="D100" s="1007" t="s">
        <v>1170</v>
      </c>
      <c r="E100" s="1006"/>
      <c r="F100" s="1008">
        <v>27</v>
      </c>
      <c r="G100" s="1009"/>
      <c r="H100" s="1010"/>
      <c r="I100" s="1011"/>
      <c r="J100" s="1012"/>
      <c r="K100" s="1013"/>
      <c r="L100" s="1009"/>
      <c r="M100" s="1009"/>
      <c r="N100" s="1009"/>
    </row>
    <row r="101" spans="1:14" ht="22.5" outlineLevel="2" x14ac:dyDescent="0.2">
      <c r="A101" s="994">
        <v>2</v>
      </c>
      <c r="B101" s="995" t="s">
        <v>434</v>
      </c>
      <c r="C101" s="996" t="s">
        <v>1171</v>
      </c>
      <c r="D101" s="997" t="s">
        <v>1172</v>
      </c>
      <c r="E101" s="995" t="s">
        <v>444</v>
      </c>
      <c r="F101" s="998">
        <v>7</v>
      </c>
      <c r="G101" s="999"/>
      <c r="H101" s="1000">
        <f>F101*(1+G101/100)</f>
        <v>7</v>
      </c>
      <c r="I101" s="1035"/>
      <c r="J101" s="1001">
        <f>H101*I101</f>
        <v>0</v>
      </c>
      <c r="K101" s="1002"/>
      <c r="L101" s="1003"/>
      <c r="M101" s="1002"/>
      <c r="N101" s="1003">
        <f>H101*M101</f>
        <v>0</v>
      </c>
    </row>
    <row r="102" spans="1:14" s="1014" customFormat="1" outlineLevel="3" x14ac:dyDescent="0.2">
      <c r="A102" s="1005"/>
      <c r="B102" s="1006"/>
      <c r="C102" s="1006"/>
      <c r="D102" s="1007" t="s">
        <v>1173</v>
      </c>
      <c r="E102" s="1006"/>
      <c r="F102" s="1008">
        <v>7</v>
      </c>
      <c r="G102" s="1009"/>
      <c r="H102" s="1010"/>
      <c r="I102" s="1011"/>
      <c r="J102" s="1012"/>
      <c r="K102" s="1013"/>
      <c r="L102" s="1009"/>
      <c r="M102" s="1009"/>
      <c r="N102" s="1009"/>
    </row>
    <row r="103" spans="1:14" ht="22.5" outlineLevel="2" x14ac:dyDescent="0.2">
      <c r="A103" s="994">
        <v>3</v>
      </c>
      <c r="B103" s="995" t="s">
        <v>434</v>
      </c>
      <c r="C103" s="996" t="s">
        <v>1174</v>
      </c>
      <c r="D103" s="997" t="s">
        <v>1175</v>
      </c>
      <c r="E103" s="995" t="s">
        <v>444</v>
      </c>
      <c r="F103" s="998">
        <v>6</v>
      </c>
      <c r="G103" s="999"/>
      <c r="H103" s="1000">
        <f>F103*(1+G103/100)</f>
        <v>6</v>
      </c>
      <c r="I103" s="1035"/>
      <c r="J103" s="1001">
        <f>H103*I103</f>
        <v>0</v>
      </c>
      <c r="K103" s="1002"/>
      <c r="L103" s="1003"/>
      <c r="M103" s="1002"/>
      <c r="N103" s="1003">
        <f>H103*M103</f>
        <v>0</v>
      </c>
    </row>
    <row r="104" spans="1:14" s="1014" customFormat="1" outlineLevel="3" x14ac:dyDescent="0.2">
      <c r="A104" s="1005"/>
      <c r="B104" s="1006"/>
      <c r="C104" s="1006"/>
      <c r="D104" s="1007" t="s">
        <v>1176</v>
      </c>
      <c r="E104" s="1006"/>
      <c r="F104" s="1008">
        <v>6</v>
      </c>
      <c r="G104" s="1009"/>
      <c r="H104" s="1010"/>
      <c r="I104" s="1011"/>
      <c r="J104" s="1012"/>
      <c r="K104" s="1013"/>
      <c r="L104" s="1009"/>
      <c r="M104" s="1009"/>
      <c r="N104" s="1009"/>
    </row>
    <row r="105" spans="1:14" ht="22.5" outlineLevel="2" x14ac:dyDescent="0.2">
      <c r="A105" s="994">
        <v>4</v>
      </c>
      <c r="B105" s="995" t="s">
        <v>434</v>
      </c>
      <c r="C105" s="996" t="s">
        <v>1177</v>
      </c>
      <c r="D105" s="997" t="s">
        <v>1178</v>
      </c>
      <c r="E105" s="995" t="s">
        <v>444</v>
      </c>
      <c r="F105" s="998">
        <v>6</v>
      </c>
      <c r="G105" s="999"/>
      <c r="H105" s="1000">
        <f>F105*(1+G105/100)</f>
        <v>6</v>
      </c>
      <c r="I105" s="1035"/>
      <c r="J105" s="1001">
        <f>H105*I105</f>
        <v>0</v>
      </c>
      <c r="K105" s="1002"/>
      <c r="L105" s="1003"/>
      <c r="M105" s="1002"/>
      <c r="N105" s="1003">
        <f>H105*M105</f>
        <v>0</v>
      </c>
    </row>
    <row r="106" spans="1:14" s="1014" customFormat="1" outlineLevel="3" x14ac:dyDescent="0.2">
      <c r="A106" s="1005"/>
      <c r="B106" s="1006"/>
      <c r="C106" s="1006"/>
      <c r="D106" s="1007" t="s">
        <v>1179</v>
      </c>
      <c r="E106" s="1006"/>
      <c r="F106" s="1008">
        <v>6</v>
      </c>
      <c r="G106" s="1009"/>
      <c r="H106" s="1010"/>
      <c r="I106" s="1011"/>
      <c r="J106" s="1012"/>
      <c r="K106" s="1013"/>
      <c r="L106" s="1009"/>
      <c r="M106" s="1009"/>
      <c r="N106" s="1009"/>
    </row>
    <row r="107" spans="1:14" ht="22.5" outlineLevel="2" x14ac:dyDescent="0.2">
      <c r="A107" s="994">
        <v>5</v>
      </c>
      <c r="B107" s="995" t="s">
        <v>434</v>
      </c>
      <c r="C107" s="996" t="s">
        <v>1180</v>
      </c>
      <c r="D107" s="997" t="s">
        <v>1181</v>
      </c>
      <c r="E107" s="995" t="s">
        <v>444</v>
      </c>
      <c r="F107" s="998">
        <v>6</v>
      </c>
      <c r="G107" s="999"/>
      <c r="H107" s="1000">
        <f>F107*(1+G107/100)</f>
        <v>6</v>
      </c>
      <c r="I107" s="1035"/>
      <c r="J107" s="1001">
        <f>H107*I107</f>
        <v>0</v>
      </c>
      <c r="K107" s="1002"/>
      <c r="L107" s="1003"/>
      <c r="M107" s="1002"/>
      <c r="N107" s="1003">
        <f>H107*M107</f>
        <v>0</v>
      </c>
    </row>
    <row r="108" spans="1:14" s="1014" customFormat="1" outlineLevel="3" x14ac:dyDescent="0.2">
      <c r="A108" s="1005"/>
      <c r="B108" s="1006"/>
      <c r="C108" s="1006"/>
      <c r="D108" s="1007" t="s">
        <v>1179</v>
      </c>
      <c r="E108" s="1006"/>
      <c r="F108" s="1008">
        <v>6</v>
      </c>
      <c r="G108" s="1009"/>
      <c r="H108" s="1010"/>
      <c r="I108" s="1011"/>
      <c r="J108" s="1012"/>
      <c r="K108" s="1013"/>
      <c r="L108" s="1009"/>
      <c r="M108" s="1009"/>
      <c r="N108" s="1009"/>
    </row>
    <row r="109" spans="1:14" ht="22.5" outlineLevel="2" x14ac:dyDescent="0.2">
      <c r="A109" s="994">
        <v>6</v>
      </c>
      <c r="B109" s="995" t="s">
        <v>434</v>
      </c>
      <c r="C109" s="996" t="s">
        <v>1182</v>
      </c>
      <c r="D109" s="997" t="s">
        <v>1183</v>
      </c>
      <c r="E109" s="995" t="s">
        <v>444</v>
      </c>
      <c r="F109" s="998">
        <v>2</v>
      </c>
      <c r="G109" s="999"/>
      <c r="H109" s="1000">
        <f>F109*(1+G109/100)</f>
        <v>2</v>
      </c>
      <c r="I109" s="1035"/>
      <c r="J109" s="1001">
        <f>H109*I109</f>
        <v>0</v>
      </c>
      <c r="K109" s="1002"/>
      <c r="L109" s="1003"/>
      <c r="M109" s="1002"/>
      <c r="N109" s="1003">
        <f>H109*M109</f>
        <v>0</v>
      </c>
    </row>
    <row r="110" spans="1:14" s="1014" customFormat="1" outlineLevel="3" x14ac:dyDescent="0.2">
      <c r="A110" s="1005"/>
      <c r="B110" s="1006"/>
      <c r="C110" s="1006"/>
      <c r="D110" s="1007" t="s">
        <v>1184</v>
      </c>
      <c r="E110" s="1006"/>
      <c r="F110" s="1008">
        <v>2</v>
      </c>
      <c r="G110" s="1009"/>
      <c r="H110" s="1010"/>
      <c r="I110" s="1011"/>
      <c r="J110" s="1012"/>
      <c r="K110" s="1013"/>
      <c r="L110" s="1009"/>
      <c r="M110" s="1009"/>
      <c r="N110" s="1009"/>
    </row>
    <row r="111" spans="1:14" outlineLevel="2" x14ac:dyDescent="0.2">
      <c r="A111" s="994">
        <v>7</v>
      </c>
      <c r="B111" s="995" t="s">
        <v>440</v>
      </c>
      <c r="C111" s="996" t="s">
        <v>1185</v>
      </c>
      <c r="D111" s="997" t="s">
        <v>1186</v>
      </c>
      <c r="E111" s="995" t="s">
        <v>433</v>
      </c>
      <c r="F111" s="998">
        <v>0.22</v>
      </c>
      <c r="G111" s="999">
        <v>0</v>
      </c>
      <c r="H111" s="1000">
        <f>F111*(1+G111/100)</f>
        <v>0.22</v>
      </c>
      <c r="I111" s="1035"/>
      <c r="J111" s="1001">
        <f>H111*I111</f>
        <v>0</v>
      </c>
      <c r="K111" s="1002"/>
      <c r="L111" s="1003"/>
      <c r="M111" s="1002"/>
      <c r="N111" s="1003">
        <f>H111*M111</f>
        <v>0</v>
      </c>
    </row>
    <row r="112" spans="1:14" s="1024" customFormat="1" ht="12.75" customHeight="1" outlineLevel="2" x14ac:dyDescent="0.2">
      <c r="A112" s="1015"/>
      <c r="B112" s="1016"/>
      <c r="C112" s="1016"/>
      <c r="D112" s="1017"/>
      <c r="E112" s="1016"/>
      <c r="F112" s="1018"/>
      <c r="G112" s="1019"/>
      <c r="H112" s="1020"/>
      <c r="I112" s="1021"/>
      <c r="J112" s="1022"/>
      <c r="K112" s="1023"/>
      <c r="L112" s="1019"/>
      <c r="M112" s="1019"/>
      <c r="N112" s="1019"/>
    </row>
    <row r="113" spans="1:14" s="993" customFormat="1" ht="16.5" customHeight="1" outlineLevel="1" x14ac:dyDescent="0.2">
      <c r="A113" s="983"/>
      <c r="B113" s="984"/>
      <c r="C113" s="985"/>
      <c r="D113" s="985" t="s">
        <v>38</v>
      </c>
      <c r="E113" s="984"/>
      <c r="F113" s="986"/>
      <c r="G113" s="987"/>
      <c r="H113" s="988"/>
      <c r="I113" s="989"/>
      <c r="J113" s="990">
        <f>SUBTOTAL(9,J114:J138)</f>
        <v>0</v>
      </c>
      <c r="K113" s="991"/>
      <c r="L113" s="992"/>
      <c r="M113" s="987"/>
      <c r="N113" s="992">
        <f>SUBTOTAL(9,N114:N138)</f>
        <v>1.9193624999999999E-2</v>
      </c>
    </row>
    <row r="114" spans="1:14" outlineLevel="2" x14ac:dyDescent="0.2">
      <c r="A114" s="994">
        <v>1</v>
      </c>
      <c r="B114" s="995" t="s">
        <v>440</v>
      </c>
      <c r="C114" s="996" t="s">
        <v>1187</v>
      </c>
      <c r="D114" s="997" t="s">
        <v>1188</v>
      </c>
      <c r="E114" s="995" t="s">
        <v>441</v>
      </c>
      <c r="F114" s="998">
        <v>15.603600000000007</v>
      </c>
      <c r="G114" s="999">
        <v>0</v>
      </c>
      <c r="H114" s="1000">
        <f>F114*(1+G114/100)</f>
        <v>15.603600000000007</v>
      </c>
      <c r="I114" s="1035"/>
      <c r="J114" s="1001">
        <f>H114*I114</f>
        <v>0</v>
      </c>
      <c r="K114" s="1002"/>
      <c r="L114" s="1003"/>
      <c r="M114" s="1002"/>
      <c r="N114" s="1003">
        <f>H114*M114</f>
        <v>0</v>
      </c>
    </row>
    <row r="115" spans="1:14" s="1014" customFormat="1" outlineLevel="3" x14ac:dyDescent="0.2">
      <c r="A115" s="1005"/>
      <c r="B115" s="1006"/>
      <c r="C115" s="1006"/>
      <c r="D115" s="1007" t="s">
        <v>1189</v>
      </c>
      <c r="E115" s="1006"/>
      <c r="F115" s="1008">
        <v>15.603600000000007</v>
      </c>
      <c r="G115" s="1009"/>
      <c r="H115" s="1010"/>
      <c r="I115" s="1011"/>
      <c r="J115" s="1012"/>
      <c r="K115" s="1013"/>
      <c r="L115" s="1009"/>
      <c r="M115" s="1009"/>
      <c r="N115" s="1009"/>
    </row>
    <row r="116" spans="1:14" outlineLevel="2" x14ac:dyDescent="0.2">
      <c r="A116" s="994">
        <v>2</v>
      </c>
      <c r="B116" s="995" t="s">
        <v>440</v>
      </c>
      <c r="C116" s="996" t="s">
        <v>1190</v>
      </c>
      <c r="D116" s="997" t="s">
        <v>1191</v>
      </c>
      <c r="E116" s="995" t="s">
        <v>444</v>
      </c>
      <c r="F116" s="998">
        <v>6</v>
      </c>
      <c r="G116" s="999">
        <v>0</v>
      </c>
      <c r="H116" s="1000">
        <f>F116*(1+G116/100)</f>
        <v>6</v>
      </c>
      <c r="I116" s="1035"/>
      <c r="J116" s="1001">
        <f>H116*I116</f>
        <v>0</v>
      </c>
      <c r="K116" s="1002"/>
      <c r="L116" s="1003"/>
      <c r="M116" s="1002"/>
      <c r="N116" s="1003">
        <f>H116*M116</f>
        <v>0</v>
      </c>
    </row>
    <row r="117" spans="1:14" s="1014" customFormat="1" outlineLevel="3" x14ac:dyDescent="0.2">
      <c r="A117" s="1005"/>
      <c r="B117" s="1006"/>
      <c r="C117" s="1006"/>
      <c r="D117" s="1007" t="s">
        <v>1103</v>
      </c>
      <c r="E117" s="1006"/>
      <c r="F117" s="1008">
        <v>6</v>
      </c>
      <c r="G117" s="1009"/>
      <c r="H117" s="1010"/>
      <c r="I117" s="1011"/>
      <c r="J117" s="1012"/>
      <c r="K117" s="1013"/>
      <c r="L117" s="1009"/>
      <c r="M117" s="1009"/>
      <c r="N117" s="1009"/>
    </row>
    <row r="118" spans="1:14" ht="22.5" outlineLevel="2" x14ac:dyDescent="0.2">
      <c r="A118" s="994">
        <v>3</v>
      </c>
      <c r="B118" s="995" t="s">
        <v>440</v>
      </c>
      <c r="C118" s="996" t="s">
        <v>1192</v>
      </c>
      <c r="D118" s="997" t="s">
        <v>1193</v>
      </c>
      <c r="E118" s="995" t="s">
        <v>441</v>
      </c>
      <c r="F118" s="998">
        <v>4.0130999999999997</v>
      </c>
      <c r="G118" s="999"/>
      <c r="H118" s="1000">
        <f>F118*(1+G118/100)</f>
        <v>4.0130999999999997</v>
      </c>
      <c r="I118" s="1035"/>
      <c r="J118" s="1001">
        <f>H118*I118</f>
        <v>0</v>
      </c>
      <c r="K118" s="1002"/>
      <c r="L118" s="1003"/>
      <c r="M118" s="1002"/>
      <c r="N118" s="1003">
        <f>H118*M118</f>
        <v>0</v>
      </c>
    </row>
    <row r="119" spans="1:14" s="1014" customFormat="1" outlineLevel="3" x14ac:dyDescent="0.2">
      <c r="A119" s="1005"/>
      <c r="B119" s="1006"/>
      <c r="C119" s="1006"/>
      <c r="D119" s="1007" t="s">
        <v>1194</v>
      </c>
      <c r="E119" s="1006"/>
      <c r="F119" s="1008">
        <v>4.0130999999999997</v>
      </c>
      <c r="G119" s="1009"/>
      <c r="H119" s="1010"/>
      <c r="I119" s="1011"/>
      <c r="J119" s="1012"/>
      <c r="K119" s="1013"/>
      <c r="L119" s="1009"/>
      <c r="M119" s="1009"/>
      <c r="N119" s="1009"/>
    </row>
    <row r="120" spans="1:14" ht="22.5" outlineLevel="2" x14ac:dyDescent="0.2">
      <c r="A120" s="994">
        <v>4</v>
      </c>
      <c r="B120" s="995" t="s">
        <v>440</v>
      </c>
      <c r="C120" s="996" t="s">
        <v>1195</v>
      </c>
      <c r="D120" s="997" t="s">
        <v>1196</v>
      </c>
      <c r="E120" s="995" t="s">
        <v>441</v>
      </c>
      <c r="F120" s="998">
        <v>2.0739999999999998</v>
      </c>
      <c r="G120" s="999"/>
      <c r="H120" s="1000">
        <f>F120*(1+G120/100)</f>
        <v>2.0739999999999998</v>
      </c>
      <c r="I120" s="1035"/>
      <c r="J120" s="1001">
        <f>H120*I120</f>
        <v>0</v>
      </c>
      <c r="K120" s="1002"/>
      <c r="L120" s="1003"/>
      <c r="M120" s="1002"/>
      <c r="N120" s="1003">
        <f>H120*M120</f>
        <v>0</v>
      </c>
    </row>
    <row r="121" spans="1:14" s="1014" customFormat="1" outlineLevel="3" x14ac:dyDescent="0.2">
      <c r="A121" s="1005"/>
      <c r="B121" s="1006"/>
      <c r="C121" s="1006"/>
      <c r="D121" s="1007" t="s">
        <v>1197</v>
      </c>
      <c r="E121" s="1006"/>
      <c r="F121" s="1008">
        <v>2.0739999999999998</v>
      </c>
      <c r="G121" s="1009"/>
      <c r="H121" s="1010"/>
      <c r="I121" s="1011"/>
      <c r="J121" s="1012"/>
      <c r="K121" s="1013"/>
      <c r="L121" s="1009"/>
      <c r="M121" s="1009"/>
      <c r="N121" s="1009"/>
    </row>
    <row r="122" spans="1:14" ht="22.5" outlineLevel="2" x14ac:dyDescent="0.2">
      <c r="A122" s="994">
        <v>5</v>
      </c>
      <c r="B122" s="995" t="s">
        <v>440</v>
      </c>
      <c r="C122" s="996" t="s">
        <v>1198</v>
      </c>
      <c r="D122" s="997" t="s">
        <v>1199</v>
      </c>
      <c r="E122" s="995" t="s">
        <v>441</v>
      </c>
      <c r="F122" s="998">
        <v>148.24</v>
      </c>
      <c r="G122" s="999"/>
      <c r="H122" s="1000">
        <f>F122*(1+G122/100)</f>
        <v>148.24</v>
      </c>
      <c r="I122" s="1035"/>
      <c r="J122" s="1001">
        <f>H122*I122</f>
        <v>0</v>
      </c>
      <c r="K122" s="1002"/>
      <c r="L122" s="1003"/>
      <c r="M122" s="1002"/>
      <c r="N122" s="1003">
        <f>H122*M122</f>
        <v>0</v>
      </c>
    </row>
    <row r="123" spans="1:14" s="1014" customFormat="1" ht="22.5" outlineLevel="3" x14ac:dyDescent="0.2">
      <c r="A123" s="1005"/>
      <c r="B123" s="1006"/>
      <c r="C123" s="1006"/>
      <c r="D123" s="1007" t="s">
        <v>1200</v>
      </c>
      <c r="E123" s="1006"/>
      <c r="F123" s="1008">
        <v>119.45</v>
      </c>
      <c r="G123" s="1009"/>
      <c r="H123" s="1010"/>
      <c r="I123" s="1011"/>
      <c r="J123" s="1012"/>
      <c r="K123" s="1013"/>
      <c r="L123" s="1009"/>
      <c r="M123" s="1009"/>
      <c r="N123" s="1009"/>
    </row>
    <row r="124" spans="1:14" s="1014" customFormat="1" outlineLevel="3" x14ac:dyDescent="0.2">
      <c r="A124" s="1005"/>
      <c r="B124" s="1006"/>
      <c r="C124" s="1006"/>
      <c r="D124" s="1007" t="s">
        <v>1201</v>
      </c>
      <c r="E124" s="1006"/>
      <c r="F124" s="1008">
        <v>28.79</v>
      </c>
      <c r="G124" s="1009"/>
      <c r="H124" s="1010"/>
      <c r="I124" s="1011"/>
      <c r="J124" s="1012"/>
      <c r="K124" s="1013"/>
      <c r="L124" s="1009"/>
      <c r="M124" s="1009"/>
      <c r="N124" s="1009"/>
    </row>
    <row r="125" spans="1:14" outlineLevel="2" x14ac:dyDescent="0.2">
      <c r="A125" s="994">
        <v>6</v>
      </c>
      <c r="B125" s="995" t="s">
        <v>434</v>
      </c>
      <c r="C125" s="996" t="s">
        <v>1202</v>
      </c>
      <c r="D125" s="997" t="s">
        <v>1203</v>
      </c>
      <c r="E125" s="995" t="s">
        <v>441</v>
      </c>
      <c r="F125" s="998">
        <v>131.39500000000001</v>
      </c>
      <c r="G125" s="999">
        <v>0</v>
      </c>
      <c r="H125" s="1000">
        <f>F125*(1+G125/100)</f>
        <v>131.39500000000001</v>
      </c>
      <c r="I125" s="1035"/>
      <c r="J125" s="1001">
        <f>H125*I125</f>
        <v>0</v>
      </c>
      <c r="K125" s="1002"/>
      <c r="L125" s="1003"/>
      <c r="M125" s="1002"/>
      <c r="N125" s="1003">
        <f>H125*M125</f>
        <v>0</v>
      </c>
    </row>
    <row r="126" spans="1:14" s="1014" customFormat="1" ht="22.5" outlineLevel="3" x14ac:dyDescent="0.2">
      <c r="A126" s="1005"/>
      <c r="B126" s="1006"/>
      <c r="C126" s="1006"/>
      <c r="D126" s="1007" t="s">
        <v>1204</v>
      </c>
      <c r="E126" s="1006"/>
      <c r="F126" s="1008">
        <v>131.39500000000001</v>
      </c>
      <c r="G126" s="1009"/>
      <c r="H126" s="1010"/>
      <c r="I126" s="1011"/>
      <c r="J126" s="1012"/>
      <c r="K126" s="1013"/>
      <c r="L126" s="1009"/>
      <c r="M126" s="1009"/>
      <c r="N126" s="1009"/>
    </row>
    <row r="127" spans="1:14" outlineLevel="2" x14ac:dyDescent="0.2">
      <c r="A127" s="994">
        <v>7</v>
      </c>
      <c r="B127" s="995" t="s">
        <v>434</v>
      </c>
      <c r="C127" s="996" t="s">
        <v>1205</v>
      </c>
      <c r="D127" s="997" t="s">
        <v>1206</v>
      </c>
      <c r="E127" s="995" t="s">
        <v>441</v>
      </c>
      <c r="F127" s="998">
        <v>31.669</v>
      </c>
      <c r="G127" s="999">
        <v>0</v>
      </c>
      <c r="H127" s="1000">
        <f>F127*(1+G127/100)</f>
        <v>31.669</v>
      </c>
      <c r="I127" s="1035"/>
      <c r="J127" s="1001">
        <f>H127*I127</f>
        <v>0</v>
      </c>
      <c r="K127" s="1002"/>
      <c r="L127" s="1003"/>
      <c r="M127" s="1002"/>
      <c r="N127" s="1003">
        <f>H127*M127</f>
        <v>0</v>
      </c>
    </row>
    <row r="128" spans="1:14" s="1014" customFormat="1" ht="22.5" outlineLevel="3" x14ac:dyDescent="0.2">
      <c r="A128" s="1005"/>
      <c r="B128" s="1006"/>
      <c r="C128" s="1006"/>
      <c r="D128" s="1007" t="s">
        <v>1207</v>
      </c>
      <c r="E128" s="1006"/>
      <c r="F128" s="1008">
        <v>31.669</v>
      </c>
      <c r="G128" s="1009"/>
      <c r="H128" s="1010"/>
      <c r="I128" s="1011"/>
      <c r="J128" s="1012"/>
      <c r="K128" s="1013"/>
      <c r="L128" s="1009"/>
      <c r="M128" s="1009"/>
      <c r="N128" s="1009"/>
    </row>
    <row r="129" spans="1:14" outlineLevel="2" x14ac:dyDescent="0.2">
      <c r="A129" s="994">
        <v>8</v>
      </c>
      <c r="B129" s="995" t="s">
        <v>440</v>
      </c>
      <c r="C129" s="996" t="s">
        <v>39</v>
      </c>
      <c r="D129" s="997" t="s">
        <v>40</v>
      </c>
      <c r="E129" s="995" t="s">
        <v>441</v>
      </c>
      <c r="F129" s="998">
        <v>28.79</v>
      </c>
      <c r="G129" s="999">
        <v>0</v>
      </c>
      <c r="H129" s="1000">
        <f>F129*(1+G129/100)</f>
        <v>28.79</v>
      </c>
      <c r="I129" s="1035"/>
      <c r="J129" s="1001">
        <f>H129*I129</f>
        <v>0</v>
      </c>
      <c r="K129" s="1002"/>
      <c r="L129" s="1003"/>
      <c r="M129" s="1002"/>
      <c r="N129" s="1003">
        <f>H129*M129</f>
        <v>0</v>
      </c>
    </row>
    <row r="130" spans="1:14" s="1014" customFormat="1" outlineLevel="3" x14ac:dyDescent="0.2">
      <c r="A130" s="1005"/>
      <c r="B130" s="1006"/>
      <c r="C130" s="1006"/>
      <c r="D130" s="1007" t="s">
        <v>1201</v>
      </c>
      <c r="E130" s="1006"/>
      <c r="F130" s="1008">
        <v>28.79</v>
      </c>
      <c r="G130" s="1009"/>
      <c r="H130" s="1010"/>
      <c r="I130" s="1011"/>
      <c r="J130" s="1012"/>
      <c r="K130" s="1013"/>
      <c r="L130" s="1009"/>
      <c r="M130" s="1009"/>
      <c r="N130" s="1009"/>
    </row>
    <row r="131" spans="1:14" ht="22.5" outlineLevel="2" x14ac:dyDescent="0.2">
      <c r="A131" s="994">
        <v>9</v>
      </c>
      <c r="B131" s="995" t="s">
        <v>434</v>
      </c>
      <c r="C131" s="996" t="s">
        <v>1208</v>
      </c>
      <c r="D131" s="997" t="s">
        <v>1209</v>
      </c>
      <c r="E131" s="995" t="s">
        <v>441</v>
      </c>
      <c r="F131" s="998">
        <v>30.229500000000002</v>
      </c>
      <c r="G131" s="999"/>
      <c r="H131" s="1000">
        <f>F131*(1+G131/100)</f>
        <v>30.229500000000002</v>
      </c>
      <c r="I131" s="1035"/>
      <c r="J131" s="1001">
        <f>H131*I131</f>
        <v>0</v>
      </c>
      <c r="K131" s="1002"/>
      <c r="L131" s="1003"/>
      <c r="M131" s="1002"/>
      <c r="N131" s="1003">
        <f>H131*M131</f>
        <v>0</v>
      </c>
    </row>
    <row r="132" spans="1:14" s="1014" customFormat="1" ht="22.5" outlineLevel="3" x14ac:dyDescent="0.2">
      <c r="A132" s="1005"/>
      <c r="B132" s="1006"/>
      <c r="C132" s="1006"/>
      <c r="D132" s="1007" t="s">
        <v>1210</v>
      </c>
      <c r="E132" s="1006"/>
      <c r="F132" s="1008">
        <v>30.229500000000002</v>
      </c>
      <c r="G132" s="1009"/>
      <c r="H132" s="1010"/>
      <c r="I132" s="1011"/>
      <c r="J132" s="1012"/>
      <c r="K132" s="1013"/>
      <c r="L132" s="1009"/>
      <c r="M132" s="1009"/>
      <c r="N132" s="1009"/>
    </row>
    <row r="133" spans="1:14" outlineLevel="2" x14ac:dyDescent="0.2">
      <c r="A133" s="994">
        <v>10</v>
      </c>
      <c r="B133" s="995" t="s">
        <v>440</v>
      </c>
      <c r="C133" s="996" t="s">
        <v>1211</v>
      </c>
      <c r="D133" s="997" t="s">
        <v>1212</v>
      </c>
      <c r="E133" s="995" t="s">
        <v>441</v>
      </c>
      <c r="F133" s="998">
        <v>15.862500000000001</v>
      </c>
      <c r="G133" s="999"/>
      <c r="H133" s="1000">
        <f>F133*(1+G133/100)</f>
        <v>15.862500000000001</v>
      </c>
      <c r="I133" s="1035"/>
      <c r="J133" s="1001">
        <f>H133*I133</f>
        <v>0</v>
      </c>
      <c r="K133" s="1002"/>
      <c r="L133" s="1003"/>
      <c r="M133" s="1002"/>
      <c r="N133" s="1003">
        <f>H133*M133</f>
        <v>0</v>
      </c>
    </row>
    <row r="134" spans="1:14" s="1014" customFormat="1" outlineLevel="3" x14ac:dyDescent="0.2">
      <c r="A134" s="1005"/>
      <c r="B134" s="1006"/>
      <c r="C134" s="1006"/>
      <c r="D134" s="1007" t="s">
        <v>1213</v>
      </c>
      <c r="E134" s="1006"/>
      <c r="F134" s="1008">
        <v>15.862500000000001</v>
      </c>
      <c r="G134" s="1009"/>
      <c r="H134" s="1010"/>
      <c r="I134" s="1011"/>
      <c r="J134" s="1012"/>
      <c r="K134" s="1013"/>
      <c r="L134" s="1009"/>
      <c r="M134" s="1009"/>
      <c r="N134" s="1009"/>
    </row>
    <row r="135" spans="1:14" ht="22.5" outlineLevel="2" x14ac:dyDescent="0.2">
      <c r="A135" s="994">
        <v>11</v>
      </c>
      <c r="B135" s="995" t="s">
        <v>440</v>
      </c>
      <c r="C135" s="996" t="s">
        <v>1214</v>
      </c>
      <c r="D135" s="997" t="s">
        <v>1215</v>
      </c>
      <c r="E135" s="995" t="s">
        <v>441</v>
      </c>
      <c r="F135" s="998">
        <v>15.862500000000001</v>
      </c>
      <c r="G135" s="999"/>
      <c r="H135" s="1000">
        <f>F135*(1+G135/100)</f>
        <v>15.862500000000001</v>
      </c>
      <c r="I135" s="1035"/>
      <c r="J135" s="1001">
        <f>H135*I135</f>
        <v>0</v>
      </c>
      <c r="K135" s="1002"/>
      <c r="L135" s="1003"/>
      <c r="M135" s="1002">
        <v>1.2099999999999999E-3</v>
      </c>
      <c r="N135" s="1003">
        <f>H135*M135</f>
        <v>1.9193624999999999E-2</v>
      </c>
    </row>
    <row r="136" spans="1:14" s="1014" customFormat="1" outlineLevel="3" x14ac:dyDescent="0.2">
      <c r="A136" s="1005"/>
      <c r="B136" s="1006"/>
      <c r="C136" s="1006"/>
      <c r="D136" s="1007" t="s">
        <v>1213</v>
      </c>
      <c r="E136" s="1006"/>
      <c r="F136" s="1008">
        <v>15.862500000000001</v>
      </c>
      <c r="G136" s="1009"/>
      <c r="H136" s="1010"/>
      <c r="I136" s="1011"/>
      <c r="J136" s="1012"/>
      <c r="K136" s="1013"/>
      <c r="L136" s="1009"/>
      <c r="M136" s="1009"/>
      <c r="N136" s="1009"/>
    </row>
    <row r="137" spans="1:14" outlineLevel="2" x14ac:dyDescent="0.2">
      <c r="A137" s="994">
        <v>12</v>
      </c>
      <c r="B137" s="995" t="s">
        <v>440</v>
      </c>
      <c r="C137" s="996" t="s">
        <v>845</v>
      </c>
      <c r="D137" s="997" t="s">
        <v>1216</v>
      </c>
      <c r="E137" s="995" t="s">
        <v>433</v>
      </c>
      <c r="F137" s="998">
        <v>1.52</v>
      </c>
      <c r="G137" s="999">
        <v>0</v>
      </c>
      <c r="H137" s="1000">
        <f>F137*(1+G137/100)</f>
        <v>1.52</v>
      </c>
      <c r="I137" s="1035"/>
      <c r="J137" s="1001">
        <f>H137*I137</f>
        <v>0</v>
      </c>
      <c r="K137" s="1002"/>
      <c r="L137" s="1003"/>
      <c r="M137" s="1002"/>
      <c r="N137" s="1003">
        <f>H137*M137</f>
        <v>0</v>
      </c>
    </row>
    <row r="138" spans="1:14" s="1024" customFormat="1" ht="12.75" customHeight="1" outlineLevel="2" x14ac:dyDescent="0.2">
      <c r="A138" s="1015"/>
      <c r="B138" s="1016"/>
      <c r="C138" s="1016"/>
      <c r="D138" s="1017"/>
      <c r="E138" s="1016"/>
      <c r="F138" s="1018"/>
      <c r="G138" s="1019"/>
      <c r="H138" s="1020"/>
      <c r="I138" s="1021"/>
      <c r="J138" s="1022"/>
      <c r="K138" s="1023"/>
      <c r="L138" s="1019"/>
      <c r="M138" s="1019"/>
      <c r="N138" s="1019"/>
    </row>
    <row r="139" spans="1:14" s="993" customFormat="1" ht="16.5" customHeight="1" outlineLevel="1" x14ac:dyDescent="0.2">
      <c r="A139" s="983"/>
      <c r="B139" s="984"/>
      <c r="C139" s="985"/>
      <c r="D139" s="985" t="s">
        <v>289</v>
      </c>
      <c r="E139" s="984"/>
      <c r="F139" s="986"/>
      <c r="G139" s="987"/>
      <c r="H139" s="988"/>
      <c r="I139" s="989"/>
      <c r="J139" s="990">
        <f>SUBTOTAL(9,J140:J173)</f>
        <v>0</v>
      </c>
      <c r="K139" s="991"/>
      <c r="L139" s="992"/>
      <c r="M139" s="987"/>
      <c r="N139" s="992">
        <f>SUBTOTAL(9,N140:N173)</f>
        <v>0</v>
      </c>
    </row>
    <row r="140" spans="1:14" ht="33.75" outlineLevel="2" x14ac:dyDescent="0.2">
      <c r="A140" s="994">
        <v>1</v>
      </c>
      <c r="B140" s="995" t="s">
        <v>440</v>
      </c>
      <c r="C140" s="996" t="s">
        <v>1217</v>
      </c>
      <c r="D140" s="997" t="s">
        <v>1218</v>
      </c>
      <c r="E140" s="995" t="s">
        <v>444</v>
      </c>
      <c r="F140" s="998">
        <v>13</v>
      </c>
      <c r="G140" s="999"/>
      <c r="H140" s="1000">
        <f>F140*(1+G140/100)</f>
        <v>13</v>
      </c>
      <c r="I140" s="1035"/>
      <c r="J140" s="1001">
        <f>H140*I140</f>
        <v>0</v>
      </c>
      <c r="K140" s="1002"/>
      <c r="L140" s="1003"/>
      <c r="M140" s="1002"/>
      <c r="N140" s="1003">
        <f>H140*M140</f>
        <v>0</v>
      </c>
    </row>
    <row r="141" spans="1:14" s="1014" customFormat="1" outlineLevel="3" x14ac:dyDescent="0.2">
      <c r="A141" s="1005"/>
      <c r="B141" s="1006"/>
      <c r="C141" s="1006"/>
      <c r="D141" s="1007" t="s">
        <v>1219</v>
      </c>
      <c r="E141" s="1006"/>
      <c r="F141" s="1008">
        <v>13</v>
      </c>
      <c r="G141" s="1009"/>
      <c r="H141" s="1010"/>
      <c r="I141" s="1011"/>
      <c r="J141" s="1012"/>
      <c r="K141" s="1013"/>
      <c r="L141" s="1009"/>
      <c r="M141" s="1009"/>
      <c r="N141" s="1009"/>
    </row>
    <row r="142" spans="1:14" ht="33.75" outlineLevel="2" x14ac:dyDescent="0.2">
      <c r="A142" s="994">
        <v>2</v>
      </c>
      <c r="B142" s="995" t="s">
        <v>440</v>
      </c>
      <c r="C142" s="996" t="s">
        <v>1220</v>
      </c>
      <c r="D142" s="997" t="s">
        <v>1221</v>
      </c>
      <c r="E142" s="995" t="s">
        <v>444</v>
      </c>
      <c r="F142" s="998">
        <v>1</v>
      </c>
      <c r="G142" s="999"/>
      <c r="H142" s="1000">
        <f>F142*(1+G142/100)</f>
        <v>1</v>
      </c>
      <c r="I142" s="1035"/>
      <c r="J142" s="1001">
        <f>H142*I142</f>
        <v>0</v>
      </c>
      <c r="K142" s="1002"/>
      <c r="L142" s="1003"/>
      <c r="M142" s="1002"/>
      <c r="N142" s="1003">
        <f>H142*M142</f>
        <v>0</v>
      </c>
    </row>
    <row r="143" spans="1:14" s="1014" customFormat="1" outlineLevel="3" x14ac:dyDescent="0.2">
      <c r="A143" s="1005"/>
      <c r="B143" s="1006"/>
      <c r="C143" s="1006"/>
      <c r="D143" s="1007" t="s">
        <v>1222</v>
      </c>
      <c r="E143" s="1006"/>
      <c r="F143" s="1008">
        <v>1</v>
      </c>
      <c r="G143" s="1009"/>
      <c r="H143" s="1010"/>
      <c r="I143" s="1011"/>
      <c r="J143" s="1012"/>
      <c r="K143" s="1013"/>
      <c r="L143" s="1009"/>
      <c r="M143" s="1009"/>
      <c r="N143" s="1009"/>
    </row>
    <row r="144" spans="1:14" ht="33.75" outlineLevel="2" x14ac:dyDescent="0.2">
      <c r="A144" s="994">
        <v>3</v>
      </c>
      <c r="B144" s="995" t="s">
        <v>440</v>
      </c>
      <c r="C144" s="996" t="s">
        <v>1223</v>
      </c>
      <c r="D144" s="997" t="s">
        <v>1224</v>
      </c>
      <c r="E144" s="995" t="s">
        <v>444</v>
      </c>
      <c r="F144" s="998">
        <v>2</v>
      </c>
      <c r="G144" s="999"/>
      <c r="H144" s="1000">
        <f>F144*(1+G144/100)</f>
        <v>2</v>
      </c>
      <c r="I144" s="1035"/>
      <c r="J144" s="1001">
        <f>H144*I144</f>
        <v>0</v>
      </c>
      <c r="K144" s="1002"/>
      <c r="L144" s="1003"/>
      <c r="M144" s="1002"/>
      <c r="N144" s="1003">
        <f>H144*M144</f>
        <v>0</v>
      </c>
    </row>
    <row r="145" spans="1:14" s="1014" customFormat="1" outlineLevel="3" x14ac:dyDescent="0.2">
      <c r="A145" s="1005"/>
      <c r="B145" s="1006"/>
      <c r="C145" s="1006"/>
      <c r="D145" s="1007" t="s">
        <v>1225</v>
      </c>
      <c r="E145" s="1006"/>
      <c r="F145" s="1008">
        <v>2</v>
      </c>
      <c r="G145" s="1009"/>
      <c r="H145" s="1010"/>
      <c r="I145" s="1011"/>
      <c r="J145" s="1012"/>
      <c r="K145" s="1013"/>
      <c r="L145" s="1009"/>
      <c r="M145" s="1009"/>
      <c r="N145" s="1009"/>
    </row>
    <row r="146" spans="1:14" ht="45" outlineLevel="2" x14ac:dyDescent="0.2">
      <c r="A146" s="994">
        <v>4</v>
      </c>
      <c r="B146" s="995" t="s">
        <v>440</v>
      </c>
      <c r="C146" s="996" t="s">
        <v>1226</v>
      </c>
      <c r="D146" s="997" t="s">
        <v>1227</v>
      </c>
      <c r="E146" s="995" t="s">
        <v>444</v>
      </c>
      <c r="F146" s="998">
        <v>1</v>
      </c>
      <c r="G146" s="999"/>
      <c r="H146" s="1000">
        <f>F146*(1+G146/100)</f>
        <v>1</v>
      </c>
      <c r="I146" s="1035"/>
      <c r="J146" s="1001">
        <f>H146*I146</f>
        <v>0</v>
      </c>
      <c r="K146" s="1002"/>
      <c r="L146" s="1003"/>
      <c r="M146" s="1002"/>
      <c r="N146" s="1003">
        <f>H146*M146</f>
        <v>0</v>
      </c>
    </row>
    <row r="147" spans="1:14" s="1014" customFormat="1" outlineLevel="3" x14ac:dyDescent="0.2">
      <c r="A147" s="1005"/>
      <c r="B147" s="1006"/>
      <c r="C147" s="1006"/>
      <c r="D147" s="1007" t="s">
        <v>1222</v>
      </c>
      <c r="E147" s="1006"/>
      <c r="F147" s="1008">
        <v>1</v>
      </c>
      <c r="G147" s="1009"/>
      <c r="H147" s="1010"/>
      <c r="I147" s="1011"/>
      <c r="J147" s="1012"/>
      <c r="K147" s="1013"/>
      <c r="L147" s="1009"/>
      <c r="M147" s="1009"/>
      <c r="N147" s="1009"/>
    </row>
    <row r="148" spans="1:14" ht="45" outlineLevel="2" x14ac:dyDescent="0.2">
      <c r="A148" s="994">
        <v>5</v>
      </c>
      <c r="B148" s="995" t="s">
        <v>440</v>
      </c>
      <c r="C148" s="996" t="s">
        <v>1228</v>
      </c>
      <c r="D148" s="997" t="s">
        <v>1229</v>
      </c>
      <c r="E148" s="995" t="s">
        <v>444</v>
      </c>
      <c r="F148" s="998">
        <v>5</v>
      </c>
      <c r="G148" s="999"/>
      <c r="H148" s="1000">
        <f>F148*(1+G148/100)</f>
        <v>5</v>
      </c>
      <c r="I148" s="1035"/>
      <c r="J148" s="1001">
        <f>H148*I148</f>
        <v>0</v>
      </c>
      <c r="K148" s="1002"/>
      <c r="L148" s="1003"/>
      <c r="M148" s="1002"/>
      <c r="N148" s="1003">
        <f>H148*M148</f>
        <v>0</v>
      </c>
    </row>
    <row r="149" spans="1:14" s="1014" customFormat="1" outlineLevel="3" x14ac:dyDescent="0.2">
      <c r="A149" s="1005"/>
      <c r="B149" s="1006"/>
      <c r="C149" s="1006"/>
      <c r="D149" s="1007" t="s">
        <v>1230</v>
      </c>
      <c r="E149" s="1006"/>
      <c r="F149" s="1008">
        <v>5</v>
      </c>
      <c r="G149" s="1009"/>
      <c r="H149" s="1010"/>
      <c r="I149" s="1011"/>
      <c r="J149" s="1012"/>
      <c r="K149" s="1013"/>
      <c r="L149" s="1009"/>
      <c r="M149" s="1009"/>
      <c r="N149" s="1009"/>
    </row>
    <row r="150" spans="1:14" ht="33.75" outlineLevel="2" x14ac:dyDescent="0.2">
      <c r="A150" s="994">
        <v>6</v>
      </c>
      <c r="B150" s="995" t="s">
        <v>440</v>
      </c>
      <c r="C150" s="996" t="s">
        <v>1231</v>
      </c>
      <c r="D150" s="997" t="s">
        <v>1232</v>
      </c>
      <c r="E150" s="995" t="s">
        <v>444</v>
      </c>
      <c r="F150" s="998">
        <v>18</v>
      </c>
      <c r="G150" s="999"/>
      <c r="H150" s="1000">
        <f>F150*(1+G150/100)</f>
        <v>18</v>
      </c>
      <c r="I150" s="1035"/>
      <c r="J150" s="1001">
        <f>H150*I150</f>
        <v>0</v>
      </c>
      <c r="K150" s="1002"/>
      <c r="L150" s="1003"/>
      <c r="M150" s="1002"/>
      <c r="N150" s="1003">
        <f>H150*M150</f>
        <v>0</v>
      </c>
    </row>
    <row r="151" spans="1:14" s="1014" customFormat="1" outlineLevel="3" x14ac:dyDescent="0.2">
      <c r="A151" s="1005"/>
      <c r="B151" s="1006"/>
      <c r="C151" s="1006"/>
      <c r="D151" s="1007" t="s">
        <v>1233</v>
      </c>
      <c r="E151" s="1006"/>
      <c r="F151" s="1008">
        <v>18</v>
      </c>
      <c r="G151" s="1009"/>
      <c r="H151" s="1010"/>
      <c r="I151" s="1011"/>
      <c r="J151" s="1012"/>
      <c r="K151" s="1013"/>
      <c r="L151" s="1009"/>
      <c r="M151" s="1009"/>
      <c r="N151" s="1009"/>
    </row>
    <row r="152" spans="1:14" ht="33.75" outlineLevel="2" x14ac:dyDescent="0.2">
      <c r="A152" s="994">
        <v>7</v>
      </c>
      <c r="B152" s="995" t="s">
        <v>440</v>
      </c>
      <c r="C152" s="996" t="s">
        <v>1234</v>
      </c>
      <c r="D152" s="997" t="s">
        <v>1235</v>
      </c>
      <c r="E152" s="995" t="s">
        <v>444</v>
      </c>
      <c r="F152" s="998">
        <v>2</v>
      </c>
      <c r="G152" s="999"/>
      <c r="H152" s="1000">
        <f>F152*(1+G152/100)</f>
        <v>2</v>
      </c>
      <c r="I152" s="1035"/>
      <c r="J152" s="1001">
        <f>H152*I152</f>
        <v>0</v>
      </c>
      <c r="K152" s="1002"/>
      <c r="L152" s="1003"/>
      <c r="M152" s="1002"/>
      <c r="N152" s="1003">
        <f>H152*M152</f>
        <v>0</v>
      </c>
    </row>
    <row r="153" spans="1:14" s="1014" customFormat="1" outlineLevel="3" x14ac:dyDescent="0.2">
      <c r="A153" s="1005"/>
      <c r="B153" s="1006"/>
      <c r="C153" s="1006"/>
      <c r="D153" s="1007" t="s">
        <v>1225</v>
      </c>
      <c r="E153" s="1006"/>
      <c r="F153" s="1008">
        <v>2</v>
      </c>
      <c r="G153" s="1009"/>
      <c r="H153" s="1010"/>
      <c r="I153" s="1011"/>
      <c r="J153" s="1012"/>
      <c r="K153" s="1013"/>
      <c r="L153" s="1009"/>
      <c r="M153" s="1009"/>
      <c r="N153" s="1009"/>
    </row>
    <row r="154" spans="1:14" ht="33.75" outlineLevel="2" x14ac:dyDescent="0.2">
      <c r="A154" s="994">
        <v>8</v>
      </c>
      <c r="B154" s="995" t="s">
        <v>440</v>
      </c>
      <c r="C154" s="996" t="s">
        <v>1236</v>
      </c>
      <c r="D154" s="997" t="s">
        <v>1237</v>
      </c>
      <c r="E154" s="995" t="s">
        <v>444</v>
      </c>
      <c r="F154" s="998">
        <v>2</v>
      </c>
      <c r="G154" s="999"/>
      <c r="H154" s="1000">
        <f>F154*(1+G154/100)</f>
        <v>2</v>
      </c>
      <c r="I154" s="1035"/>
      <c r="J154" s="1001">
        <f>H154*I154</f>
        <v>0</v>
      </c>
      <c r="K154" s="1002"/>
      <c r="L154" s="1003"/>
      <c r="M154" s="1002"/>
      <c r="N154" s="1003">
        <f>H154*M154</f>
        <v>0</v>
      </c>
    </row>
    <row r="155" spans="1:14" s="1014" customFormat="1" outlineLevel="3" x14ac:dyDescent="0.2">
      <c r="A155" s="1005"/>
      <c r="B155" s="1006"/>
      <c r="C155" s="1006"/>
      <c r="D155" s="1007" t="s">
        <v>1225</v>
      </c>
      <c r="E155" s="1006"/>
      <c r="F155" s="1008">
        <v>2</v>
      </c>
      <c r="G155" s="1009"/>
      <c r="H155" s="1010"/>
      <c r="I155" s="1011"/>
      <c r="J155" s="1012"/>
      <c r="K155" s="1013"/>
      <c r="L155" s="1009"/>
      <c r="M155" s="1009"/>
      <c r="N155" s="1009"/>
    </row>
    <row r="156" spans="1:14" ht="33.75" outlineLevel="2" x14ac:dyDescent="0.2">
      <c r="A156" s="994">
        <v>9</v>
      </c>
      <c r="B156" s="995" t="s">
        <v>440</v>
      </c>
      <c r="C156" s="996" t="s">
        <v>1238</v>
      </c>
      <c r="D156" s="997" t="s">
        <v>1239</v>
      </c>
      <c r="E156" s="995" t="s">
        <v>444</v>
      </c>
      <c r="F156" s="998">
        <v>2</v>
      </c>
      <c r="G156" s="999"/>
      <c r="H156" s="1000">
        <f>F156*(1+G156/100)</f>
        <v>2</v>
      </c>
      <c r="I156" s="1035"/>
      <c r="J156" s="1001">
        <f>H156*I156</f>
        <v>0</v>
      </c>
      <c r="K156" s="1002"/>
      <c r="L156" s="1003"/>
      <c r="M156" s="1002"/>
      <c r="N156" s="1003">
        <f>H156*M156</f>
        <v>0</v>
      </c>
    </row>
    <row r="157" spans="1:14" s="1014" customFormat="1" outlineLevel="3" x14ac:dyDescent="0.2">
      <c r="A157" s="1005"/>
      <c r="B157" s="1006"/>
      <c r="C157" s="1006"/>
      <c r="D157" s="1007" t="s">
        <v>1225</v>
      </c>
      <c r="E157" s="1006"/>
      <c r="F157" s="1008">
        <v>2</v>
      </c>
      <c r="G157" s="1009"/>
      <c r="H157" s="1010"/>
      <c r="I157" s="1011"/>
      <c r="J157" s="1012"/>
      <c r="K157" s="1013"/>
      <c r="L157" s="1009"/>
      <c r="M157" s="1009"/>
      <c r="N157" s="1009"/>
    </row>
    <row r="158" spans="1:14" outlineLevel="2" x14ac:dyDescent="0.2">
      <c r="A158" s="994">
        <v>10</v>
      </c>
      <c r="B158" s="995" t="s">
        <v>440</v>
      </c>
      <c r="C158" s="996" t="s">
        <v>1240</v>
      </c>
      <c r="D158" s="997" t="s">
        <v>1241</v>
      </c>
      <c r="E158" s="995" t="s">
        <v>444</v>
      </c>
      <c r="F158" s="998">
        <v>6</v>
      </c>
      <c r="G158" s="999"/>
      <c r="H158" s="1000">
        <f>F158*(1+G158/100)</f>
        <v>6</v>
      </c>
      <c r="I158" s="1035"/>
      <c r="J158" s="1001">
        <f>H158*I158</f>
        <v>0</v>
      </c>
      <c r="K158" s="1002"/>
      <c r="L158" s="1003"/>
      <c r="M158" s="1002"/>
      <c r="N158" s="1003">
        <f>H158*M158</f>
        <v>0</v>
      </c>
    </row>
    <row r="159" spans="1:14" s="1014" customFormat="1" outlineLevel="3" x14ac:dyDescent="0.2">
      <c r="A159" s="1005"/>
      <c r="B159" s="1006"/>
      <c r="C159" s="1006"/>
      <c r="D159" s="1007" t="s">
        <v>1242</v>
      </c>
      <c r="E159" s="1006"/>
      <c r="F159" s="1008">
        <v>6</v>
      </c>
      <c r="G159" s="1009"/>
      <c r="H159" s="1010"/>
      <c r="I159" s="1011"/>
      <c r="J159" s="1012"/>
      <c r="K159" s="1013"/>
      <c r="L159" s="1009"/>
      <c r="M159" s="1009"/>
      <c r="N159" s="1009"/>
    </row>
    <row r="160" spans="1:14" outlineLevel="2" x14ac:dyDescent="0.2">
      <c r="A160" s="994">
        <v>11</v>
      </c>
      <c r="B160" s="995" t="s">
        <v>434</v>
      </c>
      <c r="C160" s="996" t="s">
        <v>1243</v>
      </c>
      <c r="D160" s="997" t="s">
        <v>1244</v>
      </c>
      <c r="E160" s="995" t="s">
        <v>444</v>
      </c>
      <c r="F160" s="998">
        <v>6</v>
      </c>
      <c r="G160" s="999"/>
      <c r="H160" s="1000">
        <f>F160*(1+G160/100)</f>
        <v>6</v>
      </c>
      <c r="I160" s="1035"/>
      <c r="J160" s="1001">
        <f>H160*I160</f>
        <v>0</v>
      </c>
      <c r="K160" s="1002"/>
      <c r="L160" s="1003"/>
      <c r="M160" s="1002"/>
      <c r="N160" s="1003">
        <f>H160*M160</f>
        <v>0</v>
      </c>
    </row>
    <row r="161" spans="1:14" s="1014" customFormat="1" outlineLevel="3" x14ac:dyDescent="0.2">
      <c r="A161" s="1005"/>
      <c r="B161" s="1006"/>
      <c r="C161" s="1006"/>
      <c r="D161" s="1007" t="s">
        <v>1245</v>
      </c>
      <c r="E161" s="1006"/>
      <c r="F161" s="1008">
        <v>6</v>
      </c>
      <c r="G161" s="1009"/>
      <c r="H161" s="1010"/>
      <c r="I161" s="1011"/>
      <c r="J161" s="1012"/>
      <c r="K161" s="1013"/>
      <c r="L161" s="1009"/>
      <c r="M161" s="1009"/>
      <c r="N161" s="1009"/>
    </row>
    <row r="162" spans="1:14" ht="33.75" outlineLevel="2" x14ac:dyDescent="0.2">
      <c r="A162" s="994">
        <v>12</v>
      </c>
      <c r="B162" s="995" t="s">
        <v>440</v>
      </c>
      <c r="C162" s="996" t="s">
        <v>1246</v>
      </c>
      <c r="D162" s="997" t="s">
        <v>1247</v>
      </c>
      <c r="E162" s="995" t="s">
        <v>444</v>
      </c>
      <c r="F162" s="998">
        <v>1</v>
      </c>
      <c r="G162" s="999"/>
      <c r="H162" s="1000">
        <f>F162*(1+G162/100)</f>
        <v>1</v>
      </c>
      <c r="I162" s="1035"/>
      <c r="J162" s="1001">
        <f>H162*I162</f>
        <v>0</v>
      </c>
      <c r="K162" s="1002"/>
      <c r="L162" s="1003"/>
      <c r="M162" s="1002"/>
      <c r="N162" s="1003">
        <f>H162*M162</f>
        <v>0</v>
      </c>
    </row>
    <row r="163" spans="1:14" s="1014" customFormat="1" outlineLevel="3" x14ac:dyDescent="0.2">
      <c r="A163" s="1005"/>
      <c r="B163" s="1006"/>
      <c r="C163" s="1006"/>
      <c r="D163" s="1007" t="s">
        <v>1222</v>
      </c>
      <c r="E163" s="1006"/>
      <c r="F163" s="1008">
        <v>1</v>
      </c>
      <c r="G163" s="1009"/>
      <c r="H163" s="1010"/>
      <c r="I163" s="1011"/>
      <c r="J163" s="1012"/>
      <c r="K163" s="1013"/>
      <c r="L163" s="1009"/>
      <c r="M163" s="1009"/>
      <c r="N163" s="1009"/>
    </row>
    <row r="164" spans="1:14" ht="33.75" outlineLevel="2" x14ac:dyDescent="0.2">
      <c r="A164" s="994">
        <v>13</v>
      </c>
      <c r="B164" s="995" t="s">
        <v>440</v>
      </c>
      <c r="C164" s="996" t="s">
        <v>1248</v>
      </c>
      <c r="D164" s="997" t="s">
        <v>1249</v>
      </c>
      <c r="E164" s="995" t="s">
        <v>444</v>
      </c>
      <c r="F164" s="998">
        <v>1</v>
      </c>
      <c r="G164" s="999"/>
      <c r="H164" s="1000">
        <f>F164*(1+G164/100)</f>
        <v>1</v>
      </c>
      <c r="I164" s="1035"/>
      <c r="J164" s="1001">
        <f>H164*I164</f>
        <v>0</v>
      </c>
      <c r="K164" s="1002"/>
      <c r="L164" s="1003"/>
      <c r="M164" s="1002"/>
      <c r="N164" s="1003">
        <f>H164*M164</f>
        <v>0</v>
      </c>
    </row>
    <row r="165" spans="1:14" s="1014" customFormat="1" outlineLevel="3" x14ac:dyDescent="0.2">
      <c r="A165" s="1005"/>
      <c r="B165" s="1006"/>
      <c r="C165" s="1006"/>
      <c r="D165" s="1007" t="s">
        <v>1222</v>
      </c>
      <c r="E165" s="1006"/>
      <c r="F165" s="1008">
        <v>1</v>
      </c>
      <c r="G165" s="1009"/>
      <c r="H165" s="1010"/>
      <c r="I165" s="1011"/>
      <c r="J165" s="1012"/>
      <c r="K165" s="1013"/>
      <c r="L165" s="1009"/>
      <c r="M165" s="1009"/>
      <c r="N165" s="1009"/>
    </row>
    <row r="166" spans="1:14" ht="33.75" outlineLevel="2" x14ac:dyDescent="0.2">
      <c r="A166" s="994">
        <v>14</v>
      </c>
      <c r="B166" s="995" t="s">
        <v>440</v>
      </c>
      <c r="C166" s="996" t="s">
        <v>1250</v>
      </c>
      <c r="D166" s="997" t="s">
        <v>1251</v>
      </c>
      <c r="E166" s="995" t="s">
        <v>444</v>
      </c>
      <c r="F166" s="998">
        <v>1</v>
      </c>
      <c r="G166" s="999"/>
      <c r="H166" s="1000">
        <f>F166*(1+G166/100)</f>
        <v>1</v>
      </c>
      <c r="I166" s="1035"/>
      <c r="J166" s="1001">
        <f>H166*I166</f>
        <v>0</v>
      </c>
      <c r="K166" s="1002"/>
      <c r="L166" s="1003"/>
      <c r="M166" s="1002"/>
      <c r="N166" s="1003">
        <f>H166*M166</f>
        <v>0</v>
      </c>
    </row>
    <row r="167" spans="1:14" s="1014" customFormat="1" outlineLevel="3" x14ac:dyDescent="0.2">
      <c r="A167" s="1005"/>
      <c r="B167" s="1006"/>
      <c r="C167" s="1006"/>
      <c r="D167" s="1007" t="s">
        <v>1222</v>
      </c>
      <c r="E167" s="1006"/>
      <c r="F167" s="1008">
        <v>1</v>
      </c>
      <c r="G167" s="1009"/>
      <c r="H167" s="1010"/>
      <c r="I167" s="1011"/>
      <c r="J167" s="1012"/>
      <c r="K167" s="1013"/>
      <c r="L167" s="1009"/>
      <c r="M167" s="1009"/>
      <c r="N167" s="1009"/>
    </row>
    <row r="168" spans="1:14" outlineLevel="2" x14ac:dyDescent="0.2">
      <c r="A168" s="994">
        <v>15</v>
      </c>
      <c r="B168" s="995" t="s">
        <v>440</v>
      </c>
      <c r="C168" s="996" t="s">
        <v>1217</v>
      </c>
      <c r="D168" s="997" t="s">
        <v>1252</v>
      </c>
      <c r="E168" s="995" t="s">
        <v>444</v>
      </c>
      <c r="F168" s="998">
        <v>1</v>
      </c>
      <c r="G168" s="999">
        <v>0</v>
      </c>
      <c r="H168" s="1000">
        <f>F168*(1+G168/100)</f>
        <v>1</v>
      </c>
      <c r="I168" s="1035"/>
      <c r="J168" s="1001">
        <f>H168*I168</f>
        <v>0</v>
      </c>
      <c r="K168" s="1002"/>
      <c r="L168" s="1003"/>
      <c r="M168" s="1002"/>
      <c r="N168" s="1003">
        <f>H168*M168</f>
        <v>0</v>
      </c>
    </row>
    <row r="169" spans="1:14" s="1014" customFormat="1" outlineLevel="3" x14ac:dyDescent="0.2">
      <c r="A169" s="1005"/>
      <c r="B169" s="1006"/>
      <c r="C169" s="1006"/>
      <c r="D169" s="1007" t="s">
        <v>1253</v>
      </c>
      <c r="E169" s="1006"/>
      <c r="F169" s="1008">
        <v>1</v>
      </c>
      <c r="G169" s="1009"/>
      <c r="H169" s="1010"/>
      <c r="I169" s="1011"/>
      <c r="J169" s="1012"/>
      <c r="K169" s="1013"/>
      <c r="L169" s="1009"/>
      <c r="M169" s="1009"/>
      <c r="N169" s="1009"/>
    </row>
    <row r="170" spans="1:14" ht="33.75" outlineLevel="2" x14ac:dyDescent="0.2">
      <c r="A170" s="994">
        <v>16</v>
      </c>
      <c r="B170" s="995" t="s">
        <v>440</v>
      </c>
      <c r="C170" s="996" t="s">
        <v>1254</v>
      </c>
      <c r="D170" s="997" t="s">
        <v>1255</v>
      </c>
      <c r="E170" s="995" t="s">
        <v>435</v>
      </c>
      <c r="F170" s="998">
        <v>57</v>
      </c>
      <c r="G170" s="999">
        <v>0</v>
      </c>
      <c r="H170" s="1000">
        <f>F170*(1+G170/100)</f>
        <v>57</v>
      </c>
      <c r="I170" s="1035"/>
      <c r="J170" s="1001">
        <f>H170*I170</f>
        <v>0</v>
      </c>
      <c r="K170" s="1002"/>
      <c r="L170" s="1003"/>
      <c r="M170" s="1002"/>
      <c r="N170" s="1003">
        <f>H170*M170</f>
        <v>0</v>
      </c>
    </row>
    <row r="171" spans="1:14" s="1014" customFormat="1" outlineLevel="3" x14ac:dyDescent="0.2">
      <c r="A171" s="1005"/>
      <c r="B171" s="1006"/>
      <c r="C171" s="1006"/>
      <c r="D171" s="1007" t="s">
        <v>1256</v>
      </c>
      <c r="E171" s="1006"/>
      <c r="F171" s="1008">
        <v>57</v>
      </c>
      <c r="G171" s="1009"/>
      <c r="H171" s="1010"/>
      <c r="I171" s="1011"/>
      <c r="J171" s="1012"/>
      <c r="K171" s="1013"/>
      <c r="L171" s="1009"/>
      <c r="M171" s="1009"/>
      <c r="N171" s="1009"/>
    </row>
    <row r="172" spans="1:14" outlineLevel="2" x14ac:dyDescent="0.2">
      <c r="A172" s="994">
        <v>17</v>
      </c>
      <c r="B172" s="995" t="s">
        <v>440</v>
      </c>
      <c r="C172" s="996" t="s">
        <v>846</v>
      </c>
      <c r="D172" s="997" t="s">
        <v>1257</v>
      </c>
      <c r="E172" s="995" t="s">
        <v>433</v>
      </c>
      <c r="F172" s="998">
        <v>1.08</v>
      </c>
      <c r="G172" s="999">
        <v>0</v>
      </c>
      <c r="H172" s="1000">
        <f>F172*(1+G172/100)</f>
        <v>1.08</v>
      </c>
      <c r="I172" s="1035"/>
      <c r="J172" s="1001">
        <f>H172*I172</f>
        <v>0</v>
      </c>
      <c r="K172" s="1002"/>
      <c r="L172" s="1003"/>
      <c r="M172" s="1002"/>
      <c r="N172" s="1003">
        <f>H172*M172</f>
        <v>0</v>
      </c>
    </row>
    <row r="173" spans="1:14" s="1024" customFormat="1" ht="12.75" customHeight="1" outlineLevel="2" x14ac:dyDescent="0.2">
      <c r="A173" s="1015"/>
      <c r="B173" s="1016"/>
      <c r="C173" s="1016"/>
      <c r="D173" s="1017"/>
      <c r="E173" s="1016"/>
      <c r="F173" s="1018"/>
      <c r="G173" s="1019"/>
      <c r="H173" s="1020"/>
      <c r="I173" s="1021"/>
      <c r="J173" s="1022"/>
      <c r="K173" s="1023"/>
      <c r="L173" s="1019"/>
      <c r="M173" s="1019"/>
      <c r="N173" s="1019"/>
    </row>
    <row r="174" spans="1:14" s="993" customFormat="1" ht="16.5" customHeight="1" outlineLevel="1" x14ac:dyDescent="0.2">
      <c r="A174" s="983"/>
      <c r="B174" s="984"/>
      <c r="C174" s="985"/>
      <c r="D174" s="985" t="s">
        <v>290</v>
      </c>
      <c r="E174" s="984"/>
      <c r="F174" s="986"/>
      <c r="G174" s="987"/>
      <c r="H174" s="988"/>
      <c r="I174" s="989"/>
      <c r="J174" s="990">
        <f>SUBTOTAL(9,J175:J184)</f>
        <v>0</v>
      </c>
      <c r="K174" s="991"/>
      <c r="L174" s="992"/>
      <c r="M174" s="987"/>
      <c r="N174" s="992">
        <f>SUBTOTAL(9,N175:N184)</f>
        <v>0.44256000000000001</v>
      </c>
    </row>
    <row r="175" spans="1:14" outlineLevel="2" x14ac:dyDescent="0.2">
      <c r="A175" s="994">
        <v>1</v>
      </c>
      <c r="B175" s="995" t="s">
        <v>440</v>
      </c>
      <c r="C175" s="996" t="s">
        <v>847</v>
      </c>
      <c r="D175" s="997" t="s">
        <v>848</v>
      </c>
      <c r="E175" s="995" t="s">
        <v>441</v>
      </c>
      <c r="F175" s="998">
        <v>110.64</v>
      </c>
      <c r="G175" s="999">
        <v>0</v>
      </c>
      <c r="H175" s="1000">
        <f>F175*(1+G175/100)</f>
        <v>110.64</v>
      </c>
      <c r="I175" s="1035"/>
      <c r="J175" s="1001">
        <f>H175*I175</f>
        <v>0</v>
      </c>
      <c r="K175" s="1002"/>
      <c r="L175" s="1003"/>
      <c r="M175" s="1002">
        <v>4.0000000000000001E-3</v>
      </c>
      <c r="N175" s="1003">
        <f>H175*M175</f>
        <v>0.44256000000000001</v>
      </c>
    </row>
    <row r="176" spans="1:14" s="1014" customFormat="1" outlineLevel="3" x14ac:dyDescent="0.2">
      <c r="A176" s="1005"/>
      <c r="B176" s="1006"/>
      <c r="C176" s="1006"/>
      <c r="D176" s="1007" t="s">
        <v>1258</v>
      </c>
      <c r="E176" s="1006"/>
      <c r="F176" s="1008">
        <v>110.64</v>
      </c>
      <c r="G176" s="1009"/>
      <c r="H176" s="1010"/>
      <c r="I176" s="1011"/>
      <c r="J176" s="1012"/>
      <c r="K176" s="1013"/>
      <c r="L176" s="1009"/>
      <c r="M176" s="1009"/>
      <c r="N176" s="1009"/>
    </row>
    <row r="177" spans="1:14" ht="22.5" outlineLevel="2" x14ac:dyDescent="0.2">
      <c r="A177" s="994">
        <v>2</v>
      </c>
      <c r="B177" s="995" t="s">
        <v>440</v>
      </c>
      <c r="C177" s="996" t="s">
        <v>1259</v>
      </c>
      <c r="D177" s="997" t="s">
        <v>1260</v>
      </c>
      <c r="E177" s="995" t="s">
        <v>444</v>
      </c>
      <c r="F177" s="998">
        <v>16</v>
      </c>
      <c r="G177" s="999"/>
      <c r="H177" s="1000">
        <f>F177*(1+G177/100)</f>
        <v>16</v>
      </c>
      <c r="I177" s="1035"/>
      <c r="J177" s="1001">
        <f>H177*I177</f>
        <v>0</v>
      </c>
      <c r="K177" s="1002"/>
      <c r="L177" s="1003"/>
      <c r="M177" s="1002"/>
      <c r="N177" s="1003">
        <f>H177*M177</f>
        <v>0</v>
      </c>
    </row>
    <row r="178" spans="1:14" s="1014" customFormat="1" outlineLevel="3" x14ac:dyDescent="0.2">
      <c r="A178" s="1005"/>
      <c r="B178" s="1006"/>
      <c r="C178" s="1006"/>
      <c r="D178" s="1007" t="s">
        <v>1261</v>
      </c>
      <c r="E178" s="1006"/>
      <c r="F178" s="1008">
        <v>16</v>
      </c>
      <c r="G178" s="1009"/>
      <c r="H178" s="1010"/>
      <c r="I178" s="1011"/>
      <c r="J178" s="1012"/>
      <c r="K178" s="1013"/>
      <c r="L178" s="1009"/>
      <c r="M178" s="1009"/>
      <c r="N178" s="1009"/>
    </row>
    <row r="179" spans="1:14" ht="22.5" outlineLevel="2" x14ac:dyDescent="0.2">
      <c r="A179" s="994">
        <v>3</v>
      </c>
      <c r="B179" s="995" t="s">
        <v>440</v>
      </c>
      <c r="C179" s="996" t="s">
        <v>1262</v>
      </c>
      <c r="D179" s="997" t="s">
        <v>1263</v>
      </c>
      <c r="E179" s="995" t="s">
        <v>444</v>
      </c>
      <c r="F179" s="998">
        <v>5</v>
      </c>
      <c r="G179" s="999"/>
      <c r="H179" s="1000">
        <f>F179*(1+G179/100)</f>
        <v>5</v>
      </c>
      <c r="I179" s="1035"/>
      <c r="J179" s="1001">
        <f>H179*I179</f>
        <v>0</v>
      </c>
      <c r="K179" s="1002"/>
      <c r="L179" s="1003"/>
      <c r="M179" s="1002"/>
      <c r="N179" s="1003">
        <f>H179*M179</f>
        <v>0</v>
      </c>
    </row>
    <row r="180" spans="1:14" s="1014" customFormat="1" outlineLevel="3" x14ac:dyDescent="0.2">
      <c r="A180" s="1005"/>
      <c r="B180" s="1006"/>
      <c r="C180" s="1006"/>
      <c r="D180" s="1007" t="s">
        <v>1264</v>
      </c>
      <c r="E180" s="1006"/>
      <c r="F180" s="1008">
        <v>5</v>
      </c>
      <c r="G180" s="1009"/>
      <c r="H180" s="1010"/>
      <c r="I180" s="1011"/>
      <c r="J180" s="1012"/>
      <c r="K180" s="1013"/>
      <c r="L180" s="1009"/>
      <c r="M180" s="1009"/>
      <c r="N180" s="1009"/>
    </row>
    <row r="181" spans="1:14" ht="22.5" outlineLevel="2" x14ac:dyDescent="0.2">
      <c r="A181" s="994">
        <v>4</v>
      </c>
      <c r="B181" s="995" t="s">
        <v>440</v>
      </c>
      <c r="C181" s="996" t="s">
        <v>1265</v>
      </c>
      <c r="D181" s="997" t="s">
        <v>1266</v>
      </c>
      <c r="E181" s="995" t="s">
        <v>444</v>
      </c>
      <c r="F181" s="998">
        <v>1</v>
      </c>
      <c r="G181" s="999"/>
      <c r="H181" s="1000">
        <f>F181*(1+G181/100)</f>
        <v>1</v>
      </c>
      <c r="I181" s="1035"/>
      <c r="J181" s="1001">
        <f>H181*I181</f>
        <v>0</v>
      </c>
      <c r="K181" s="1002"/>
      <c r="L181" s="1003"/>
      <c r="M181" s="1002"/>
      <c r="N181" s="1003">
        <f>H181*M181</f>
        <v>0</v>
      </c>
    </row>
    <row r="182" spans="1:14" s="1014" customFormat="1" outlineLevel="3" x14ac:dyDescent="0.2">
      <c r="A182" s="1005"/>
      <c r="B182" s="1006"/>
      <c r="C182" s="1006"/>
      <c r="D182" s="1007" t="s">
        <v>1267</v>
      </c>
      <c r="E182" s="1006"/>
      <c r="F182" s="1008">
        <v>1</v>
      </c>
      <c r="G182" s="1009"/>
      <c r="H182" s="1010"/>
      <c r="I182" s="1011"/>
      <c r="J182" s="1012"/>
      <c r="K182" s="1013"/>
      <c r="L182" s="1009"/>
      <c r="M182" s="1009"/>
      <c r="N182" s="1009"/>
    </row>
    <row r="183" spans="1:14" outlineLevel="2" x14ac:dyDescent="0.2">
      <c r="A183" s="994">
        <v>5</v>
      </c>
      <c r="B183" s="995" t="s">
        <v>440</v>
      </c>
      <c r="C183" s="996" t="s">
        <v>849</v>
      </c>
      <c r="D183" s="997" t="s">
        <v>1268</v>
      </c>
      <c r="E183" s="995" t="s">
        <v>433</v>
      </c>
      <c r="F183" s="998">
        <v>1.79</v>
      </c>
      <c r="G183" s="999">
        <v>0</v>
      </c>
      <c r="H183" s="1000">
        <f>F183*(1+G183/100)</f>
        <v>1.79</v>
      </c>
      <c r="I183" s="1035"/>
      <c r="J183" s="1001">
        <f>H183*I183</f>
        <v>0</v>
      </c>
      <c r="K183" s="1002"/>
      <c r="L183" s="1003"/>
      <c r="M183" s="1002"/>
      <c r="N183" s="1003">
        <f>H183*M183</f>
        <v>0</v>
      </c>
    </row>
    <row r="184" spans="1:14" s="1024" customFormat="1" ht="12.75" customHeight="1" outlineLevel="2" x14ac:dyDescent="0.2">
      <c r="A184" s="1015"/>
      <c r="B184" s="1016"/>
      <c r="C184" s="1016"/>
      <c r="D184" s="1017"/>
      <c r="E184" s="1016"/>
      <c r="F184" s="1018"/>
      <c r="G184" s="1019"/>
      <c r="H184" s="1020"/>
      <c r="I184" s="1021"/>
      <c r="J184" s="1022"/>
      <c r="K184" s="1023"/>
      <c r="L184" s="1019"/>
      <c r="M184" s="1019"/>
      <c r="N184" s="1019"/>
    </row>
    <row r="185" spans="1:14" s="993" customFormat="1" ht="16.5" customHeight="1" outlineLevel="1" x14ac:dyDescent="0.2">
      <c r="A185" s="983"/>
      <c r="B185" s="984"/>
      <c r="C185" s="985"/>
      <c r="D185" s="985" t="s">
        <v>47</v>
      </c>
      <c r="E185" s="984"/>
      <c r="F185" s="986"/>
      <c r="G185" s="987"/>
      <c r="H185" s="988"/>
      <c r="I185" s="989"/>
      <c r="J185" s="990">
        <f>SUBTOTAL(9,J186:J206)</f>
        <v>0</v>
      </c>
      <c r="K185" s="991"/>
      <c r="L185" s="992"/>
      <c r="M185" s="987"/>
      <c r="N185" s="992">
        <f>SUBTOTAL(9,N186:N206)</f>
        <v>1.8457882000000001</v>
      </c>
    </row>
    <row r="186" spans="1:14" ht="22.5" outlineLevel="2" x14ac:dyDescent="0.2">
      <c r="A186" s="994">
        <v>1</v>
      </c>
      <c r="B186" s="995" t="s">
        <v>440</v>
      </c>
      <c r="C186" s="996" t="s">
        <v>1269</v>
      </c>
      <c r="D186" s="997" t="s">
        <v>1270</v>
      </c>
      <c r="E186" s="995" t="s">
        <v>441</v>
      </c>
      <c r="F186" s="998">
        <v>67.81</v>
      </c>
      <c r="G186" s="999"/>
      <c r="H186" s="1000">
        <f>F186*(1+G186/100)</f>
        <v>67.81</v>
      </c>
      <c r="I186" s="1035"/>
      <c r="J186" s="1001">
        <f>H186*I186</f>
        <v>0</v>
      </c>
      <c r="K186" s="1002"/>
      <c r="L186" s="1003"/>
      <c r="M186" s="1002">
        <v>2.7220000000000001E-2</v>
      </c>
      <c r="N186" s="1003">
        <f>H186*M186</f>
        <v>1.8457882000000001</v>
      </c>
    </row>
    <row r="187" spans="1:14" s="1014" customFormat="1" outlineLevel="3" x14ac:dyDescent="0.2">
      <c r="A187" s="1005"/>
      <c r="B187" s="1006"/>
      <c r="C187" s="1006"/>
      <c r="D187" s="1007" t="s">
        <v>1271</v>
      </c>
      <c r="E187" s="1006"/>
      <c r="F187" s="1008">
        <v>67.81</v>
      </c>
      <c r="G187" s="1009"/>
      <c r="H187" s="1010"/>
      <c r="I187" s="1011"/>
      <c r="J187" s="1012"/>
      <c r="K187" s="1013"/>
      <c r="L187" s="1009"/>
      <c r="M187" s="1009"/>
      <c r="N187" s="1009"/>
    </row>
    <row r="188" spans="1:14" outlineLevel="2" x14ac:dyDescent="0.2">
      <c r="A188" s="994">
        <v>2</v>
      </c>
      <c r="B188" s="995" t="s">
        <v>440</v>
      </c>
      <c r="C188" s="996" t="s">
        <v>1272</v>
      </c>
      <c r="D188" s="997" t="s">
        <v>1273</v>
      </c>
      <c r="E188" s="995" t="s">
        <v>435</v>
      </c>
      <c r="F188" s="998">
        <v>5.6</v>
      </c>
      <c r="G188" s="999"/>
      <c r="H188" s="1000">
        <f>F188*(1+G188/100)</f>
        <v>5.6</v>
      </c>
      <c r="I188" s="1035"/>
      <c r="J188" s="1001">
        <f>H188*I188</f>
        <v>0</v>
      </c>
      <c r="K188" s="1002"/>
      <c r="L188" s="1003"/>
      <c r="M188" s="1002"/>
      <c r="N188" s="1003">
        <f>H188*M188</f>
        <v>0</v>
      </c>
    </row>
    <row r="189" spans="1:14" s="1014" customFormat="1" outlineLevel="3" x14ac:dyDescent="0.2">
      <c r="A189" s="1005"/>
      <c r="B189" s="1006"/>
      <c r="C189" s="1006"/>
      <c r="D189" s="1007" t="s">
        <v>1274</v>
      </c>
      <c r="E189" s="1006"/>
      <c r="F189" s="1008">
        <v>5.6</v>
      </c>
      <c r="G189" s="1009"/>
      <c r="H189" s="1010"/>
      <c r="I189" s="1011"/>
      <c r="J189" s="1012"/>
      <c r="K189" s="1013"/>
      <c r="L189" s="1009"/>
      <c r="M189" s="1009"/>
      <c r="N189" s="1009"/>
    </row>
    <row r="190" spans="1:14" outlineLevel="2" x14ac:dyDescent="0.2">
      <c r="A190" s="994">
        <v>3</v>
      </c>
      <c r="B190" s="995" t="s">
        <v>440</v>
      </c>
      <c r="C190" s="996" t="s">
        <v>1275</v>
      </c>
      <c r="D190" s="997" t="s">
        <v>1276</v>
      </c>
      <c r="E190" s="995" t="s">
        <v>441</v>
      </c>
      <c r="F190" s="998">
        <v>15.450000000000003</v>
      </c>
      <c r="G190" s="999"/>
      <c r="H190" s="1000">
        <f>F190*(1+G190/100)</f>
        <v>15.450000000000003</v>
      </c>
      <c r="I190" s="1035"/>
      <c r="J190" s="1001">
        <f>H190*I190</f>
        <v>0</v>
      </c>
      <c r="K190" s="1002"/>
      <c r="L190" s="1003"/>
      <c r="M190" s="1002"/>
      <c r="N190" s="1003">
        <f>H190*M190</f>
        <v>0</v>
      </c>
    </row>
    <row r="191" spans="1:14" s="1014" customFormat="1" outlineLevel="3" x14ac:dyDescent="0.2">
      <c r="A191" s="1005"/>
      <c r="B191" s="1006"/>
      <c r="C191" s="1006"/>
      <c r="D191" s="1007" t="s">
        <v>1277</v>
      </c>
      <c r="E191" s="1006"/>
      <c r="F191" s="1008">
        <v>15.450000000000003</v>
      </c>
      <c r="G191" s="1009"/>
      <c r="H191" s="1010"/>
      <c r="I191" s="1011"/>
      <c r="J191" s="1012"/>
      <c r="K191" s="1013"/>
      <c r="L191" s="1009"/>
      <c r="M191" s="1009"/>
      <c r="N191" s="1009"/>
    </row>
    <row r="192" spans="1:14" ht="22.5" outlineLevel="2" x14ac:dyDescent="0.2">
      <c r="A192" s="994">
        <v>4</v>
      </c>
      <c r="B192" s="995" t="s">
        <v>440</v>
      </c>
      <c r="C192" s="996" t="s">
        <v>1278</v>
      </c>
      <c r="D192" s="997" t="s">
        <v>1279</v>
      </c>
      <c r="E192" s="995" t="s">
        <v>441</v>
      </c>
      <c r="F192" s="998">
        <v>29.58</v>
      </c>
      <c r="G192" s="999"/>
      <c r="H192" s="1000">
        <f>F192*(1+G192/100)</f>
        <v>29.58</v>
      </c>
      <c r="I192" s="1035"/>
      <c r="J192" s="1001">
        <f>H192*I192</f>
        <v>0</v>
      </c>
      <c r="K192" s="1002"/>
      <c r="L192" s="1003"/>
      <c r="M192" s="1002"/>
      <c r="N192" s="1003">
        <f>H192*M192</f>
        <v>0</v>
      </c>
    </row>
    <row r="193" spans="1:14" s="1014" customFormat="1" outlineLevel="3" x14ac:dyDescent="0.2">
      <c r="A193" s="1005"/>
      <c r="B193" s="1006"/>
      <c r="C193" s="1006"/>
      <c r="D193" s="1007" t="s">
        <v>1162</v>
      </c>
      <c r="E193" s="1006"/>
      <c r="F193" s="1008">
        <v>29.58</v>
      </c>
      <c r="G193" s="1009"/>
      <c r="H193" s="1010"/>
      <c r="I193" s="1011"/>
      <c r="J193" s="1012"/>
      <c r="K193" s="1013"/>
      <c r="L193" s="1009"/>
      <c r="M193" s="1009"/>
      <c r="N193" s="1009"/>
    </row>
    <row r="194" spans="1:14" ht="22.5" outlineLevel="2" x14ac:dyDescent="0.2">
      <c r="A194" s="994">
        <v>5</v>
      </c>
      <c r="B194" s="995" t="s">
        <v>434</v>
      </c>
      <c r="C194" s="996" t="s">
        <v>1280</v>
      </c>
      <c r="D194" s="997" t="s">
        <v>1281</v>
      </c>
      <c r="E194" s="995" t="s">
        <v>441</v>
      </c>
      <c r="F194" s="998">
        <v>47.413600000000002</v>
      </c>
      <c r="G194" s="999"/>
      <c r="H194" s="1000">
        <f>F194*(1+G194/100)</f>
        <v>47.413600000000002</v>
      </c>
      <c r="I194" s="1035"/>
      <c r="J194" s="1001">
        <f>H194*I194</f>
        <v>0</v>
      </c>
      <c r="K194" s="1002"/>
      <c r="L194" s="1003"/>
      <c r="M194" s="1002"/>
      <c r="N194" s="1003">
        <f>H194*M194</f>
        <v>0</v>
      </c>
    </row>
    <row r="195" spans="1:14" s="1014" customFormat="1" outlineLevel="3" x14ac:dyDescent="0.2">
      <c r="A195" s="1005"/>
      <c r="B195" s="1006"/>
      <c r="C195" s="1006"/>
      <c r="D195" s="1007" t="s">
        <v>1282</v>
      </c>
      <c r="E195" s="1006"/>
      <c r="F195" s="1008">
        <v>46.831200000000003</v>
      </c>
      <c r="G195" s="1009"/>
      <c r="H195" s="1010"/>
      <c r="I195" s="1011"/>
      <c r="J195" s="1012"/>
      <c r="K195" s="1013"/>
      <c r="L195" s="1009"/>
      <c r="M195" s="1009"/>
      <c r="N195" s="1009"/>
    </row>
    <row r="196" spans="1:14" s="1014" customFormat="1" outlineLevel="3" x14ac:dyDescent="0.2">
      <c r="A196" s="1005"/>
      <c r="B196" s="1006"/>
      <c r="C196" s="1006"/>
      <c r="D196" s="1007" t="s">
        <v>1283</v>
      </c>
      <c r="E196" s="1006"/>
      <c r="F196" s="1008">
        <v>0.58239999999999992</v>
      </c>
      <c r="G196" s="1009"/>
      <c r="H196" s="1010"/>
      <c r="I196" s="1011"/>
      <c r="J196" s="1012"/>
      <c r="K196" s="1013"/>
      <c r="L196" s="1009"/>
      <c r="M196" s="1009"/>
      <c r="N196" s="1009"/>
    </row>
    <row r="197" spans="1:14" outlineLevel="2" x14ac:dyDescent="0.2">
      <c r="A197" s="994">
        <v>6</v>
      </c>
      <c r="B197" s="995" t="s">
        <v>440</v>
      </c>
      <c r="C197" s="996" t="s">
        <v>1284</v>
      </c>
      <c r="D197" s="997" t="s">
        <v>1285</v>
      </c>
      <c r="E197" s="995" t="s">
        <v>441</v>
      </c>
      <c r="F197" s="998">
        <v>26.85</v>
      </c>
      <c r="G197" s="999">
        <v>0</v>
      </c>
      <c r="H197" s="1000">
        <f>F197*(1+G197/100)</f>
        <v>26.85</v>
      </c>
      <c r="I197" s="1035"/>
      <c r="J197" s="1001">
        <f>H197*I197</f>
        <v>0</v>
      </c>
      <c r="K197" s="1002"/>
      <c r="L197" s="1003"/>
      <c r="M197" s="1002"/>
      <c r="N197" s="1003">
        <f>H197*M197</f>
        <v>0</v>
      </c>
    </row>
    <row r="198" spans="1:14" s="1014" customFormat="1" outlineLevel="3" x14ac:dyDescent="0.2">
      <c r="A198" s="1005"/>
      <c r="B198" s="1006"/>
      <c r="C198" s="1006"/>
      <c r="D198" s="1007" t="s">
        <v>1286</v>
      </c>
      <c r="E198" s="1006"/>
      <c r="F198" s="1008">
        <v>26.85</v>
      </c>
      <c r="G198" s="1009"/>
      <c r="H198" s="1010"/>
      <c r="I198" s="1011"/>
      <c r="J198" s="1012"/>
      <c r="K198" s="1013"/>
      <c r="L198" s="1009"/>
      <c r="M198" s="1009"/>
      <c r="N198" s="1009"/>
    </row>
    <row r="199" spans="1:14" outlineLevel="2" x14ac:dyDescent="0.2">
      <c r="A199" s="994">
        <v>7</v>
      </c>
      <c r="B199" s="995" t="s">
        <v>440</v>
      </c>
      <c r="C199" s="996" t="s">
        <v>1287</v>
      </c>
      <c r="D199" s="997" t="s">
        <v>1288</v>
      </c>
      <c r="E199" s="995" t="s">
        <v>444</v>
      </c>
      <c r="F199" s="998">
        <v>13</v>
      </c>
      <c r="G199" s="999"/>
      <c r="H199" s="1000">
        <f>F199*(1+G199/100)</f>
        <v>13</v>
      </c>
      <c r="I199" s="1035"/>
      <c r="J199" s="1001">
        <f>H199*I199</f>
        <v>0</v>
      </c>
      <c r="K199" s="1002"/>
      <c r="L199" s="1003"/>
      <c r="M199" s="1002"/>
      <c r="N199" s="1003">
        <f>H199*M199</f>
        <v>0</v>
      </c>
    </row>
    <row r="200" spans="1:14" s="1014" customFormat="1" outlineLevel="3" x14ac:dyDescent="0.2">
      <c r="A200" s="1005"/>
      <c r="B200" s="1006"/>
      <c r="C200" s="1006"/>
      <c r="D200" s="1007" t="s">
        <v>1289</v>
      </c>
      <c r="E200" s="1006"/>
      <c r="F200" s="1008">
        <v>13</v>
      </c>
      <c r="G200" s="1009"/>
      <c r="H200" s="1010"/>
      <c r="I200" s="1011"/>
      <c r="J200" s="1012"/>
      <c r="K200" s="1013"/>
      <c r="L200" s="1009"/>
      <c r="M200" s="1009"/>
      <c r="N200" s="1009"/>
    </row>
    <row r="201" spans="1:14" ht="22.5" outlineLevel="2" x14ac:dyDescent="0.2">
      <c r="A201" s="994">
        <v>8</v>
      </c>
      <c r="B201" s="995" t="s">
        <v>434</v>
      </c>
      <c r="C201" s="996" t="s">
        <v>1290</v>
      </c>
      <c r="D201" s="997" t="s">
        <v>1291</v>
      </c>
      <c r="E201" s="995" t="s">
        <v>275</v>
      </c>
      <c r="F201" s="998">
        <v>13</v>
      </c>
      <c r="G201" s="999"/>
      <c r="H201" s="1000">
        <f>F201*(1+G201/100)</f>
        <v>13</v>
      </c>
      <c r="I201" s="1035"/>
      <c r="J201" s="1001">
        <f>H201*I201</f>
        <v>0</v>
      </c>
      <c r="K201" s="1002"/>
      <c r="L201" s="1003"/>
      <c r="M201" s="1002"/>
      <c r="N201" s="1003">
        <f>H201*M201</f>
        <v>0</v>
      </c>
    </row>
    <row r="202" spans="1:14" s="1014" customFormat="1" outlineLevel="3" x14ac:dyDescent="0.2">
      <c r="A202" s="1005"/>
      <c r="B202" s="1006"/>
      <c r="C202" s="1006"/>
      <c r="D202" s="1007" t="s">
        <v>1289</v>
      </c>
      <c r="E202" s="1006"/>
      <c r="F202" s="1008">
        <v>13</v>
      </c>
      <c r="G202" s="1009"/>
      <c r="H202" s="1010"/>
      <c r="I202" s="1011"/>
      <c r="J202" s="1012"/>
      <c r="K202" s="1013"/>
      <c r="L202" s="1009"/>
      <c r="M202" s="1009"/>
      <c r="N202" s="1009"/>
    </row>
    <row r="203" spans="1:14" outlineLevel="2" x14ac:dyDescent="0.2">
      <c r="A203" s="994">
        <v>9</v>
      </c>
      <c r="B203" s="995" t="s">
        <v>440</v>
      </c>
      <c r="C203" s="996" t="s">
        <v>1292</v>
      </c>
      <c r="D203" s="997" t="s">
        <v>1293</v>
      </c>
      <c r="E203" s="995" t="s">
        <v>1294</v>
      </c>
      <c r="F203" s="998">
        <v>23.549999999999997</v>
      </c>
      <c r="G203" s="999">
        <v>0</v>
      </c>
      <c r="H203" s="1000">
        <f>F203*(1+G203/100)</f>
        <v>23.549999999999997</v>
      </c>
      <c r="I203" s="1035"/>
      <c r="J203" s="1001">
        <f>H203*I203</f>
        <v>0</v>
      </c>
      <c r="K203" s="1002"/>
      <c r="L203" s="1003"/>
      <c r="M203" s="1002"/>
      <c r="N203" s="1003">
        <f>H203*M203</f>
        <v>0</v>
      </c>
    </row>
    <row r="204" spans="1:14" s="1014" customFormat="1" outlineLevel="3" x14ac:dyDescent="0.2">
      <c r="A204" s="1005"/>
      <c r="B204" s="1006"/>
      <c r="C204" s="1006"/>
      <c r="D204" s="1007" t="s">
        <v>1295</v>
      </c>
      <c r="E204" s="1006"/>
      <c r="F204" s="1008">
        <v>23.549999999999997</v>
      </c>
      <c r="G204" s="1009"/>
      <c r="H204" s="1010"/>
      <c r="I204" s="1011"/>
      <c r="J204" s="1012"/>
      <c r="K204" s="1013"/>
      <c r="L204" s="1009"/>
      <c r="M204" s="1009"/>
      <c r="N204" s="1009"/>
    </row>
    <row r="205" spans="1:14" outlineLevel="2" x14ac:dyDescent="0.2">
      <c r="A205" s="994">
        <v>10</v>
      </c>
      <c r="B205" s="995" t="s">
        <v>440</v>
      </c>
      <c r="C205" s="996" t="s">
        <v>850</v>
      </c>
      <c r="D205" s="997" t="s">
        <v>1296</v>
      </c>
      <c r="E205" s="995" t="s">
        <v>433</v>
      </c>
      <c r="F205" s="998">
        <v>6.58</v>
      </c>
      <c r="G205" s="999">
        <v>0</v>
      </c>
      <c r="H205" s="1000">
        <f>F205*(1+G205/100)</f>
        <v>6.58</v>
      </c>
      <c r="I205" s="1035"/>
      <c r="J205" s="1001">
        <f>H205*I205</f>
        <v>0</v>
      </c>
      <c r="K205" s="1002"/>
      <c r="L205" s="1003"/>
      <c r="M205" s="1002"/>
      <c r="N205" s="1003">
        <f>H205*M205</f>
        <v>0</v>
      </c>
    </row>
    <row r="206" spans="1:14" s="1024" customFormat="1" ht="12.75" customHeight="1" outlineLevel="2" x14ac:dyDescent="0.2">
      <c r="A206" s="1015"/>
      <c r="B206" s="1016"/>
      <c r="C206" s="1016"/>
      <c r="D206" s="1017"/>
      <c r="E206" s="1016"/>
      <c r="F206" s="1018"/>
      <c r="G206" s="1019"/>
      <c r="H206" s="1020"/>
      <c r="I206" s="1021"/>
      <c r="J206" s="1022"/>
      <c r="K206" s="1023"/>
      <c r="L206" s="1019"/>
      <c r="M206" s="1019"/>
      <c r="N206" s="1019"/>
    </row>
    <row r="207" spans="1:14" s="993" customFormat="1" ht="16.5" customHeight="1" outlineLevel="1" x14ac:dyDescent="0.2">
      <c r="A207" s="983"/>
      <c r="B207" s="984"/>
      <c r="C207" s="985"/>
      <c r="D207" s="985" t="s">
        <v>851</v>
      </c>
      <c r="E207" s="984"/>
      <c r="F207" s="986"/>
      <c r="G207" s="987"/>
      <c r="H207" s="988"/>
      <c r="I207" s="989"/>
      <c r="J207" s="990">
        <f>SUBTOTAL(9,J208:J217)</f>
        <v>0</v>
      </c>
      <c r="K207" s="991"/>
      <c r="L207" s="992"/>
      <c r="M207" s="987"/>
      <c r="N207" s="992">
        <f>SUBTOTAL(9,N208:N217)</f>
        <v>1.4573192000000001</v>
      </c>
    </row>
    <row r="208" spans="1:14" outlineLevel="2" x14ac:dyDescent="0.2">
      <c r="A208" s="994">
        <v>1</v>
      </c>
      <c r="B208" s="995" t="s">
        <v>440</v>
      </c>
      <c r="C208" s="996" t="s">
        <v>1297</v>
      </c>
      <c r="D208" s="997" t="s">
        <v>1298</v>
      </c>
      <c r="E208" s="995" t="s">
        <v>441</v>
      </c>
      <c r="F208" s="998">
        <v>519.80000000000007</v>
      </c>
      <c r="G208" s="999"/>
      <c r="H208" s="1000">
        <f>F208*(1+G208/100)</f>
        <v>519.80000000000007</v>
      </c>
      <c r="I208" s="1035"/>
      <c r="J208" s="1001">
        <f>H208*I208</f>
        <v>0</v>
      </c>
      <c r="K208" s="1002"/>
      <c r="L208" s="1003"/>
      <c r="M208" s="1002">
        <v>2.5000000000000001E-3</v>
      </c>
      <c r="N208" s="1003">
        <f>H208*M208</f>
        <v>1.2995000000000001</v>
      </c>
    </row>
    <row r="209" spans="1:14" s="1014" customFormat="1" outlineLevel="3" x14ac:dyDescent="0.2">
      <c r="A209" s="1005"/>
      <c r="B209" s="1006"/>
      <c r="C209" s="1006"/>
      <c r="D209" s="1007" t="s">
        <v>1299</v>
      </c>
      <c r="E209" s="1006"/>
      <c r="F209" s="1008">
        <v>519.80000000000007</v>
      </c>
      <c r="G209" s="1009"/>
      <c r="H209" s="1010"/>
      <c r="I209" s="1011"/>
      <c r="J209" s="1012"/>
      <c r="K209" s="1013"/>
      <c r="L209" s="1009"/>
      <c r="M209" s="1009"/>
      <c r="N209" s="1009"/>
    </row>
    <row r="210" spans="1:14" outlineLevel="2" x14ac:dyDescent="0.2">
      <c r="A210" s="994">
        <v>2</v>
      </c>
      <c r="B210" s="995" t="s">
        <v>440</v>
      </c>
      <c r="C210" s="996" t="s">
        <v>1300</v>
      </c>
      <c r="D210" s="997" t="s">
        <v>1301</v>
      </c>
      <c r="E210" s="995" t="s">
        <v>441</v>
      </c>
      <c r="F210" s="998">
        <v>519.80000000000007</v>
      </c>
      <c r="G210" s="999"/>
      <c r="H210" s="1000">
        <f>F210*(1+G210/100)</f>
        <v>519.80000000000007</v>
      </c>
      <c r="I210" s="1035"/>
      <c r="J210" s="1001">
        <f>H210*I210</f>
        <v>0</v>
      </c>
      <c r="K210" s="1002"/>
      <c r="L210" s="1003"/>
      <c r="M210" s="1002"/>
      <c r="N210" s="1003">
        <f>H210*M210</f>
        <v>0</v>
      </c>
    </row>
    <row r="211" spans="1:14" s="1014" customFormat="1" outlineLevel="3" x14ac:dyDescent="0.2">
      <c r="A211" s="1005"/>
      <c r="B211" s="1006"/>
      <c r="C211" s="1006"/>
      <c r="D211" s="1007" t="s">
        <v>1299</v>
      </c>
      <c r="E211" s="1006"/>
      <c r="F211" s="1008">
        <v>519.80000000000007</v>
      </c>
      <c r="G211" s="1009"/>
      <c r="H211" s="1010"/>
      <c r="I211" s="1011"/>
      <c r="J211" s="1012"/>
      <c r="K211" s="1013"/>
      <c r="L211" s="1009"/>
      <c r="M211" s="1009"/>
      <c r="N211" s="1009"/>
    </row>
    <row r="212" spans="1:14" outlineLevel="2" x14ac:dyDescent="0.2">
      <c r="A212" s="994">
        <v>3</v>
      </c>
      <c r="B212" s="995" t="s">
        <v>440</v>
      </c>
      <c r="C212" s="996" t="s">
        <v>1302</v>
      </c>
      <c r="D212" s="997" t="s">
        <v>1303</v>
      </c>
      <c r="E212" s="995" t="s">
        <v>435</v>
      </c>
      <c r="F212" s="998">
        <v>526.06399999999996</v>
      </c>
      <c r="G212" s="999"/>
      <c r="H212" s="1000">
        <f>F212*(1+G212/100)</f>
        <v>526.06399999999996</v>
      </c>
      <c r="I212" s="1035"/>
      <c r="J212" s="1001">
        <f>H212*I212</f>
        <v>0</v>
      </c>
      <c r="K212" s="1002"/>
      <c r="L212" s="1003"/>
      <c r="M212" s="1002">
        <v>2.9999999999999997E-4</v>
      </c>
      <c r="N212" s="1003">
        <f>H212*M212</f>
        <v>0.15781919999999997</v>
      </c>
    </row>
    <row r="213" spans="1:14" s="1014" customFormat="1" outlineLevel="3" x14ac:dyDescent="0.2">
      <c r="A213" s="1005"/>
      <c r="B213" s="1006"/>
      <c r="C213" s="1006"/>
      <c r="D213" s="1007" t="s">
        <v>1304</v>
      </c>
      <c r="E213" s="1006"/>
      <c r="F213" s="1008">
        <v>526.06399999999996</v>
      </c>
      <c r="G213" s="1009"/>
      <c r="H213" s="1010"/>
      <c r="I213" s="1011"/>
      <c r="J213" s="1012"/>
      <c r="K213" s="1013"/>
      <c r="L213" s="1009"/>
      <c r="M213" s="1009"/>
      <c r="N213" s="1009"/>
    </row>
    <row r="214" spans="1:14" outlineLevel="2" x14ac:dyDescent="0.2">
      <c r="A214" s="994">
        <v>4</v>
      </c>
      <c r="B214" s="995" t="s">
        <v>440</v>
      </c>
      <c r="C214" s="996" t="s">
        <v>1305</v>
      </c>
      <c r="D214" s="997" t="s">
        <v>1306</v>
      </c>
      <c r="E214" s="995" t="s">
        <v>441</v>
      </c>
      <c r="F214" s="998">
        <v>542.58000000000004</v>
      </c>
      <c r="G214" s="999"/>
      <c r="H214" s="1000">
        <f>F214*(1+G214/100)</f>
        <v>542.58000000000004</v>
      </c>
      <c r="I214" s="1035"/>
      <c r="J214" s="1001">
        <f>H214*I214</f>
        <v>0</v>
      </c>
      <c r="K214" s="1002"/>
      <c r="L214" s="1003"/>
      <c r="M214" s="1002"/>
      <c r="N214" s="1003">
        <f>H214*M214</f>
        <v>0</v>
      </c>
    </row>
    <row r="215" spans="1:14" s="1014" customFormat="1" outlineLevel="3" x14ac:dyDescent="0.2">
      <c r="A215" s="1005"/>
      <c r="B215" s="1006"/>
      <c r="C215" s="1006"/>
      <c r="D215" s="1007" t="s">
        <v>1307</v>
      </c>
      <c r="E215" s="1006"/>
      <c r="F215" s="1008">
        <v>542.58000000000004</v>
      </c>
      <c r="G215" s="1009"/>
      <c r="H215" s="1010"/>
      <c r="I215" s="1011"/>
      <c r="J215" s="1012"/>
      <c r="K215" s="1013"/>
      <c r="L215" s="1009"/>
      <c r="M215" s="1009"/>
      <c r="N215" s="1009"/>
    </row>
    <row r="216" spans="1:14" outlineLevel="2" x14ac:dyDescent="0.2">
      <c r="A216" s="994">
        <v>5</v>
      </c>
      <c r="B216" s="995" t="s">
        <v>440</v>
      </c>
      <c r="C216" s="996" t="s">
        <v>852</v>
      </c>
      <c r="D216" s="997" t="s">
        <v>1308</v>
      </c>
      <c r="E216" s="995" t="s">
        <v>433</v>
      </c>
      <c r="F216" s="998">
        <v>0.38</v>
      </c>
      <c r="G216" s="999">
        <v>0</v>
      </c>
      <c r="H216" s="1000">
        <f>F216*(1+G216/100)</f>
        <v>0.38</v>
      </c>
      <c r="I216" s="1035"/>
      <c r="J216" s="1001">
        <f>H216*I216</f>
        <v>0</v>
      </c>
      <c r="K216" s="1002"/>
      <c r="L216" s="1003"/>
      <c r="M216" s="1002"/>
      <c r="N216" s="1003">
        <f>H216*M216</f>
        <v>0</v>
      </c>
    </row>
    <row r="217" spans="1:14" s="1024" customFormat="1" ht="12.75" customHeight="1" outlineLevel="2" x14ac:dyDescent="0.2">
      <c r="A217" s="1015"/>
      <c r="B217" s="1016"/>
      <c r="C217" s="1016"/>
      <c r="D217" s="1017"/>
      <c r="E217" s="1016"/>
      <c r="F217" s="1018"/>
      <c r="G217" s="1019"/>
      <c r="H217" s="1020"/>
      <c r="I217" s="1021"/>
      <c r="J217" s="1022"/>
      <c r="K217" s="1023"/>
      <c r="L217" s="1019"/>
      <c r="M217" s="1019"/>
      <c r="N217" s="1019"/>
    </row>
    <row r="218" spans="1:14" s="993" customFormat="1" ht="16.5" customHeight="1" outlineLevel="1" x14ac:dyDescent="0.2">
      <c r="A218" s="983"/>
      <c r="B218" s="984"/>
      <c r="C218" s="985"/>
      <c r="D218" s="985" t="s">
        <v>1309</v>
      </c>
      <c r="E218" s="984"/>
      <c r="F218" s="986"/>
      <c r="G218" s="987"/>
      <c r="H218" s="988"/>
      <c r="I218" s="989"/>
      <c r="J218" s="990">
        <f>SUBTOTAL(9,J219:J228)</f>
        <v>0</v>
      </c>
      <c r="K218" s="991"/>
      <c r="L218" s="992"/>
      <c r="M218" s="987"/>
      <c r="N218" s="992">
        <f>SUBTOTAL(9,N219:N228)</f>
        <v>0</v>
      </c>
    </row>
    <row r="219" spans="1:14" outlineLevel="2" x14ac:dyDescent="0.2">
      <c r="A219" s="994">
        <v>1</v>
      </c>
      <c r="B219" s="995" t="s">
        <v>440</v>
      </c>
      <c r="C219" s="996" t="s">
        <v>1310</v>
      </c>
      <c r="D219" s="997" t="s">
        <v>1311</v>
      </c>
      <c r="E219" s="995" t="s">
        <v>441</v>
      </c>
      <c r="F219" s="998">
        <v>587.61</v>
      </c>
      <c r="G219" s="999"/>
      <c r="H219" s="1000">
        <f>F219*(1+G219/100)</f>
        <v>587.61</v>
      </c>
      <c r="I219" s="1035"/>
      <c r="J219" s="1001">
        <f>H219*I219</f>
        <v>0</v>
      </c>
      <c r="K219" s="1002"/>
      <c r="L219" s="1003"/>
      <c r="M219" s="1002"/>
      <c r="N219" s="1003">
        <f>H219*M219</f>
        <v>0</v>
      </c>
    </row>
    <row r="220" spans="1:14" s="1014" customFormat="1" outlineLevel="3" x14ac:dyDescent="0.2">
      <c r="A220" s="1005"/>
      <c r="B220" s="1006"/>
      <c r="C220" s="1006"/>
      <c r="D220" s="1007" t="s">
        <v>1312</v>
      </c>
      <c r="E220" s="1006"/>
      <c r="F220" s="1008">
        <v>519.80000000000007</v>
      </c>
      <c r="G220" s="1009"/>
      <c r="H220" s="1010"/>
      <c r="I220" s="1011"/>
      <c r="J220" s="1012"/>
      <c r="K220" s="1013"/>
      <c r="L220" s="1009"/>
      <c r="M220" s="1009"/>
      <c r="N220" s="1009"/>
    </row>
    <row r="221" spans="1:14" s="1014" customFormat="1" outlineLevel="3" x14ac:dyDescent="0.2">
      <c r="A221" s="1005"/>
      <c r="B221" s="1006"/>
      <c r="C221" s="1006"/>
      <c r="D221" s="1007" t="s">
        <v>1313</v>
      </c>
      <c r="E221" s="1006"/>
      <c r="F221" s="1008">
        <v>45.03</v>
      </c>
      <c r="G221" s="1009"/>
      <c r="H221" s="1010"/>
      <c r="I221" s="1011"/>
      <c r="J221" s="1012"/>
      <c r="K221" s="1013"/>
      <c r="L221" s="1009"/>
      <c r="M221" s="1009"/>
      <c r="N221" s="1009"/>
    </row>
    <row r="222" spans="1:14" s="1014" customFormat="1" outlineLevel="3" x14ac:dyDescent="0.2">
      <c r="A222" s="1005"/>
      <c r="B222" s="1006"/>
      <c r="C222" s="1006"/>
      <c r="D222" s="1007" t="s">
        <v>1314</v>
      </c>
      <c r="E222" s="1006"/>
      <c r="F222" s="1008">
        <v>22.78</v>
      </c>
      <c r="G222" s="1009"/>
      <c r="H222" s="1010"/>
      <c r="I222" s="1011"/>
      <c r="J222" s="1012"/>
      <c r="K222" s="1013"/>
      <c r="L222" s="1009"/>
      <c r="M222" s="1009"/>
      <c r="N222" s="1009"/>
    </row>
    <row r="223" spans="1:14" outlineLevel="2" x14ac:dyDescent="0.2">
      <c r="A223" s="994">
        <v>2</v>
      </c>
      <c r="B223" s="995" t="s">
        <v>440</v>
      </c>
      <c r="C223" s="996" t="s">
        <v>1315</v>
      </c>
      <c r="D223" s="997" t="s">
        <v>1316</v>
      </c>
      <c r="E223" s="995" t="s">
        <v>441</v>
      </c>
      <c r="F223" s="998">
        <v>519.80000000000007</v>
      </c>
      <c r="G223" s="999"/>
      <c r="H223" s="1000">
        <f>F223*(1+G223/100)</f>
        <v>519.80000000000007</v>
      </c>
      <c r="I223" s="1035"/>
      <c r="J223" s="1001">
        <f>H223*I223</f>
        <v>0</v>
      </c>
      <c r="K223" s="1002"/>
      <c r="L223" s="1003"/>
      <c r="M223" s="1002"/>
      <c r="N223" s="1003">
        <f>H223*M223</f>
        <v>0</v>
      </c>
    </row>
    <row r="224" spans="1:14" s="1014" customFormat="1" outlineLevel="3" x14ac:dyDescent="0.2">
      <c r="A224" s="1005"/>
      <c r="B224" s="1006"/>
      <c r="C224" s="1006"/>
      <c r="D224" s="1007" t="s">
        <v>1312</v>
      </c>
      <c r="E224" s="1006"/>
      <c r="F224" s="1008">
        <v>519.80000000000007</v>
      </c>
      <c r="G224" s="1009"/>
      <c r="H224" s="1010"/>
      <c r="I224" s="1011"/>
      <c r="J224" s="1012"/>
      <c r="K224" s="1013"/>
      <c r="L224" s="1009"/>
      <c r="M224" s="1009"/>
      <c r="N224" s="1009"/>
    </row>
    <row r="225" spans="1:14" outlineLevel="2" x14ac:dyDescent="0.2">
      <c r="A225" s="994">
        <v>3</v>
      </c>
      <c r="B225" s="995" t="s">
        <v>440</v>
      </c>
      <c r="C225" s="996" t="s">
        <v>1317</v>
      </c>
      <c r="D225" s="997" t="s">
        <v>1318</v>
      </c>
      <c r="E225" s="995" t="s">
        <v>441</v>
      </c>
      <c r="F225" s="998">
        <v>22.78</v>
      </c>
      <c r="G225" s="999">
        <v>0</v>
      </c>
      <c r="H225" s="1000">
        <f>F225*(1+G225/100)</f>
        <v>22.78</v>
      </c>
      <c r="I225" s="1035"/>
      <c r="J225" s="1001">
        <f>H225*I225</f>
        <v>0</v>
      </c>
      <c r="K225" s="1002"/>
      <c r="L225" s="1003"/>
      <c r="M225" s="1002"/>
      <c r="N225" s="1003">
        <f>H225*M225</f>
        <v>0</v>
      </c>
    </row>
    <row r="226" spans="1:14" s="1014" customFormat="1" outlineLevel="3" x14ac:dyDescent="0.2">
      <c r="A226" s="1005"/>
      <c r="B226" s="1006"/>
      <c r="C226" s="1006"/>
      <c r="D226" s="1007" t="s">
        <v>1314</v>
      </c>
      <c r="E226" s="1006"/>
      <c r="F226" s="1008">
        <v>22.78</v>
      </c>
      <c r="G226" s="1009"/>
      <c r="H226" s="1010"/>
      <c r="I226" s="1011"/>
      <c r="J226" s="1012"/>
      <c r="K226" s="1013"/>
      <c r="L226" s="1009"/>
      <c r="M226" s="1009"/>
      <c r="N226" s="1009"/>
    </row>
    <row r="227" spans="1:14" outlineLevel="2" x14ac:dyDescent="0.2">
      <c r="A227" s="994">
        <v>4</v>
      </c>
      <c r="B227" s="995" t="s">
        <v>440</v>
      </c>
      <c r="C227" s="996" t="s">
        <v>1319</v>
      </c>
      <c r="D227" s="997" t="s">
        <v>1320</v>
      </c>
      <c r="E227" s="995" t="s">
        <v>433</v>
      </c>
      <c r="F227" s="998">
        <v>0.8</v>
      </c>
      <c r="G227" s="999">
        <v>0</v>
      </c>
      <c r="H227" s="1000">
        <f>F227*(1+G227/100)</f>
        <v>0.8</v>
      </c>
      <c r="I227" s="1035"/>
      <c r="J227" s="1001">
        <f>H227*I227</f>
        <v>0</v>
      </c>
      <c r="K227" s="1002"/>
      <c r="L227" s="1003"/>
      <c r="M227" s="1002"/>
      <c r="N227" s="1003">
        <f>H227*M227</f>
        <v>0</v>
      </c>
    </row>
    <row r="228" spans="1:14" s="1024" customFormat="1" ht="12.75" customHeight="1" outlineLevel="2" x14ac:dyDescent="0.2">
      <c r="A228" s="1015"/>
      <c r="B228" s="1016"/>
      <c r="C228" s="1016"/>
      <c r="D228" s="1017"/>
      <c r="E228" s="1016"/>
      <c r="F228" s="1018"/>
      <c r="G228" s="1019"/>
      <c r="H228" s="1020"/>
      <c r="I228" s="1021"/>
      <c r="J228" s="1022"/>
      <c r="K228" s="1023"/>
      <c r="L228" s="1019"/>
      <c r="M228" s="1019"/>
      <c r="N228" s="1019"/>
    </row>
    <row r="229" spans="1:14" s="993" customFormat="1" ht="16.5" customHeight="1" outlineLevel="1" x14ac:dyDescent="0.2">
      <c r="A229" s="983"/>
      <c r="B229" s="984"/>
      <c r="C229" s="985"/>
      <c r="D229" s="985" t="s">
        <v>354</v>
      </c>
      <c r="E229" s="984"/>
      <c r="F229" s="986"/>
      <c r="G229" s="987"/>
      <c r="H229" s="988"/>
      <c r="I229" s="989"/>
      <c r="J229" s="990">
        <f>SUBTOTAL(9,J230:J239)</f>
        <v>0</v>
      </c>
      <c r="K229" s="991"/>
      <c r="L229" s="992"/>
      <c r="M229" s="987"/>
      <c r="N229" s="992">
        <f>SUBTOTAL(9,N230:N239)</f>
        <v>0</v>
      </c>
    </row>
    <row r="230" spans="1:14" ht="22.5" outlineLevel="2" x14ac:dyDescent="0.2">
      <c r="A230" s="994">
        <v>1</v>
      </c>
      <c r="B230" s="995" t="s">
        <v>440</v>
      </c>
      <c r="C230" s="996" t="s">
        <v>1321</v>
      </c>
      <c r="D230" s="997" t="s">
        <v>1322</v>
      </c>
      <c r="E230" s="995" t="s">
        <v>441</v>
      </c>
      <c r="F230" s="998">
        <v>184.43</v>
      </c>
      <c r="G230" s="999"/>
      <c r="H230" s="1000">
        <f>F230*(1+G230/100)</f>
        <v>184.43</v>
      </c>
      <c r="I230" s="1035"/>
      <c r="J230" s="1001">
        <f>H230*I230</f>
        <v>0</v>
      </c>
      <c r="K230" s="1002"/>
      <c r="L230" s="1003"/>
      <c r="M230" s="1002"/>
      <c r="N230" s="1003">
        <f>H230*M230</f>
        <v>0</v>
      </c>
    </row>
    <row r="231" spans="1:14" s="1014" customFormat="1" ht="22.5" outlineLevel="3" x14ac:dyDescent="0.2">
      <c r="A231" s="1005"/>
      <c r="B231" s="1006"/>
      <c r="C231" s="1006"/>
      <c r="D231" s="1007" t="s">
        <v>1084</v>
      </c>
      <c r="E231" s="1006"/>
      <c r="F231" s="1008">
        <v>222.86</v>
      </c>
      <c r="G231" s="1009"/>
      <c r="H231" s="1010"/>
      <c r="I231" s="1011"/>
      <c r="J231" s="1012"/>
      <c r="K231" s="1013"/>
      <c r="L231" s="1009"/>
      <c r="M231" s="1009"/>
      <c r="N231" s="1009"/>
    </row>
    <row r="232" spans="1:14" s="1014" customFormat="1" ht="22.5" outlineLevel="3" x14ac:dyDescent="0.2">
      <c r="A232" s="1005"/>
      <c r="B232" s="1006"/>
      <c r="C232" s="1006"/>
      <c r="D232" s="1007" t="s">
        <v>1323</v>
      </c>
      <c r="E232" s="1006"/>
      <c r="F232" s="1008">
        <v>-38.43</v>
      </c>
      <c r="G232" s="1009"/>
      <c r="H232" s="1010"/>
      <c r="I232" s="1011"/>
      <c r="J232" s="1012"/>
      <c r="K232" s="1013"/>
      <c r="L232" s="1009"/>
      <c r="M232" s="1009"/>
      <c r="N232" s="1009"/>
    </row>
    <row r="233" spans="1:14" ht="22.5" outlineLevel="2" x14ac:dyDescent="0.2">
      <c r="A233" s="994">
        <v>2</v>
      </c>
      <c r="B233" s="995" t="s">
        <v>440</v>
      </c>
      <c r="C233" s="996" t="s">
        <v>1324</v>
      </c>
      <c r="D233" s="997" t="s">
        <v>1325</v>
      </c>
      <c r="E233" s="995" t="s">
        <v>441</v>
      </c>
      <c r="F233" s="998">
        <v>38.43</v>
      </c>
      <c r="G233" s="999"/>
      <c r="H233" s="1000">
        <f>F233*(1+G233/100)</f>
        <v>38.43</v>
      </c>
      <c r="I233" s="1035"/>
      <c r="J233" s="1001">
        <f>H233*I233</f>
        <v>0</v>
      </c>
      <c r="K233" s="1002"/>
      <c r="L233" s="1003"/>
      <c r="M233" s="1002"/>
      <c r="N233" s="1003">
        <f>H233*M233</f>
        <v>0</v>
      </c>
    </row>
    <row r="234" spans="1:14" s="1014" customFormat="1" outlineLevel="3" x14ac:dyDescent="0.2">
      <c r="A234" s="1005"/>
      <c r="B234" s="1006"/>
      <c r="C234" s="1006"/>
      <c r="D234" s="1007" t="s">
        <v>1165</v>
      </c>
      <c r="E234" s="1006"/>
      <c r="F234" s="1008">
        <v>38.43</v>
      </c>
      <c r="G234" s="1009"/>
      <c r="H234" s="1010"/>
      <c r="I234" s="1011"/>
      <c r="J234" s="1012"/>
      <c r="K234" s="1013"/>
      <c r="L234" s="1009"/>
      <c r="M234" s="1009"/>
      <c r="N234" s="1009"/>
    </row>
    <row r="235" spans="1:14" outlineLevel="2" x14ac:dyDescent="0.2">
      <c r="A235" s="994">
        <v>3</v>
      </c>
      <c r="B235" s="995" t="s">
        <v>434</v>
      </c>
      <c r="C235" s="996" t="s">
        <v>1326</v>
      </c>
      <c r="D235" s="997" t="s">
        <v>1327</v>
      </c>
      <c r="E235" s="995" t="s">
        <v>441</v>
      </c>
      <c r="F235" s="998">
        <v>231.77440000000001</v>
      </c>
      <c r="G235" s="999"/>
      <c r="H235" s="1000">
        <f>F235*(1+G235/100)</f>
        <v>231.77440000000001</v>
      </c>
      <c r="I235" s="1035"/>
      <c r="J235" s="1001">
        <f>H235*I235</f>
        <v>0</v>
      </c>
      <c r="K235" s="1002"/>
      <c r="L235" s="1003"/>
      <c r="M235" s="1002"/>
      <c r="N235" s="1003">
        <f>H235*M235</f>
        <v>0</v>
      </c>
    </row>
    <row r="236" spans="1:14" s="1014" customFormat="1" ht="22.5" outlineLevel="3" x14ac:dyDescent="0.2">
      <c r="A236" s="1005"/>
      <c r="B236" s="1006"/>
      <c r="C236" s="1006"/>
      <c r="D236" s="1007" t="s">
        <v>1328</v>
      </c>
      <c r="E236" s="1006"/>
      <c r="F236" s="1008">
        <v>231.77440000000001</v>
      </c>
      <c r="G236" s="1009"/>
      <c r="H236" s="1010"/>
      <c r="I236" s="1011"/>
      <c r="J236" s="1012"/>
      <c r="K236" s="1013"/>
      <c r="L236" s="1009"/>
      <c r="M236" s="1009"/>
      <c r="N236" s="1009"/>
    </row>
    <row r="237" spans="1:14" ht="22.5" outlineLevel="2" x14ac:dyDescent="0.2">
      <c r="A237" s="994">
        <v>4</v>
      </c>
      <c r="B237" s="995" t="s">
        <v>440</v>
      </c>
      <c r="C237" s="996" t="s">
        <v>1329</v>
      </c>
      <c r="D237" s="997" t="s">
        <v>1330</v>
      </c>
      <c r="E237" s="995" t="s">
        <v>446</v>
      </c>
      <c r="F237" s="998">
        <v>1</v>
      </c>
      <c r="G237" s="999"/>
      <c r="H237" s="1000">
        <f>F237*(1+G237/100)</f>
        <v>1</v>
      </c>
      <c r="I237" s="1035"/>
      <c r="J237" s="1001">
        <f>H237*I237</f>
        <v>0</v>
      </c>
      <c r="K237" s="1002"/>
      <c r="L237" s="1003"/>
      <c r="M237" s="1002"/>
      <c r="N237" s="1003">
        <f>H237*M237</f>
        <v>0</v>
      </c>
    </row>
    <row r="238" spans="1:14" outlineLevel="2" x14ac:dyDescent="0.2">
      <c r="A238" s="994">
        <v>5</v>
      </c>
      <c r="B238" s="995" t="s">
        <v>440</v>
      </c>
      <c r="C238" s="996" t="s">
        <v>853</v>
      </c>
      <c r="D238" s="997" t="s">
        <v>1331</v>
      </c>
      <c r="E238" s="995" t="s">
        <v>433</v>
      </c>
      <c r="F238" s="998">
        <v>3.37</v>
      </c>
      <c r="G238" s="999">
        <v>0</v>
      </c>
      <c r="H238" s="1000">
        <f>F238*(1+G238/100)</f>
        <v>3.37</v>
      </c>
      <c r="I238" s="1035"/>
      <c r="J238" s="1001">
        <f>H238*I238</f>
        <v>0</v>
      </c>
      <c r="K238" s="1002"/>
      <c r="L238" s="1003"/>
      <c r="M238" s="1002"/>
      <c r="N238" s="1003">
        <f>H238*M238</f>
        <v>0</v>
      </c>
    </row>
    <row r="239" spans="1:14" s="1024" customFormat="1" ht="12.75" customHeight="1" outlineLevel="2" x14ac:dyDescent="0.2">
      <c r="A239" s="1015"/>
      <c r="B239" s="1016"/>
      <c r="C239" s="1016"/>
      <c r="D239" s="1017"/>
      <c r="E239" s="1016"/>
      <c r="F239" s="1018"/>
      <c r="G239" s="1019"/>
      <c r="H239" s="1020"/>
      <c r="I239" s="1021"/>
      <c r="J239" s="1022"/>
      <c r="K239" s="1023"/>
      <c r="L239" s="1019"/>
      <c r="M239" s="1019"/>
      <c r="N239" s="1019"/>
    </row>
    <row r="240" spans="1:14" s="993" customFormat="1" ht="16.5" customHeight="1" outlineLevel="1" x14ac:dyDescent="0.2">
      <c r="A240" s="983"/>
      <c r="B240" s="984"/>
      <c r="C240" s="985"/>
      <c r="D240" s="985" t="s">
        <v>291</v>
      </c>
      <c r="E240" s="984"/>
      <c r="F240" s="986"/>
      <c r="G240" s="987"/>
      <c r="H240" s="988"/>
      <c r="I240" s="989"/>
      <c r="J240" s="990">
        <f>SUBTOTAL(9,J241:J247)</f>
        <v>0</v>
      </c>
      <c r="K240" s="991"/>
      <c r="L240" s="992"/>
      <c r="M240" s="987"/>
      <c r="N240" s="992">
        <f>SUBTOTAL(9,N241:N247)</f>
        <v>0</v>
      </c>
    </row>
    <row r="241" spans="1:14" outlineLevel="2" x14ac:dyDescent="0.2">
      <c r="A241" s="994">
        <v>1</v>
      </c>
      <c r="B241" s="995" t="s">
        <v>440</v>
      </c>
      <c r="C241" s="996" t="s">
        <v>1332</v>
      </c>
      <c r="D241" s="997" t="s">
        <v>1333</v>
      </c>
      <c r="E241" s="995" t="s">
        <v>441</v>
      </c>
      <c r="F241" s="998">
        <v>1045.6400000000001</v>
      </c>
      <c r="G241" s="999"/>
      <c r="H241" s="1000">
        <f>F241*(1+G241/100)</f>
        <v>1045.6400000000001</v>
      </c>
      <c r="I241" s="1035"/>
      <c r="J241" s="1001">
        <f>H241*I241</f>
        <v>0</v>
      </c>
      <c r="K241" s="1002"/>
      <c r="L241" s="1003"/>
      <c r="M241" s="1002"/>
      <c r="N241" s="1003">
        <f>H241*M241</f>
        <v>0</v>
      </c>
    </row>
    <row r="242" spans="1:14" s="1014" customFormat="1" ht="22.5" outlineLevel="3" x14ac:dyDescent="0.2">
      <c r="A242" s="1005"/>
      <c r="B242" s="1006"/>
      <c r="C242" s="1006"/>
      <c r="D242" s="1007" t="s">
        <v>1334</v>
      </c>
      <c r="E242" s="1006"/>
      <c r="F242" s="1008">
        <v>1045.6400000000001</v>
      </c>
      <c r="G242" s="1009"/>
      <c r="H242" s="1010"/>
      <c r="I242" s="1011"/>
      <c r="J242" s="1012"/>
      <c r="K242" s="1013"/>
      <c r="L242" s="1009"/>
      <c r="M242" s="1009"/>
      <c r="N242" s="1009"/>
    </row>
    <row r="243" spans="1:14" ht="22.5" outlineLevel="2" x14ac:dyDescent="0.2">
      <c r="A243" s="994">
        <v>2</v>
      </c>
      <c r="B243" s="995" t="s">
        <v>440</v>
      </c>
      <c r="C243" s="996" t="s">
        <v>1335</v>
      </c>
      <c r="D243" s="997" t="s">
        <v>1336</v>
      </c>
      <c r="E243" s="995" t="s">
        <v>441</v>
      </c>
      <c r="F243" s="998">
        <v>1045.6400000000001</v>
      </c>
      <c r="G243" s="999"/>
      <c r="H243" s="1000">
        <f>F243*(1+G243/100)</f>
        <v>1045.6400000000001</v>
      </c>
      <c r="I243" s="1035"/>
      <c r="J243" s="1001">
        <f>H243*I243</f>
        <v>0</v>
      </c>
      <c r="K243" s="1002"/>
      <c r="L243" s="1003"/>
      <c r="M243" s="1002"/>
      <c r="N243" s="1003">
        <f>H243*M243</f>
        <v>0</v>
      </c>
    </row>
    <row r="244" spans="1:14" s="1014" customFormat="1" ht="22.5" outlineLevel="3" x14ac:dyDescent="0.2">
      <c r="A244" s="1005"/>
      <c r="B244" s="1006"/>
      <c r="C244" s="1006"/>
      <c r="D244" s="1007" t="s">
        <v>1334</v>
      </c>
      <c r="E244" s="1006"/>
      <c r="F244" s="1008">
        <v>1045.6400000000001</v>
      </c>
      <c r="G244" s="1009"/>
      <c r="H244" s="1010"/>
      <c r="I244" s="1011"/>
      <c r="J244" s="1012"/>
      <c r="K244" s="1013"/>
      <c r="L244" s="1009"/>
      <c r="M244" s="1009"/>
      <c r="N244" s="1009"/>
    </row>
    <row r="245" spans="1:14" outlineLevel="2" x14ac:dyDescent="0.2">
      <c r="A245" s="994">
        <v>3</v>
      </c>
      <c r="B245" s="995" t="s">
        <v>440</v>
      </c>
      <c r="C245" s="996" t="s">
        <v>1337</v>
      </c>
      <c r="D245" s="997" t="s">
        <v>1338</v>
      </c>
      <c r="E245" s="995" t="s">
        <v>441</v>
      </c>
      <c r="F245" s="998">
        <v>728.94</v>
      </c>
      <c r="G245" s="999"/>
      <c r="H245" s="1000">
        <f>F245*(1+G245/100)</f>
        <v>728.94</v>
      </c>
      <c r="I245" s="1035"/>
      <c r="J245" s="1001">
        <f>H245*I245</f>
        <v>0</v>
      </c>
      <c r="K245" s="1002"/>
      <c r="L245" s="1003"/>
      <c r="M245" s="1002"/>
      <c r="N245" s="1003">
        <f>H245*M245</f>
        <v>0</v>
      </c>
    </row>
    <row r="246" spans="1:14" s="1014" customFormat="1" outlineLevel="3" x14ac:dyDescent="0.2">
      <c r="A246" s="1005"/>
      <c r="B246" s="1006"/>
      <c r="C246" s="1006"/>
      <c r="D246" s="1007" t="s">
        <v>1339</v>
      </c>
      <c r="E246" s="1006"/>
      <c r="F246" s="1008">
        <v>728.94</v>
      </c>
      <c r="G246" s="1009"/>
      <c r="H246" s="1010"/>
      <c r="I246" s="1011"/>
      <c r="J246" s="1012"/>
      <c r="K246" s="1013"/>
      <c r="L246" s="1009"/>
      <c r="M246" s="1009"/>
      <c r="N246" s="1009"/>
    </row>
    <row r="247" spans="1:14" s="1024" customFormat="1" ht="12.75" customHeight="1" outlineLevel="2" x14ac:dyDescent="0.2">
      <c r="A247" s="1015"/>
      <c r="B247" s="1016"/>
      <c r="C247" s="1016"/>
      <c r="D247" s="1017"/>
      <c r="E247" s="1016"/>
      <c r="F247" s="1018"/>
      <c r="G247" s="1019"/>
      <c r="H247" s="1020"/>
      <c r="I247" s="1021"/>
      <c r="J247" s="1022"/>
      <c r="K247" s="1023"/>
      <c r="L247" s="1019"/>
      <c r="M247" s="1019"/>
      <c r="N247" s="1019"/>
    </row>
    <row r="248" spans="1:14" s="1024" customFormat="1" ht="12.75" customHeight="1" outlineLevel="2" x14ac:dyDescent="0.2">
      <c r="A248" s="1015"/>
      <c r="B248" s="1016"/>
      <c r="C248" s="1016"/>
      <c r="D248" s="1017"/>
      <c r="E248" s="1016"/>
      <c r="F248" s="1018"/>
      <c r="G248" s="1019"/>
      <c r="H248" s="1020"/>
      <c r="I248" s="1021"/>
      <c r="J248" s="1022"/>
      <c r="K248" s="1023"/>
      <c r="L248" s="1019"/>
      <c r="M248" s="1019"/>
      <c r="N248" s="1019"/>
    </row>
    <row r="249" spans="1:14" s="1024" customFormat="1" ht="12.75" customHeight="1" outlineLevel="1" x14ac:dyDescent="0.2">
      <c r="A249" s="1015"/>
      <c r="B249" s="1016"/>
      <c r="C249" s="1016"/>
      <c r="D249" s="1017"/>
      <c r="E249" s="1016"/>
      <c r="F249" s="1018"/>
      <c r="G249" s="1019"/>
      <c r="H249" s="1020"/>
      <c r="I249" s="1021"/>
      <c r="J249" s="1022"/>
      <c r="K249" s="1023"/>
      <c r="L249" s="1019"/>
      <c r="M249" s="1019"/>
      <c r="N249" s="1019"/>
    </row>
    <row r="250" spans="1:14" s="1024" customFormat="1" ht="12.75" customHeight="1" x14ac:dyDescent="0.2">
      <c r="A250" s="1015"/>
      <c r="B250" s="1016"/>
      <c r="C250" s="1016"/>
      <c r="D250" s="1017"/>
      <c r="E250" s="1016"/>
      <c r="F250" s="1018"/>
      <c r="G250" s="1019"/>
      <c r="H250" s="1020"/>
      <c r="I250" s="1021"/>
      <c r="J250" s="1022"/>
      <c r="K250" s="1023"/>
      <c r="L250" s="1019"/>
      <c r="M250" s="1019"/>
      <c r="N250" s="1019"/>
    </row>
  </sheetData>
  <autoFilter ref="A4:N247"/>
  <customSheetViews>
    <customSheetView guid="{30B10D60-758F-4E0B-9F03-5879C6CAFDF6}" scale="115" showPageBreaks="1" printArea="1" showAutoFilter="1" hiddenColumns="1" view="pageBreakPreview">
      <pane ySplit="3" topLeftCell="A4" activePane="bottomLeft" state="frozen"/>
      <selection pane="bottomLeft" activeCell="M16" sqref="M16"/>
      <pageMargins left="0.39370078740157483" right="0.39370078740157483" top="0.82677165354330717" bottom="0.59055118110236227" header="0.39370078740157483" footer="0.19685039370078741"/>
      <pageSetup paperSize="9" scale="90" fitToHeight="9999" orientation="landscape" r:id="rId1"/>
      <headerFooter alignWithMargins="0">
        <oddFooter>&amp;L&amp;8&amp;F     &amp;A&amp;R&amp;8&amp;D
&amp;P z &amp;N</oddFooter>
      </headerFooter>
      <autoFilter ref="A4:N247"/>
    </customSheetView>
  </customSheetViews>
  <mergeCells count="3">
    <mergeCell ref="I3:J3"/>
    <mergeCell ref="K3:L3"/>
    <mergeCell ref="M3:N3"/>
  </mergeCells>
  <pageMargins left="0.39370078740157483" right="0.39370078740157483" top="0.82677165354330717" bottom="0.59055118110236227" header="0.39370078740157483" footer="0.19685039370078741"/>
  <pageSetup paperSize="9" scale="90" fitToHeight="9999" orientation="landscape" r:id="rId2"/>
  <headerFooter alignWithMargins="0">
    <oddFooter>&amp;L&amp;8&amp;F     &amp;A&amp;R&amp;8&amp;D
&amp;P z &amp;N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outlinePr summaryRight="0"/>
    <pageSetUpPr fitToPage="1"/>
  </sheetPr>
  <dimension ref="A1:AT59"/>
  <sheetViews>
    <sheetView view="pageBreakPreview" zoomScaleNormal="100" zoomScaleSheetLayoutView="100" workbookViewId="0">
      <pane xSplit="5" ySplit="8" topLeftCell="F9" activePane="bottomRight" state="frozen"/>
      <selection activeCell="M16" sqref="M16"/>
      <selection pane="topRight" activeCell="M16" sqref="M16"/>
      <selection pane="bottomLeft" activeCell="M16" sqref="M16"/>
      <selection pane="bottomRight" activeCell="K32" sqref="K32"/>
    </sheetView>
  </sheetViews>
  <sheetFormatPr defaultRowHeight="12.75" outlineLevelCol="1" x14ac:dyDescent="0.2"/>
  <cols>
    <col min="1" max="1" width="6.42578125" style="1093" customWidth="1"/>
    <col min="2" max="2" width="15.85546875" style="1093" customWidth="1"/>
    <col min="3" max="3" width="9.140625" style="1093"/>
    <col min="4" max="4" width="7.140625" style="1093" customWidth="1"/>
    <col min="5" max="6" width="9.140625" style="1093"/>
    <col min="7" max="7" width="12.85546875" style="1093" customWidth="1"/>
    <col min="8" max="8" width="3.7109375" style="1093" customWidth="1" outlineLevel="1"/>
    <col min="9" max="13" width="9.140625" style="1093" customWidth="1" outlineLevel="1"/>
    <col min="14" max="14" width="1.7109375" style="1093" customWidth="1"/>
    <col min="15" max="15" width="9.140625" style="1093"/>
    <col min="16" max="16" width="5.5703125" style="1093" customWidth="1" outlineLevel="1"/>
    <col min="17" max="18" width="6.7109375" style="1093" customWidth="1" outlineLevel="1"/>
    <col min="19" max="19" width="7.28515625" style="1093" customWidth="1" outlineLevel="1"/>
    <col min="20" max="25" width="6.7109375" style="1093" customWidth="1" outlineLevel="1"/>
    <col min="26" max="26" width="6.5703125" style="1093" bestFit="1" customWidth="1" outlineLevel="1"/>
    <col min="27" max="27" width="9.140625" style="1094" customWidth="1" outlineLevel="1"/>
    <col min="28" max="28" width="9.140625" style="1093" customWidth="1" outlineLevel="1"/>
    <col min="29" max="29" width="8.140625" style="1093" bestFit="1" customWidth="1" outlineLevel="1"/>
    <col min="30" max="30" width="9.140625" style="1094" customWidth="1" outlineLevel="1"/>
    <col min="31" max="31" width="8" style="1094" customWidth="1" outlineLevel="1"/>
    <col min="32" max="32" width="6.85546875" style="1094" customWidth="1" outlineLevel="1"/>
    <col min="33" max="33" width="7.140625" style="1093" customWidth="1" outlineLevel="1"/>
    <col min="34" max="34" width="2.42578125" style="1093" customWidth="1"/>
    <col min="35" max="35" width="12.85546875" style="1093" customWidth="1"/>
    <col min="36" max="36" width="9.140625" style="1093" customWidth="1" outlineLevel="1"/>
    <col min="37" max="37" width="7.28515625" style="1093" customWidth="1" outlineLevel="1"/>
    <col min="38" max="40" width="9.140625" style="1093" customWidth="1" outlineLevel="1"/>
    <col min="41" max="44" width="9.140625" style="1093"/>
    <col min="45" max="45" width="6.28515625" style="1093" customWidth="1"/>
    <col min="46" max="46" width="8.28515625" style="1093" customWidth="1"/>
    <col min="47" max="257" width="9.140625" style="1093"/>
    <col min="258" max="258" width="15.85546875" style="1093" customWidth="1"/>
    <col min="259" max="262" width="9.140625" style="1093"/>
    <col min="263" max="263" width="12.85546875" style="1093" customWidth="1"/>
    <col min="264" max="264" width="3.7109375" style="1093" customWidth="1"/>
    <col min="265" max="269" width="9.140625" style="1093" customWidth="1"/>
    <col min="270" max="271" width="9.140625" style="1093"/>
    <col min="272" max="272" width="5.5703125" style="1093" customWidth="1"/>
    <col min="273" max="274" width="6.7109375" style="1093" customWidth="1"/>
    <col min="275" max="275" width="7.28515625" style="1093" customWidth="1"/>
    <col min="276" max="282" width="6.7109375" style="1093" customWidth="1"/>
    <col min="283" max="287" width="9.140625" style="1093" customWidth="1"/>
    <col min="288" max="289" width="7.140625" style="1093" customWidth="1"/>
    <col min="290" max="290" width="9.140625" style="1093"/>
    <col min="291" max="291" width="12.85546875" style="1093" customWidth="1"/>
    <col min="292" max="292" width="9.140625" style="1093" customWidth="1"/>
    <col min="293" max="293" width="7.28515625" style="1093" customWidth="1"/>
    <col min="294" max="296" width="9.140625" style="1093" customWidth="1"/>
    <col min="297" max="513" width="9.140625" style="1093"/>
    <col min="514" max="514" width="15.85546875" style="1093" customWidth="1"/>
    <col min="515" max="518" width="9.140625" style="1093"/>
    <col min="519" max="519" width="12.85546875" style="1093" customWidth="1"/>
    <col min="520" max="520" width="3.7109375" style="1093" customWidth="1"/>
    <col min="521" max="525" width="9.140625" style="1093" customWidth="1"/>
    <col min="526" max="527" width="9.140625" style="1093"/>
    <col min="528" max="528" width="5.5703125" style="1093" customWidth="1"/>
    <col min="529" max="530" width="6.7109375" style="1093" customWidth="1"/>
    <col min="531" max="531" width="7.28515625" style="1093" customWidth="1"/>
    <col min="532" max="538" width="6.7109375" style="1093" customWidth="1"/>
    <col min="539" max="543" width="9.140625" style="1093" customWidth="1"/>
    <col min="544" max="545" width="7.140625" style="1093" customWidth="1"/>
    <col min="546" max="546" width="9.140625" style="1093"/>
    <col min="547" max="547" width="12.85546875" style="1093" customWidth="1"/>
    <col min="548" max="548" width="9.140625" style="1093" customWidth="1"/>
    <col min="549" max="549" width="7.28515625" style="1093" customWidth="1"/>
    <col min="550" max="552" width="9.140625" style="1093" customWidth="1"/>
    <col min="553" max="769" width="9.140625" style="1093"/>
    <col min="770" max="770" width="15.85546875" style="1093" customWidth="1"/>
    <col min="771" max="774" width="9.140625" style="1093"/>
    <col min="775" max="775" width="12.85546875" style="1093" customWidth="1"/>
    <col min="776" max="776" width="3.7109375" style="1093" customWidth="1"/>
    <col min="777" max="781" width="9.140625" style="1093" customWidth="1"/>
    <col min="782" max="783" width="9.140625" style="1093"/>
    <col min="784" max="784" width="5.5703125" style="1093" customWidth="1"/>
    <col min="785" max="786" width="6.7109375" style="1093" customWidth="1"/>
    <col min="787" max="787" width="7.28515625" style="1093" customWidth="1"/>
    <col min="788" max="794" width="6.7109375" style="1093" customWidth="1"/>
    <col min="795" max="799" width="9.140625" style="1093" customWidth="1"/>
    <col min="800" max="801" width="7.140625" style="1093" customWidth="1"/>
    <col min="802" max="802" width="9.140625" style="1093"/>
    <col min="803" max="803" width="12.85546875" style="1093" customWidth="1"/>
    <col min="804" max="804" width="9.140625" style="1093" customWidth="1"/>
    <col min="805" max="805" width="7.28515625" style="1093" customWidth="1"/>
    <col min="806" max="808" width="9.140625" style="1093" customWidth="1"/>
    <col min="809" max="1025" width="9.140625" style="1093"/>
    <col min="1026" max="1026" width="15.85546875" style="1093" customWidth="1"/>
    <col min="1027" max="1030" width="9.140625" style="1093"/>
    <col min="1031" max="1031" width="12.85546875" style="1093" customWidth="1"/>
    <col min="1032" max="1032" width="3.7109375" style="1093" customWidth="1"/>
    <col min="1033" max="1037" width="9.140625" style="1093" customWidth="1"/>
    <col min="1038" max="1039" width="9.140625" style="1093"/>
    <col min="1040" max="1040" width="5.5703125" style="1093" customWidth="1"/>
    <col min="1041" max="1042" width="6.7109375" style="1093" customWidth="1"/>
    <col min="1043" max="1043" width="7.28515625" style="1093" customWidth="1"/>
    <col min="1044" max="1050" width="6.7109375" style="1093" customWidth="1"/>
    <col min="1051" max="1055" width="9.140625" style="1093" customWidth="1"/>
    <col min="1056" max="1057" width="7.140625" style="1093" customWidth="1"/>
    <col min="1058" max="1058" width="9.140625" style="1093"/>
    <col min="1059" max="1059" width="12.85546875" style="1093" customWidth="1"/>
    <col min="1060" max="1060" width="9.140625" style="1093" customWidth="1"/>
    <col min="1061" max="1061" width="7.28515625" style="1093" customWidth="1"/>
    <col min="1062" max="1064" width="9.140625" style="1093" customWidth="1"/>
    <col min="1065" max="1281" width="9.140625" style="1093"/>
    <col min="1282" max="1282" width="15.85546875" style="1093" customWidth="1"/>
    <col min="1283" max="1286" width="9.140625" style="1093"/>
    <col min="1287" max="1287" width="12.85546875" style="1093" customWidth="1"/>
    <col min="1288" max="1288" width="3.7109375" style="1093" customWidth="1"/>
    <col min="1289" max="1293" width="9.140625" style="1093" customWidth="1"/>
    <col min="1294" max="1295" width="9.140625" style="1093"/>
    <col min="1296" max="1296" width="5.5703125" style="1093" customWidth="1"/>
    <col min="1297" max="1298" width="6.7109375" style="1093" customWidth="1"/>
    <col min="1299" max="1299" width="7.28515625" style="1093" customWidth="1"/>
    <col min="1300" max="1306" width="6.7109375" style="1093" customWidth="1"/>
    <col min="1307" max="1311" width="9.140625" style="1093" customWidth="1"/>
    <col min="1312" max="1313" width="7.140625" style="1093" customWidth="1"/>
    <col min="1314" max="1314" width="9.140625" style="1093"/>
    <col min="1315" max="1315" width="12.85546875" style="1093" customWidth="1"/>
    <col min="1316" max="1316" width="9.140625" style="1093" customWidth="1"/>
    <col min="1317" max="1317" width="7.28515625" style="1093" customWidth="1"/>
    <col min="1318" max="1320" width="9.140625" style="1093" customWidth="1"/>
    <col min="1321" max="1537" width="9.140625" style="1093"/>
    <col min="1538" max="1538" width="15.85546875" style="1093" customWidth="1"/>
    <col min="1539" max="1542" width="9.140625" style="1093"/>
    <col min="1543" max="1543" width="12.85546875" style="1093" customWidth="1"/>
    <col min="1544" max="1544" width="3.7109375" style="1093" customWidth="1"/>
    <col min="1545" max="1549" width="9.140625" style="1093" customWidth="1"/>
    <col min="1550" max="1551" width="9.140625" style="1093"/>
    <col min="1552" max="1552" width="5.5703125" style="1093" customWidth="1"/>
    <col min="1553" max="1554" width="6.7109375" style="1093" customWidth="1"/>
    <col min="1555" max="1555" width="7.28515625" style="1093" customWidth="1"/>
    <col min="1556" max="1562" width="6.7109375" style="1093" customWidth="1"/>
    <col min="1563" max="1567" width="9.140625" style="1093" customWidth="1"/>
    <col min="1568" max="1569" width="7.140625" style="1093" customWidth="1"/>
    <col min="1570" max="1570" width="9.140625" style="1093"/>
    <col min="1571" max="1571" width="12.85546875" style="1093" customWidth="1"/>
    <col min="1572" max="1572" width="9.140625" style="1093" customWidth="1"/>
    <col min="1573" max="1573" width="7.28515625" style="1093" customWidth="1"/>
    <col min="1574" max="1576" width="9.140625" style="1093" customWidth="1"/>
    <col min="1577" max="1793" width="9.140625" style="1093"/>
    <col min="1794" max="1794" width="15.85546875" style="1093" customWidth="1"/>
    <col min="1795" max="1798" width="9.140625" style="1093"/>
    <col min="1799" max="1799" width="12.85546875" style="1093" customWidth="1"/>
    <col min="1800" max="1800" width="3.7109375" style="1093" customWidth="1"/>
    <col min="1801" max="1805" width="9.140625" style="1093" customWidth="1"/>
    <col min="1806" max="1807" width="9.140625" style="1093"/>
    <col min="1808" max="1808" width="5.5703125" style="1093" customWidth="1"/>
    <col min="1809" max="1810" width="6.7109375" style="1093" customWidth="1"/>
    <col min="1811" max="1811" width="7.28515625" style="1093" customWidth="1"/>
    <col min="1812" max="1818" width="6.7109375" style="1093" customWidth="1"/>
    <col min="1819" max="1823" width="9.140625" style="1093" customWidth="1"/>
    <col min="1824" max="1825" width="7.140625" style="1093" customWidth="1"/>
    <col min="1826" max="1826" width="9.140625" style="1093"/>
    <col min="1827" max="1827" width="12.85546875" style="1093" customWidth="1"/>
    <col min="1828" max="1828" width="9.140625" style="1093" customWidth="1"/>
    <col min="1829" max="1829" width="7.28515625" style="1093" customWidth="1"/>
    <col min="1830" max="1832" width="9.140625" style="1093" customWidth="1"/>
    <col min="1833" max="2049" width="9.140625" style="1093"/>
    <col min="2050" max="2050" width="15.85546875" style="1093" customWidth="1"/>
    <col min="2051" max="2054" width="9.140625" style="1093"/>
    <col min="2055" max="2055" width="12.85546875" style="1093" customWidth="1"/>
    <col min="2056" max="2056" width="3.7109375" style="1093" customWidth="1"/>
    <col min="2057" max="2061" width="9.140625" style="1093" customWidth="1"/>
    <col min="2062" max="2063" width="9.140625" style="1093"/>
    <col min="2064" max="2064" width="5.5703125" style="1093" customWidth="1"/>
    <col min="2065" max="2066" width="6.7109375" style="1093" customWidth="1"/>
    <col min="2067" max="2067" width="7.28515625" style="1093" customWidth="1"/>
    <col min="2068" max="2074" width="6.7109375" style="1093" customWidth="1"/>
    <col min="2075" max="2079" width="9.140625" style="1093" customWidth="1"/>
    <col min="2080" max="2081" width="7.140625" style="1093" customWidth="1"/>
    <col min="2082" max="2082" width="9.140625" style="1093"/>
    <col min="2083" max="2083" width="12.85546875" style="1093" customWidth="1"/>
    <col min="2084" max="2084" width="9.140625" style="1093" customWidth="1"/>
    <col min="2085" max="2085" width="7.28515625" style="1093" customWidth="1"/>
    <col min="2086" max="2088" width="9.140625" style="1093" customWidth="1"/>
    <col min="2089" max="2305" width="9.140625" style="1093"/>
    <col min="2306" max="2306" width="15.85546875" style="1093" customWidth="1"/>
    <col min="2307" max="2310" width="9.140625" style="1093"/>
    <col min="2311" max="2311" width="12.85546875" style="1093" customWidth="1"/>
    <col min="2312" max="2312" width="3.7109375" style="1093" customWidth="1"/>
    <col min="2313" max="2317" width="9.140625" style="1093" customWidth="1"/>
    <col min="2318" max="2319" width="9.140625" style="1093"/>
    <col min="2320" max="2320" width="5.5703125" style="1093" customWidth="1"/>
    <col min="2321" max="2322" width="6.7109375" style="1093" customWidth="1"/>
    <col min="2323" max="2323" width="7.28515625" style="1093" customWidth="1"/>
    <col min="2324" max="2330" width="6.7109375" style="1093" customWidth="1"/>
    <col min="2331" max="2335" width="9.140625" style="1093" customWidth="1"/>
    <col min="2336" max="2337" width="7.140625" style="1093" customWidth="1"/>
    <col min="2338" max="2338" width="9.140625" style="1093"/>
    <col min="2339" max="2339" width="12.85546875" style="1093" customWidth="1"/>
    <col min="2340" max="2340" width="9.140625" style="1093" customWidth="1"/>
    <col min="2341" max="2341" width="7.28515625" style="1093" customWidth="1"/>
    <col min="2342" max="2344" width="9.140625" style="1093" customWidth="1"/>
    <col min="2345" max="2561" width="9.140625" style="1093"/>
    <col min="2562" max="2562" width="15.85546875" style="1093" customWidth="1"/>
    <col min="2563" max="2566" width="9.140625" style="1093"/>
    <col min="2567" max="2567" width="12.85546875" style="1093" customWidth="1"/>
    <col min="2568" max="2568" width="3.7109375" style="1093" customWidth="1"/>
    <col min="2569" max="2573" width="9.140625" style="1093" customWidth="1"/>
    <col min="2574" max="2575" width="9.140625" style="1093"/>
    <col min="2576" max="2576" width="5.5703125" style="1093" customWidth="1"/>
    <col min="2577" max="2578" width="6.7109375" style="1093" customWidth="1"/>
    <col min="2579" max="2579" width="7.28515625" style="1093" customWidth="1"/>
    <col min="2580" max="2586" width="6.7109375" style="1093" customWidth="1"/>
    <col min="2587" max="2591" width="9.140625" style="1093" customWidth="1"/>
    <col min="2592" max="2593" width="7.140625" style="1093" customWidth="1"/>
    <col min="2594" max="2594" width="9.140625" style="1093"/>
    <col min="2595" max="2595" width="12.85546875" style="1093" customWidth="1"/>
    <col min="2596" max="2596" width="9.140625" style="1093" customWidth="1"/>
    <col min="2597" max="2597" width="7.28515625" style="1093" customWidth="1"/>
    <col min="2598" max="2600" width="9.140625" style="1093" customWidth="1"/>
    <col min="2601" max="2817" width="9.140625" style="1093"/>
    <col min="2818" max="2818" width="15.85546875" style="1093" customWidth="1"/>
    <col min="2819" max="2822" width="9.140625" style="1093"/>
    <col min="2823" max="2823" width="12.85546875" style="1093" customWidth="1"/>
    <col min="2824" max="2824" width="3.7109375" style="1093" customWidth="1"/>
    <col min="2825" max="2829" width="9.140625" style="1093" customWidth="1"/>
    <col min="2830" max="2831" width="9.140625" style="1093"/>
    <col min="2832" max="2832" width="5.5703125" style="1093" customWidth="1"/>
    <col min="2833" max="2834" width="6.7109375" style="1093" customWidth="1"/>
    <col min="2835" max="2835" width="7.28515625" style="1093" customWidth="1"/>
    <col min="2836" max="2842" width="6.7109375" style="1093" customWidth="1"/>
    <col min="2843" max="2847" width="9.140625" style="1093" customWidth="1"/>
    <col min="2848" max="2849" width="7.140625" style="1093" customWidth="1"/>
    <col min="2850" max="2850" width="9.140625" style="1093"/>
    <col min="2851" max="2851" width="12.85546875" style="1093" customWidth="1"/>
    <col min="2852" max="2852" width="9.140625" style="1093" customWidth="1"/>
    <col min="2853" max="2853" width="7.28515625" style="1093" customWidth="1"/>
    <col min="2854" max="2856" width="9.140625" style="1093" customWidth="1"/>
    <col min="2857" max="3073" width="9.140625" style="1093"/>
    <col min="3074" max="3074" width="15.85546875" style="1093" customWidth="1"/>
    <col min="3075" max="3078" width="9.140625" style="1093"/>
    <col min="3079" max="3079" width="12.85546875" style="1093" customWidth="1"/>
    <col min="3080" max="3080" width="3.7109375" style="1093" customWidth="1"/>
    <col min="3081" max="3085" width="9.140625" style="1093" customWidth="1"/>
    <col min="3086" max="3087" width="9.140625" style="1093"/>
    <col min="3088" max="3088" width="5.5703125" style="1093" customWidth="1"/>
    <col min="3089" max="3090" width="6.7109375" style="1093" customWidth="1"/>
    <col min="3091" max="3091" width="7.28515625" style="1093" customWidth="1"/>
    <col min="3092" max="3098" width="6.7109375" style="1093" customWidth="1"/>
    <col min="3099" max="3103" width="9.140625" style="1093" customWidth="1"/>
    <col min="3104" max="3105" width="7.140625" style="1093" customWidth="1"/>
    <col min="3106" max="3106" width="9.140625" style="1093"/>
    <col min="3107" max="3107" width="12.85546875" style="1093" customWidth="1"/>
    <col min="3108" max="3108" width="9.140625" style="1093" customWidth="1"/>
    <col min="3109" max="3109" width="7.28515625" style="1093" customWidth="1"/>
    <col min="3110" max="3112" width="9.140625" style="1093" customWidth="1"/>
    <col min="3113" max="3329" width="9.140625" style="1093"/>
    <col min="3330" max="3330" width="15.85546875" style="1093" customWidth="1"/>
    <col min="3331" max="3334" width="9.140625" style="1093"/>
    <col min="3335" max="3335" width="12.85546875" style="1093" customWidth="1"/>
    <col min="3336" max="3336" width="3.7109375" style="1093" customWidth="1"/>
    <col min="3337" max="3341" width="9.140625" style="1093" customWidth="1"/>
    <col min="3342" max="3343" width="9.140625" style="1093"/>
    <col min="3344" max="3344" width="5.5703125" style="1093" customWidth="1"/>
    <col min="3345" max="3346" width="6.7109375" style="1093" customWidth="1"/>
    <col min="3347" max="3347" width="7.28515625" style="1093" customWidth="1"/>
    <col min="3348" max="3354" width="6.7109375" style="1093" customWidth="1"/>
    <col min="3355" max="3359" width="9.140625" style="1093" customWidth="1"/>
    <col min="3360" max="3361" width="7.140625" style="1093" customWidth="1"/>
    <col min="3362" max="3362" width="9.140625" style="1093"/>
    <col min="3363" max="3363" width="12.85546875" style="1093" customWidth="1"/>
    <col min="3364" max="3364" width="9.140625" style="1093" customWidth="1"/>
    <col min="3365" max="3365" width="7.28515625" style="1093" customWidth="1"/>
    <col min="3366" max="3368" width="9.140625" style="1093" customWidth="1"/>
    <col min="3369" max="3585" width="9.140625" style="1093"/>
    <col min="3586" max="3586" width="15.85546875" style="1093" customWidth="1"/>
    <col min="3587" max="3590" width="9.140625" style="1093"/>
    <col min="3591" max="3591" width="12.85546875" style="1093" customWidth="1"/>
    <col min="3592" max="3592" width="3.7109375" style="1093" customWidth="1"/>
    <col min="3593" max="3597" width="9.140625" style="1093" customWidth="1"/>
    <col min="3598" max="3599" width="9.140625" style="1093"/>
    <col min="3600" max="3600" width="5.5703125" style="1093" customWidth="1"/>
    <col min="3601" max="3602" width="6.7109375" style="1093" customWidth="1"/>
    <col min="3603" max="3603" width="7.28515625" style="1093" customWidth="1"/>
    <col min="3604" max="3610" width="6.7109375" style="1093" customWidth="1"/>
    <col min="3611" max="3615" width="9.140625" style="1093" customWidth="1"/>
    <col min="3616" max="3617" width="7.140625" style="1093" customWidth="1"/>
    <col min="3618" max="3618" width="9.140625" style="1093"/>
    <col min="3619" max="3619" width="12.85546875" style="1093" customWidth="1"/>
    <col min="3620" max="3620" width="9.140625" style="1093" customWidth="1"/>
    <col min="3621" max="3621" width="7.28515625" style="1093" customWidth="1"/>
    <col min="3622" max="3624" width="9.140625" style="1093" customWidth="1"/>
    <col min="3625" max="3841" width="9.140625" style="1093"/>
    <col min="3842" max="3842" width="15.85546875" style="1093" customWidth="1"/>
    <col min="3843" max="3846" width="9.140625" style="1093"/>
    <col min="3847" max="3847" width="12.85546875" style="1093" customWidth="1"/>
    <col min="3848" max="3848" width="3.7109375" style="1093" customWidth="1"/>
    <col min="3849" max="3853" width="9.140625" style="1093" customWidth="1"/>
    <col min="3854" max="3855" width="9.140625" style="1093"/>
    <col min="3856" max="3856" width="5.5703125" style="1093" customWidth="1"/>
    <col min="3857" max="3858" width="6.7109375" style="1093" customWidth="1"/>
    <col min="3859" max="3859" width="7.28515625" style="1093" customWidth="1"/>
    <col min="3860" max="3866" width="6.7109375" style="1093" customWidth="1"/>
    <col min="3867" max="3871" width="9.140625" style="1093" customWidth="1"/>
    <col min="3872" max="3873" width="7.140625" style="1093" customWidth="1"/>
    <col min="3874" max="3874" width="9.140625" style="1093"/>
    <col min="3875" max="3875" width="12.85546875" style="1093" customWidth="1"/>
    <col min="3876" max="3876" width="9.140625" style="1093" customWidth="1"/>
    <col min="3877" max="3877" width="7.28515625" style="1093" customWidth="1"/>
    <col min="3878" max="3880" width="9.140625" style="1093" customWidth="1"/>
    <col min="3881" max="4097" width="9.140625" style="1093"/>
    <col min="4098" max="4098" width="15.85546875" style="1093" customWidth="1"/>
    <col min="4099" max="4102" width="9.140625" style="1093"/>
    <col min="4103" max="4103" width="12.85546875" style="1093" customWidth="1"/>
    <col min="4104" max="4104" width="3.7109375" style="1093" customWidth="1"/>
    <col min="4105" max="4109" width="9.140625" style="1093" customWidth="1"/>
    <col min="4110" max="4111" width="9.140625" style="1093"/>
    <col min="4112" max="4112" width="5.5703125" style="1093" customWidth="1"/>
    <col min="4113" max="4114" width="6.7109375" style="1093" customWidth="1"/>
    <col min="4115" max="4115" width="7.28515625" style="1093" customWidth="1"/>
    <col min="4116" max="4122" width="6.7109375" style="1093" customWidth="1"/>
    <col min="4123" max="4127" width="9.140625" style="1093" customWidth="1"/>
    <col min="4128" max="4129" width="7.140625" style="1093" customWidth="1"/>
    <col min="4130" max="4130" width="9.140625" style="1093"/>
    <col min="4131" max="4131" width="12.85546875" style="1093" customWidth="1"/>
    <col min="4132" max="4132" width="9.140625" style="1093" customWidth="1"/>
    <col min="4133" max="4133" width="7.28515625" style="1093" customWidth="1"/>
    <col min="4134" max="4136" width="9.140625" style="1093" customWidth="1"/>
    <col min="4137" max="4353" width="9.140625" style="1093"/>
    <col min="4354" max="4354" width="15.85546875" style="1093" customWidth="1"/>
    <col min="4355" max="4358" width="9.140625" style="1093"/>
    <col min="4359" max="4359" width="12.85546875" style="1093" customWidth="1"/>
    <col min="4360" max="4360" width="3.7109375" style="1093" customWidth="1"/>
    <col min="4361" max="4365" width="9.140625" style="1093" customWidth="1"/>
    <col min="4366" max="4367" width="9.140625" style="1093"/>
    <col min="4368" max="4368" width="5.5703125" style="1093" customWidth="1"/>
    <col min="4369" max="4370" width="6.7109375" style="1093" customWidth="1"/>
    <col min="4371" max="4371" width="7.28515625" style="1093" customWidth="1"/>
    <col min="4372" max="4378" width="6.7109375" style="1093" customWidth="1"/>
    <col min="4379" max="4383" width="9.140625" style="1093" customWidth="1"/>
    <col min="4384" max="4385" width="7.140625" style="1093" customWidth="1"/>
    <col min="4386" max="4386" width="9.140625" style="1093"/>
    <col min="4387" max="4387" width="12.85546875" style="1093" customWidth="1"/>
    <col min="4388" max="4388" width="9.140625" style="1093" customWidth="1"/>
    <col min="4389" max="4389" width="7.28515625" style="1093" customWidth="1"/>
    <col min="4390" max="4392" width="9.140625" style="1093" customWidth="1"/>
    <col min="4393" max="4609" width="9.140625" style="1093"/>
    <col min="4610" max="4610" width="15.85546875" style="1093" customWidth="1"/>
    <col min="4611" max="4614" width="9.140625" style="1093"/>
    <col min="4615" max="4615" width="12.85546875" style="1093" customWidth="1"/>
    <col min="4616" max="4616" width="3.7109375" style="1093" customWidth="1"/>
    <col min="4617" max="4621" width="9.140625" style="1093" customWidth="1"/>
    <col min="4622" max="4623" width="9.140625" style="1093"/>
    <col min="4624" max="4624" width="5.5703125" style="1093" customWidth="1"/>
    <col min="4625" max="4626" width="6.7109375" style="1093" customWidth="1"/>
    <col min="4627" max="4627" width="7.28515625" style="1093" customWidth="1"/>
    <col min="4628" max="4634" width="6.7109375" style="1093" customWidth="1"/>
    <col min="4635" max="4639" width="9.140625" style="1093" customWidth="1"/>
    <col min="4640" max="4641" width="7.140625" style="1093" customWidth="1"/>
    <col min="4642" max="4642" width="9.140625" style="1093"/>
    <col min="4643" max="4643" width="12.85546875" style="1093" customWidth="1"/>
    <col min="4644" max="4644" width="9.140625" style="1093" customWidth="1"/>
    <col min="4645" max="4645" width="7.28515625" style="1093" customWidth="1"/>
    <col min="4646" max="4648" width="9.140625" style="1093" customWidth="1"/>
    <col min="4649" max="4865" width="9.140625" style="1093"/>
    <col min="4866" max="4866" width="15.85546875" style="1093" customWidth="1"/>
    <col min="4867" max="4870" width="9.140625" style="1093"/>
    <col min="4871" max="4871" width="12.85546875" style="1093" customWidth="1"/>
    <col min="4872" max="4872" width="3.7109375" style="1093" customWidth="1"/>
    <col min="4873" max="4877" width="9.140625" style="1093" customWidth="1"/>
    <col min="4878" max="4879" width="9.140625" style="1093"/>
    <col min="4880" max="4880" width="5.5703125" style="1093" customWidth="1"/>
    <col min="4881" max="4882" width="6.7109375" style="1093" customWidth="1"/>
    <col min="4883" max="4883" width="7.28515625" style="1093" customWidth="1"/>
    <col min="4884" max="4890" width="6.7109375" style="1093" customWidth="1"/>
    <col min="4891" max="4895" width="9.140625" style="1093" customWidth="1"/>
    <col min="4896" max="4897" width="7.140625" style="1093" customWidth="1"/>
    <col min="4898" max="4898" width="9.140625" style="1093"/>
    <col min="4899" max="4899" width="12.85546875" style="1093" customWidth="1"/>
    <col min="4900" max="4900" width="9.140625" style="1093" customWidth="1"/>
    <col min="4901" max="4901" width="7.28515625" style="1093" customWidth="1"/>
    <col min="4902" max="4904" width="9.140625" style="1093" customWidth="1"/>
    <col min="4905" max="5121" width="9.140625" style="1093"/>
    <col min="5122" max="5122" width="15.85546875" style="1093" customWidth="1"/>
    <col min="5123" max="5126" width="9.140625" style="1093"/>
    <col min="5127" max="5127" width="12.85546875" style="1093" customWidth="1"/>
    <col min="5128" max="5128" width="3.7109375" style="1093" customWidth="1"/>
    <col min="5129" max="5133" width="9.140625" style="1093" customWidth="1"/>
    <col min="5134" max="5135" width="9.140625" style="1093"/>
    <col min="5136" max="5136" width="5.5703125" style="1093" customWidth="1"/>
    <col min="5137" max="5138" width="6.7109375" style="1093" customWidth="1"/>
    <col min="5139" max="5139" width="7.28515625" style="1093" customWidth="1"/>
    <col min="5140" max="5146" width="6.7109375" style="1093" customWidth="1"/>
    <col min="5147" max="5151" width="9.140625" style="1093" customWidth="1"/>
    <col min="5152" max="5153" width="7.140625" style="1093" customWidth="1"/>
    <col min="5154" max="5154" width="9.140625" style="1093"/>
    <col min="5155" max="5155" width="12.85546875" style="1093" customWidth="1"/>
    <col min="5156" max="5156" width="9.140625" style="1093" customWidth="1"/>
    <col min="5157" max="5157" width="7.28515625" style="1093" customWidth="1"/>
    <col min="5158" max="5160" width="9.140625" style="1093" customWidth="1"/>
    <col min="5161" max="5377" width="9.140625" style="1093"/>
    <col min="5378" max="5378" width="15.85546875" style="1093" customWidth="1"/>
    <col min="5379" max="5382" width="9.140625" style="1093"/>
    <col min="5383" max="5383" width="12.85546875" style="1093" customWidth="1"/>
    <col min="5384" max="5384" width="3.7109375" style="1093" customWidth="1"/>
    <col min="5385" max="5389" width="9.140625" style="1093" customWidth="1"/>
    <col min="5390" max="5391" width="9.140625" style="1093"/>
    <col min="5392" max="5392" width="5.5703125" style="1093" customWidth="1"/>
    <col min="5393" max="5394" width="6.7109375" style="1093" customWidth="1"/>
    <col min="5395" max="5395" width="7.28515625" style="1093" customWidth="1"/>
    <col min="5396" max="5402" width="6.7109375" style="1093" customWidth="1"/>
    <col min="5403" max="5407" width="9.140625" style="1093" customWidth="1"/>
    <col min="5408" max="5409" width="7.140625" style="1093" customWidth="1"/>
    <col min="5410" max="5410" width="9.140625" style="1093"/>
    <col min="5411" max="5411" width="12.85546875" style="1093" customWidth="1"/>
    <col min="5412" max="5412" width="9.140625" style="1093" customWidth="1"/>
    <col min="5413" max="5413" width="7.28515625" style="1093" customWidth="1"/>
    <col min="5414" max="5416" width="9.140625" style="1093" customWidth="1"/>
    <col min="5417" max="5633" width="9.140625" style="1093"/>
    <col min="5634" max="5634" width="15.85546875" style="1093" customWidth="1"/>
    <col min="5635" max="5638" width="9.140625" style="1093"/>
    <col min="5639" max="5639" width="12.85546875" style="1093" customWidth="1"/>
    <col min="5640" max="5640" width="3.7109375" style="1093" customWidth="1"/>
    <col min="5641" max="5645" width="9.140625" style="1093" customWidth="1"/>
    <col min="5646" max="5647" width="9.140625" style="1093"/>
    <col min="5648" max="5648" width="5.5703125" style="1093" customWidth="1"/>
    <col min="5649" max="5650" width="6.7109375" style="1093" customWidth="1"/>
    <col min="5651" max="5651" width="7.28515625" style="1093" customWidth="1"/>
    <col min="5652" max="5658" width="6.7109375" style="1093" customWidth="1"/>
    <col min="5659" max="5663" width="9.140625" style="1093" customWidth="1"/>
    <col min="5664" max="5665" width="7.140625" style="1093" customWidth="1"/>
    <col min="5666" max="5666" width="9.140625" style="1093"/>
    <col min="5667" max="5667" width="12.85546875" style="1093" customWidth="1"/>
    <col min="5668" max="5668" width="9.140625" style="1093" customWidth="1"/>
    <col min="5669" max="5669" width="7.28515625" style="1093" customWidth="1"/>
    <col min="5670" max="5672" width="9.140625" style="1093" customWidth="1"/>
    <col min="5673" max="5889" width="9.140625" style="1093"/>
    <col min="5890" max="5890" width="15.85546875" style="1093" customWidth="1"/>
    <col min="5891" max="5894" width="9.140625" style="1093"/>
    <col min="5895" max="5895" width="12.85546875" style="1093" customWidth="1"/>
    <col min="5896" max="5896" width="3.7109375" style="1093" customWidth="1"/>
    <col min="5897" max="5901" width="9.140625" style="1093" customWidth="1"/>
    <col min="5902" max="5903" width="9.140625" style="1093"/>
    <col min="5904" max="5904" width="5.5703125" style="1093" customWidth="1"/>
    <col min="5905" max="5906" width="6.7109375" style="1093" customWidth="1"/>
    <col min="5907" max="5907" width="7.28515625" style="1093" customWidth="1"/>
    <col min="5908" max="5914" width="6.7109375" style="1093" customWidth="1"/>
    <col min="5915" max="5919" width="9.140625" style="1093" customWidth="1"/>
    <col min="5920" max="5921" width="7.140625" style="1093" customWidth="1"/>
    <col min="5922" max="5922" width="9.140625" style="1093"/>
    <col min="5923" max="5923" width="12.85546875" style="1093" customWidth="1"/>
    <col min="5924" max="5924" width="9.140625" style="1093" customWidth="1"/>
    <col min="5925" max="5925" width="7.28515625" style="1093" customWidth="1"/>
    <col min="5926" max="5928" width="9.140625" style="1093" customWidth="1"/>
    <col min="5929" max="6145" width="9.140625" style="1093"/>
    <col min="6146" max="6146" width="15.85546875" style="1093" customWidth="1"/>
    <col min="6147" max="6150" width="9.140625" style="1093"/>
    <col min="6151" max="6151" width="12.85546875" style="1093" customWidth="1"/>
    <col min="6152" max="6152" width="3.7109375" style="1093" customWidth="1"/>
    <col min="6153" max="6157" width="9.140625" style="1093" customWidth="1"/>
    <col min="6158" max="6159" width="9.140625" style="1093"/>
    <col min="6160" max="6160" width="5.5703125" style="1093" customWidth="1"/>
    <col min="6161" max="6162" width="6.7109375" style="1093" customWidth="1"/>
    <col min="6163" max="6163" width="7.28515625" style="1093" customWidth="1"/>
    <col min="6164" max="6170" width="6.7109375" style="1093" customWidth="1"/>
    <col min="6171" max="6175" width="9.140625" style="1093" customWidth="1"/>
    <col min="6176" max="6177" width="7.140625" style="1093" customWidth="1"/>
    <col min="6178" max="6178" width="9.140625" style="1093"/>
    <col min="6179" max="6179" width="12.85546875" style="1093" customWidth="1"/>
    <col min="6180" max="6180" width="9.140625" style="1093" customWidth="1"/>
    <col min="6181" max="6181" width="7.28515625" style="1093" customWidth="1"/>
    <col min="6182" max="6184" width="9.140625" style="1093" customWidth="1"/>
    <col min="6185" max="6401" width="9.140625" style="1093"/>
    <col min="6402" max="6402" width="15.85546875" style="1093" customWidth="1"/>
    <col min="6403" max="6406" width="9.140625" style="1093"/>
    <col min="6407" max="6407" width="12.85546875" style="1093" customWidth="1"/>
    <col min="6408" max="6408" width="3.7109375" style="1093" customWidth="1"/>
    <col min="6409" max="6413" width="9.140625" style="1093" customWidth="1"/>
    <col min="6414" max="6415" width="9.140625" style="1093"/>
    <col min="6416" max="6416" width="5.5703125" style="1093" customWidth="1"/>
    <col min="6417" max="6418" width="6.7109375" style="1093" customWidth="1"/>
    <col min="6419" max="6419" width="7.28515625" style="1093" customWidth="1"/>
    <col min="6420" max="6426" width="6.7109375" style="1093" customWidth="1"/>
    <col min="6427" max="6431" width="9.140625" style="1093" customWidth="1"/>
    <col min="6432" max="6433" width="7.140625" style="1093" customWidth="1"/>
    <col min="6434" max="6434" width="9.140625" style="1093"/>
    <col min="6435" max="6435" width="12.85546875" style="1093" customWidth="1"/>
    <col min="6436" max="6436" width="9.140625" style="1093" customWidth="1"/>
    <col min="6437" max="6437" width="7.28515625" style="1093" customWidth="1"/>
    <col min="6438" max="6440" width="9.140625" style="1093" customWidth="1"/>
    <col min="6441" max="6657" width="9.140625" style="1093"/>
    <col min="6658" max="6658" width="15.85546875" style="1093" customWidth="1"/>
    <col min="6659" max="6662" width="9.140625" style="1093"/>
    <col min="6663" max="6663" width="12.85546875" style="1093" customWidth="1"/>
    <col min="6664" max="6664" width="3.7109375" style="1093" customWidth="1"/>
    <col min="6665" max="6669" width="9.140625" style="1093" customWidth="1"/>
    <col min="6670" max="6671" width="9.140625" style="1093"/>
    <col min="6672" max="6672" width="5.5703125" style="1093" customWidth="1"/>
    <col min="6673" max="6674" width="6.7109375" style="1093" customWidth="1"/>
    <col min="6675" max="6675" width="7.28515625" style="1093" customWidth="1"/>
    <col min="6676" max="6682" width="6.7109375" style="1093" customWidth="1"/>
    <col min="6683" max="6687" width="9.140625" style="1093" customWidth="1"/>
    <col min="6688" max="6689" width="7.140625" style="1093" customWidth="1"/>
    <col min="6690" max="6690" width="9.140625" style="1093"/>
    <col min="6691" max="6691" width="12.85546875" style="1093" customWidth="1"/>
    <col min="6692" max="6692" width="9.140625" style="1093" customWidth="1"/>
    <col min="6693" max="6693" width="7.28515625" style="1093" customWidth="1"/>
    <col min="6694" max="6696" width="9.140625" style="1093" customWidth="1"/>
    <col min="6697" max="6913" width="9.140625" style="1093"/>
    <col min="6914" max="6914" width="15.85546875" style="1093" customWidth="1"/>
    <col min="6915" max="6918" width="9.140625" style="1093"/>
    <col min="6919" max="6919" width="12.85546875" style="1093" customWidth="1"/>
    <col min="6920" max="6920" width="3.7109375" style="1093" customWidth="1"/>
    <col min="6921" max="6925" width="9.140625" style="1093" customWidth="1"/>
    <col min="6926" max="6927" width="9.140625" style="1093"/>
    <col min="6928" max="6928" width="5.5703125" style="1093" customWidth="1"/>
    <col min="6929" max="6930" width="6.7109375" style="1093" customWidth="1"/>
    <col min="6931" max="6931" width="7.28515625" style="1093" customWidth="1"/>
    <col min="6932" max="6938" width="6.7109375" style="1093" customWidth="1"/>
    <col min="6939" max="6943" width="9.140625" style="1093" customWidth="1"/>
    <col min="6944" max="6945" width="7.140625" style="1093" customWidth="1"/>
    <col min="6946" max="6946" width="9.140625" style="1093"/>
    <col min="6947" max="6947" width="12.85546875" style="1093" customWidth="1"/>
    <col min="6948" max="6948" width="9.140625" style="1093" customWidth="1"/>
    <col min="6949" max="6949" width="7.28515625" style="1093" customWidth="1"/>
    <col min="6950" max="6952" width="9.140625" style="1093" customWidth="1"/>
    <col min="6953" max="7169" width="9.140625" style="1093"/>
    <col min="7170" max="7170" width="15.85546875" style="1093" customWidth="1"/>
    <col min="7171" max="7174" width="9.140625" style="1093"/>
    <col min="7175" max="7175" width="12.85546875" style="1093" customWidth="1"/>
    <col min="7176" max="7176" width="3.7109375" style="1093" customWidth="1"/>
    <col min="7177" max="7181" width="9.140625" style="1093" customWidth="1"/>
    <col min="7182" max="7183" width="9.140625" style="1093"/>
    <col min="7184" max="7184" width="5.5703125" style="1093" customWidth="1"/>
    <col min="7185" max="7186" width="6.7109375" style="1093" customWidth="1"/>
    <col min="7187" max="7187" width="7.28515625" style="1093" customWidth="1"/>
    <col min="7188" max="7194" width="6.7109375" style="1093" customWidth="1"/>
    <col min="7195" max="7199" width="9.140625" style="1093" customWidth="1"/>
    <col min="7200" max="7201" width="7.140625" style="1093" customWidth="1"/>
    <col min="7202" max="7202" width="9.140625" style="1093"/>
    <col min="7203" max="7203" width="12.85546875" style="1093" customWidth="1"/>
    <col min="7204" max="7204" width="9.140625" style="1093" customWidth="1"/>
    <col min="7205" max="7205" width="7.28515625" style="1093" customWidth="1"/>
    <col min="7206" max="7208" width="9.140625" style="1093" customWidth="1"/>
    <col min="7209" max="7425" width="9.140625" style="1093"/>
    <col min="7426" max="7426" width="15.85546875" style="1093" customWidth="1"/>
    <col min="7427" max="7430" width="9.140625" style="1093"/>
    <col min="7431" max="7431" width="12.85546875" style="1093" customWidth="1"/>
    <col min="7432" max="7432" width="3.7109375" style="1093" customWidth="1"/>
    <col min="7433" max="7437" width="9.140625" style="1093" customWidth="1"/>
    <col min="7438" max="7439" width="9.140625" style="1093"/>
    <col min="7440" max="7440" width="5.5703125" style="1093" customWidth="1"/>
    <col min="7441" max="7442" width="6.7109375" style="1093" customWidth="1"/>
    <col min="7443" max="7443" width="7.28515625" style="1093" customWidth="1"/>
    <col min="7444" max="7450" width="6.7109375" style="1093" customWidth="1"/>
    <col min="7451" max="7455" width="9.140625" style="1093" customWidth="1"/>
    <col min="7456" max="7457" width="7.140625" style="1093" customWidth="1"/>
    <col min="7458" max="7458" width="9.140625" style="1093"/>
    <col min="7459" max="7459" width="12.85546875" style="1093" customWidth="1"/>
    <col min="7460" max="7460" width="9.140625" style="1093" customWidth="1"/>
    <col min="7461" max="7461" width="7.28515625" style="1093" customWidth="1"/>
    <col min="7462" max="7464" width="9.140625" style="1093" customWidth="1"/>
    <col min="7465" max="7681" width="9.140625" style="1093"/>
    <col min="7682" max="7682" width="15.85546875" style="1093" customWidth="1"/>
    <col min="7683" max="7686" width="9.140625" style="1093"/>
    <col min="7687" max="7687" width="12.85546875" style="1093" customWidth="1"/>
    <col min="7688" max="7688" width="3.7109375" style="1093" customWidth="1"/>
    <col min="7689" max="7693" width="9.140625" style="1093" customWidth="1"/>
    <col min="7694" max="7695" width="9.140625" style="1093"/>
    <col min="7696" max="7696" width="5.5703125" style="1093" customWidth="1"/>
    <col min="7697" max="7698" width="6.7109375" style="1093" customWidth="1"/>
    <col min="7699" max="7699" width="7.28515625" style="1093" customWidth="1"/>
    <col min="7700" max="7706" width="6.7109375" style="1093" customWidth="1"/>
    <col min="7707" max="7711" width="9.140625" style="1093" customWidth="1"/>
    <col min="7712" max="7713" width="7.140625" style="1093" customWidth="1"/>
    <col min="7714" max="7714" width="9.140625" style="1093"/>
    <col min="7715" max="7715" width="12.85546875" style="1093" customWidth="1"/>
    <col min="7716" max="7716" width="9.140625" style="1093" customWidth="1"/>
    <col min="7717" max="7717" width="7.28515625" style="1093" customWidth="1"/>
    <col min="7718" max="7720" width="9.140625" style="1093" customWidth="1"/>
    <col min="7721" max="7937" width="9.140625" style="1093"/>
    <col min="7938" max="7938" width="15.85546875" style="1093" customWidth="1"/>
    <col min="7939" max="7942" width="9.140625" style="1093"/>
    <col min="7943" max="7943" width="12.85546875" style="1093" customWidth="1"/>
    <col min="7944" max="7944" width="3.7109375" style="1093" customWidth="1"/>
    <col min="7945" max="7949" width="9.140625" style="1093" customWidth="1"/>
    <col min="7950" max="7951" width="9.140625" style="1093"/>
    <col min="7952" max="7952" width="5.5703125" style="1093" customWidth="1"/>
    <col min="7953" max="7954" width="6.7109375" style="1093" customWidth="1"/>
    <col min="7955" max="7955" width="7.28515625" style="1093" customWidth="1"/>
    <col min="7956" max="7962" width="6.7109375" style="1093" customWidth="1"/>
    <col min="7963" max="7967" width="9.140625" style="1093" customWidth="1"/>
    <col min="7968" max="7969" width="7.140625" style="1093" customWidth="1"/>
    <col min="7970" max="7970" width="9.140625" style="1093"/>
    <col min="7971" max="7971" width="12.85546875" style="1093" customWidth="1"/>
    <col min="7972" max="7972" width="9.140625" style="1093" customWidth="1"/>
    <col min="7973" max="7973" width="7.28515625" style="1093" customWidth="1"/>
    <col min="7974" max="7976" width="9.140625" style="1093" customWidth="1"/>
    <col min="7977" max="8193" width="9.140625" style="1093"/>
    <col min="8194" max="8194" width="15.85546875" style="1093" customWidth="1"/>
    <col min="8195" max="8198" width="9.140625" style="1093"/>
    <col min="8199" max="8199" width="12.85546875" style="1093" customWidth="1"/>
    <col min="8200" max="8200" width="3.7109375" style="1093" customWidth="1"/>
    <col min="8201" max="8205" width="9.140625" style="1093" customWidth="1"/>
    <col min="8206" max="8207" width="9.140625" style="1093"/>
    <col min="8208" max="8208" width="5.5703125" style="1093" customWidth="1"/>
    <col min="8209" max="8210" width="6.7109375" style="1093" customWidth="1"/>
    <col min="8211" max="8211" width="7.28515625" style="1093" customWidth="1"/>
    <col min="8212" max="8218" width="6.7109375" style="1093" customWidth="1"/>
    <col min="8219" max="8223" width="9.140625" style="1093" customWidth="1"/>
    <col min="8224" max="8225" width="7.140625" style="1093" customWidth="1"/>
    <col min="8226" max="8226" width="9.140625" style="1093"/>
    <col min="8227" max="8227" width="12.85546875" style="1093" customWidth="1"/>
    <col min="8228" max="8228" width="9.140625" style="1093" customWidth="1"/>
    <col min="8229" max="8229" width="7.28515625" style="1093" customWidth="1"/>
    <col min="8230" max="8232" width="9.140625" style="1093" customWidth="1"/>
    <col min="8233" max="8449" width="9.140625" style="1093"/>
    <col min="8450" max="8450" width="15.85546875" style="1093" customWidth="1"/>
    <col min="8451" max="8454" width="9.140625" style="1093"/>
    <col min="8455" max="8455" width="12.85546875" style="1093" customWidth="1"/>
    <col min="8456" max="8456" width="3.7109375" style="1093" customWidth="1"/>
    <col min="8457" max="8461" width="9.140625" style="1093" customWidth="1"/>
    <col min="8462" max="8463" width="9.140625" style="1093"/>
    <col min="8464" max="8464" width="5.5703125" style="1093" customWidth="1"/>
    <col min="8465" max="8466" width="6.7109375" style="1093" customWidth="1"/>
    <col min="8467" max="8467" width="7.28515625" style="1093" customWidth="1"/>
    <col min="8468" max="8474" width="6.7109375" style="1093" customWidth="1"/>
    <col min="8475" max="8479" width="9.140625" style="1093" customWidth="1"/>
    <col min="8480" max="8481" width="7.140625" style="1093" customWidth="1"/>
    <col min="8482" max="8482" width="9.140625" style="1093"/>
    <col min="8483" max="8483" width="12.85546875" style="1093" customWidth="1"/>
    <col min="8484" max="8484" width="9.140625" style="1093" customWidth="1"/>
    <col min="8485" max="8485" width="7.28515625" style="1093" customWidth="1"/>
    <col min="8486" max="8488" width="9.140625" style="1093" customWidth="1"/>
    <col min="8489" max="8705" width="9.140625" style="1093"/>
    <col min="8706" max="8706" width="15.85546875" style="1093" customWidth="1"/>
    <col min="8707" max="8710" width="9.140625" style="1093"/>
    <col min="8711" max="8711" width="12.85546875" style="1093" customWidth="1"/>
    <col min="8712" max="8712" width="3.7109375" style="1093" customWidth="1"/>
    <col min="8713" max="8717" width="9.140625" style="1093" customWidth="1"/>
    <col min="8718" max="8719" width="9.140625" style="1093"/>
    <col min="8720" max="8720" width="5.5703125" style="1093" customWidth="1"/>
    <col min="8721" max="8722" width="6.7109375" style="1093" customWidth="1"/>
    <col min="8723" max="8723" width="7.28515625" style="1093" customWidth="1"/>
    <col min="8724" max="8730" width="6.7109375" style="1093" customWidth="1"/>
    <col min="8731" max="8735" width="9.140625" style="1093" customWidth="1"/>
    <col min="8736" max="8737" width="7.140625" style="1093" customWidth="1"/>
    <col min="8738" max="8738" width="9.140625" style="1093"/>
    <col min="8739" max="8739" width="12.85546875" style="1093" customWidth="1"/>
    <col min="8740" max="8740" width="9.140625" style="1093" customWidth="1"/>
    <col min="8741" max="8741" width="7.28515625" style="1093" customWidth="1"/>
    <col min="8742" max="8744" width="9.140625" style="1093" customWidth="1"/>
    <col min="8745" max="8961" width="9.140625" style="1093"/>
    <col min="8962" max="8962" width="15.85546875" style="1093" customWidth="1"/>
    <col min="8963" max="8966" width="9.140625" style="1093"/>
    <col min="8967" max="8967" width="12.85546875" style="1093" customWidth="1"/>
    <col min="8968" max="8968" width="3.7109375" style="1093" customWidth="1"/>
    <col min="8969" max="8973" width="9.140625" style="1093" customWidth="1"/>
    <col min="8974" max="8975" width="9.140625" style="1093"/>
    <col min="8976" max="8976" width="5.5703125" style="1093" customWidth="1"/>
    <col min="8977" max="8978" width="6.7109375" style="1093" customWidth="1"/>
    <col min="8979" max="8979" width="7.28515625" style="1093" customWidth="1"/>
    <col min="8980" max="8986" width="6.7109375" style="1093" customWidth="1"/>
    <col min="8987" max="8991" width="9.140625" style="1093" customWidth="1"/>
    <col min="8992" max="8993" width="7.140625" style="1093" customWidth="1"/>
    <col min="8994" max="8994" width="9.140625" style="1093"/>
    <col min="8995" max="8995" width="12.85546875" style="1093" customWidth="1"/>
    <col min="8996" max="8996" width="9.140625" style="1093" customWidth="1"/>
    <col min="8997" max="8997" width="7.28515625" style="1093" customWidth="1"/>
    <col min="8998" max="9000" width="9.140625" style="1093" customWidth="1"/>
    <col min="9001" max="9217" width="9.140625" style="1093"/>
    <col min="9218" max="9218" width="15.85546875" style="1093" customWidth="1"/>
    <col min="9219" max="9222" width="9.140625" style="1093"/>
    <col min="9223" max="9223" width="12.85546875" style="1093" customWidth="1"/>
    <col min="9224" max="9224" width="3.7109375" style="1093" customWidth="1"/>
    <col min="9225" max="9229" width="9.140625" style="1093" customWidth="1"/>
    <col min="9230" max="9231" width="9.140625" style="1093"/>
    <col min="9232" max="9232" width="5.5703125" style="1093" customWidth="1"/>
    <col min="9233" max="9234" width="6.7109375" style="1093" customWidth="1"/>
    <col min="9235" max="9235" width="7.28515625" style="1093" customWidth="1"/>
    <col min="9236" max="9242" width="6.7109375" style="1093" customWidth="1"/>
    <col min="9243" max="9247" width="9.140625" style="1093" customWidth="1"/>
    <col min="9248" max="9249" width="7.140625" style="1093" customWidth="1"/>
    <col min="9250" max="9250" width="9.140625" style="1093"/>
    <col min="9251" max="9251" width="12.85546875" style="1093" customWidth="1"/>
    <col min="9252" max="9252" width="9.140625" style="1093" customWidth="1"/>
    <col min="9253" max="9253" width="7.28515625" style="1093" customWidth="1"/>
    <col min="9254" max="9256" width="9.140625" style="1093" customWidth="1"/>
    <col min="9257" max="9473" width="9.140625" style="1093"/>
    <col min="9474" max="9474" width="15.85546875" style="1093" customWidth="1"/>
    <col min="9475" max="9478" width="9.140625" style="1093"/>
    <col min="9479" max="9479" width="12.85546875" style="1093" customWidth="1"/>
    <col min="9480" max="9480" width="3.7109375" style="1093" customWidth="1"/>
    <col min="9481" max="9485" width="9.140625" style="1093" customWidth="1"/>
    <col min="9486" max="9487" width="9.140625" style="1093"/>
    <col min="9488" max="9488" width="5.5703125" style="1093" customWidth="1"/>
    <col min="9489" max="9490" width="6.7109375" style="1093" customWidth="1"/>
    <col min="9491" max="9491" width="7.28515625" style="1093" customWidth="1"/>
    <col min="9492" max="9498" width="6.7109375" style="1093" customWidth="1"/>
    <col min="9499" max="9503" width="9.140625" style="1093" customWidth="1"/>
    <col min="9504" max="9505" width="7.140625" style="1093" customWidth="1"/>
    <col min="9506" max="9506" width="9.140625" style="1093"/>
    <col min="9507" max="9507" width="12.85546875" style="1093" customWidth="1"/>
    <col min="9508" max="9508" width="9.140625" style="1093" customWidth="1"/>
    <col min="9509" max="9509" width="7.28515625" style="1093" customWidth="1"/>
    <col min="9510" max="9512" width="9.140625" style="1093" customWidth="1"/>
    <col min="9513" max="9729" width="9.140625" style="1093"/>
    <col min="9730" max="9730" width="15.85546875" style="1093" customWidth="1"/>
    <col min="9731" max="9734" width="9.140625" style="1093"/>
    <col min="9735" max="9735" width="12.85546875" style="1093" customWidth="1"/>
    <col min="9736" max="9736" width="3.7109375" style="1093" customWidth="1"/>
    <col min="9737" max="9741" width="9.140625" style="1093" customWidth="1"/>
    <col min="9742" max="9743" width="9.140625" style="1093"/>
    <col min="9744" max="9744" width="5.5703125" style="1093" customWidth="1"/>
    <col min="9745" max="9746" width="6.7109375" style="1093" customWidth="1"/>
    <col min="9747" max="9747" width="7.28515625" style="1093" customWidth="1"/>
    <col min="9748" max="9754" width="6.7109375" style="1093" customWidth="1"/>
    <col min="9755" max="9759" width="9.140625" style="1093" customWidth="1"/>
    <col min="9760" max="9761" width="7.140625" style="1093" customWidth="1"/>
    <col min="9762" max="9762" width="9.140625" style="1093"/>
    <col min="9763" max="9763" width="12.85546875" style="1093" customWidth="1"/>
    <col min="9764" max="9764" width="9.140625" style="1093" customWidth="1"/>
    <col min="9765" max="9765" width="7.28515625" style="1093" customWidth="1"/>
    <col min="9766" max="9768" width="9.140625" style="1093" customWidth="1"/>
    <col min="9769" max="9985" width="9.140625" style="1093"/>
    <col min="9986" max="9986" width="15.85546875" style="1093" customWidth="1"/>
    <col min="9987" max="9990" width="9.140625" style="1093"/>
    <col min="9991" max="9991" width="12.85546875" style="1093" customWidth="1"/>
    <col min="9992" max="9992" width="3.7109375" style="1093" customWidth="1"/>
    <col min="9993" max="9997" width="9.140625" style="1093" customWidth="1"/>
    <col min="9998" max="9999" width="9.140625" style="1093"/>
    <col min="10000" max="10000" width="5.5703125" style="1093" customWidth="1"/>
    <col min="10001" max="10002" width="6.7109375" style="1093" customWidth="1"/>
    <col min="10003" max="10003" width="7.28515625" style="1093" customWidth="1"/>
    <col min="10004" max="10010" width="6.7109375" style="1093" customWidth="1"/>
    <col min="10011" max="10015" width="9.140625" style="1093" customWidth="1"/>
    <col min="10016" max="10017" width="7.140625" style="1093" customWidth="1"/>
    <col min="10018" max="10018" width="9.140625" style="1093"/>
    <col min="10019" max="10019" width="12.85546875" style="1093" customWidth="1"/>
    <col min="10020" max="10020" width="9.140625" style="1093" customWidth="1"/>
    <col min="10021" max="10021" width="7.28515625" style="1093" customWidth="1"/>
    <col min="10022" max="10024" width="9.140625" style="1093" customWidth="1"/>
    <col min="10025" max="10241" width="9.140625" style="1093"/>
    <col min="10242" max="10242" width="15.85546875" style="1093" customWidth="1"/>
    <col min="10243" max="10246" width="9.140625" style="1093"/>
    <col min="10247" max="10247" width="12.85546875" style="1093" customWidth="1"/>
    <col min="10248" max="10248" width="3.7109375" style="1093" customWidth="1"/>
    <col min="10249" max="10253" width="9.140625" style="1093" customWidth="1"/>
    <col min="10254" max="10255" width="9.140625" style="1093"/>
    <col min="10256" max="10256" width="5.5703125" style="1093" customWidth="1"/>
    <col min="10257" max="10258" width="6.7109375" style="1093" customWidth="1"/>
    <col min="10259" max="10259" width="7.28515625" style="1093" customWidth="1"/>
    <col min="10260" max="10266" width="6.7109375" style="1093" customWidth="1"/>
    <col min="10267" max="10271" width="9.140625" style="1093" customWidth="1"/>
    <col min="10272" max="10273" width="7.140625" style="1093" customWidth="1"/>
    <col min="10274" max="10274" width="9.140625" style="1093"/>
    <col min="10275" max="10275" width="12.85546875" style="1093" customWidth="1"/>
    <col min="10276" max="10276" width="9.140625" style="1093" customWidth="1"/>
    <col min="10277" max="10277" width="7.28515625" style="1093" customWidth="1"/>
    <col min="10278" max="10280" width="9.140625" style="1093" customWidth="1"/>
    <col min="10281" max="10497" width="9.140625" style="1093"/>
    <col min="10498" max="10498" width="15.85546875" style="1093" customWidth="1"/>
    <col min="10499" max="10502" width="9.140625" style="1093"/>
    <col min="10503" max="10503" width="12.85546875" style="1093" customWidth="1"/>
    <col min="10504" max="10504" width="3.7109375" style="1093" customWidth="1"/>
    <col min="10505" max="10509" width="9.140625" style="1093" customWidth="1"/>
    <col min="10510" max="10511" width="9.140625" style="1093"/>
    <col min="10512" max="10512" width="5.5703125" style="1093" customWidth="1"/>
    <col min="10513" max="10514" width="6.7109375" style="1093" customWidth="1"/>
    <col min="10515" max="10515" width="7.28515625" style="1093" customWidth="1"/>
    <col min="10516" max="10522" width="6.7109375" style="1093" customWidth="1"/>
    <col min="10523" max="10527" width="9.140625" style="1093" customWidth="1"/>
    <col min="10528" max="10529" width="7.140625" style="1093" customWidth="1"/>
    <col min="10530" max="10530" width="9.140625" style="1093"/>
    <col min="10531" max="10531" width="12.85546875" style="1093" customWidth="1"/>
    <col min="10532" max="10532" width="9.140625" style="1093" customWidth="1"/>
    <col min="10533" max="10533" width="7.28515625" style="1093" customWidth="1"/>
    <col min="10534" max="10536" width="9.140625" style="1093" customWidth="1"/>
    <col min="10537" max="10753" width="9.140625" style="1093"/>
    <col min="10754" max="10754" width="15.85546875" style="1093" customWidth="1"/>
    <col min="10755" max="10758" width="9.140625" style="1093"/>
    <col min="10759" max="10759" width="12.85546875" style="1093" customWidth="1"/>
    <col min="10760" max="10760" width="3.7109375" style="1093" customWidth="1"/>
    <col min="10761" max="10765" width="9.140625" style="1093" customWidth="1"/>
    <col min="10766" max="10767" width="9.140625" style="1093"/>
    <col min="10768" max="10768" width="5.5703125" style="1093" customWidth="1"/>
    <col min="10769" max="10770" width="6.7109375" style="1093" customWidth="1"/>
    <col min="10771" max="10771" width="7.28515625" style="1093" customWidth="1"/>
    <col min="10772" max="10778" width="6.7109375" style="1093" customWidth="1"/>
    <col min="10779" max="10783" width="9.140625" style="1093" customWidth="1"/>
    <col min="10784" max="10785" width="7.140625" style="1093" customWidth="1"/>
    <col min="10786" max="10786" width="9.140625" style="1093"/>
    <col min="10787" max="10787" width="12.85546875" style="1093" customWidth="1"/>
    <col min="10788" max="10788" width="9.140625" style="1093" customWidth="1"/>
    <col min="10789" max="10789" width="7.28515625" style="1093" customWidth="1"/>
    <col min="10790" max="10792" width="9.140625" style="1093" customWidth="1"/>
    <col min="10793" max="11009" width="9.140625" style="1093"/>
    <col min="11010" max="11010" width="15.85546875" style="1093" customWidth="1"/>
    <col min="11011" max="11014" width="9.140625" style="1093"/>
    <col min="11015" max="11015" width="12.85546875" style="1093" customWidth="1"/>
    <col min="11016" max="11016" width="3.7109375" style="1093" customWidth="1"/>
    <col min="11017" max="11021" width="9.140625" style="1093" customWidth="1"/>
    <col min="11022" max="11023" width="9.140625" style="1093"/>
    <col min="11024" max="11024" width="5.5703125" style="1093" customWidth="1"/>
    <col min="11025" max="11026" width="6.7109375" style="1093" customWidth="1"/>
    <col min="11027" max="11027" width="7.28515625" style="1093" customWidth="1"/>
    <col min="11028" max="11034" width="6.7109375" style="1093" customWidth="1"/>
    <col min="11035" max="11039" width="9.140625" style="1093" customWidth="1"/>
    <col min="11040" max="11041" width="7.140625" style="1093" customWidth="1"/>
    <col min="11042" max="11042" width="9.140625" style="1093"/>
    <col min="11043" max="11043" width="12.85546875" style="1093" customWidth="1"/>
    <col min="11044" max="11044" width="9.140625" style="1093" customWidth="1"/>
    <col min="11045" max="11045" width="7.28515625" style="1093" customWidth="1"/>
    <col min="11046" max="11048" width="9.140625" style="1093" customWidth="1"/>
    <col min="11049" max="11265" width="9.140625" style="1093"/>
    <col min="11266" max="11266" width="15.85546875" style="1093" customWidth="1"/>
    <col min="11267" max="11270" width="9.140625" style="1093"/>
    <col min="11271" max="11271" width="12.85546875" style="1093" customWidth="1"/>
    <col min="11272" max="11272" width="3.7109375" style="1093" customWidth="1"/>
    <col min="11273" max="11277" width="9.140625" style="1093" customWidth="1"/>
    <col min="11278" max="11279" width="9.140625" style="1093"/>
    <col min="11280" max="11280" width="5.5703125" style="1093" customWidth="1"/>
    <col min="11281" max="11282" width="6.7109375" style="1093" customWidth="1"/>
    <col min="11283" max="11283" width="7.28515625" style="1093" customWidth="1"/>
    <col min="11284" max="11290" width="6.7109375" style="1093" customWidth="1"/>
    <col min="11291" max="11295" width="9.140625" style="1093" customWidth="1"/>
    <col min="11296" max="11297" width="7.140625" style="1093" customWidth="1"/>
    <col min="11298" max="11298" width="9.140625" style="1093"/>
    <col min="11299" max="11299" width="12.85546875" style="1093" customWidth="1"/>
    <col min="11300" max="11300" width="9.140625" style="1093" customWidth="1"/>
    <col min="11301" max="11301" width="7.28515625" style="1093" customWidth="1"/>
    <col min="11302" max="11304" width="9.140625" style="1093" customWidth="1"/>
    <col min="11305" max="11521" width="9.140625" style="1093"/>
    <col min="11522" max="11522" width="15.85546875" style="1093" customWidth="1"/>
    <col min="11523" max="11526" width="9.140625" style="1093"/>
    <col min="11527" max="11527" width="12.85546875" style="1093" customWidth="1"/>
    <col min="11528" max="11528" width="3.7109375" style="1093" customWidth="1"/>
    <col min="11529" max="11533" width="9.140625" style="1093" customWidth="1"/>
    <col min="11534" max="11535" width="9.140625" style="1093"/>
    <col min="11536" max="11536" width="5.5703125" style="1093" customWidth="1"/>
    <col min="11537" max="11538" width="6.7109375" style="1093" customWidth="1"/>
    <col min="11539" max="11539" width="7.28515625" style="1093" customWidth="1"/>
    <col min="11540" max="11546" width="6.7109375" style="1093" customWidth="1"/>
    <col min="11547" max="11551" width="9.140625" style="1093" customWidth="1"/>
    <col min="11552" max="11553" width="7.140625" style="1093" customWidth="1"/>
    <col min="11554" max="11554" width="9.140625" style="1093"/>
    <col min="11555" max="11555" width="12.85546875" style="1093" customWidth="1"/>
    <col min="11556" max="11556" width="9.140625" style="1093" customWidth="1"/>
    <col min="11557" max="11557" width="7.28515625" style="1093" customWidth="1"/>
    <col min="11558" max="11560" width="9.140625" style="1093" customWidth="1"/>
    <col min="11561" max="11777" width="9.140625" style="1093"/>
    <col min="11778" max="11778" width="15.85546875" style="1093" customWidth="1"/>
    <col min="11779" max="11782" width="9.140625" style="1093"/>
    <col min="11783" max="11783" width="12.85546875" style="1093" customWidth="1"/>
    <col min="11784" max="11784" width="3.7109375" style="1093" customWidth="1"/>
    <col min="11785" max="11789" width="9.140625" style="1093" customWidth="1"/>
    <col min="11790" max="11791" width="9.140625" style="1093"/>
    <col min="11792" max="11792" width="5.5703125" style="1093" customWidth="1"/>
    <col min="11793" max="11794" width="6.7109375" style="1093" customWidth="1"/>
    <col min="11795" max="11795" width="7.28515625" style="1093" customWidth="1"/>
    <col min="11796" max="11802" width="6.7109375" style="1093" customWidth="1"/>
    <col min="11803" max="11807" width="9.140625" style="1093" customWidth="1"/>
    <col min="11808" max="11809" width="7.140625" style="1093" customWidth="1"/>
    <col min="11810" max="11810" width="9.140625" style="1093"/>
    <col min="11811" max="11811" width="12.85546875" style="1093" customWidth="1"/>
    <col min="11812" max="11812" width="9.140625" style="1093" customWidth="1"/>
    <col min="11813" max="11813" width="7.28515625" style="1093" customWidth="1"/>
    <col min="11814" max="11816" width="9.140625" style="1093" customWidth="1"/>
    <col min="11817" max="12033" width="9.140625" style="1093"/>
    <col min="12034" max="12034" width="15.85546875" style="1093" customWidth="1"/>
    <col min="12035" max="12038" width="9.140625" style="1093"/>
    <col min="12039" max="12039" width="12.85546875" style="1093" customWidth="1"/>
    <col min="12040" max="12040" width="3.7109375" style="1093" customWidth="1"/>
    <col min="12041" max="12045" width="9.140625" style="1093" customWidth="1"/>
    <col min="12046" max="12047" width="9.140625" style="1093"/>
    <col min="12048" max="12048" width="5.5703125" style="1093" customWidth="1"/>
    <col min="12049" max="12050" width="6.7109375" style="1093" customWidth="1"/>
    <col min="12051" max="12051" width="7.28515625" style="1093" customWidth="1"/>
    <col min="12052" max="12058" width="6.7109375" style="1093" customWidth="1"/>
    <col min="12059" max="12063" width="9.140625" style="1093" customWidth="1"/>
    <col min="12064" max="12065" width="7.140625" style="1093" customWidth="1"/>
    <col min="12066" max="12066" width="9.140625" style="1093"/>
    <col min="12067" max="12067" width="12.85546875" style="1093" customWidth="1"/>
    <col min="12068" max="12068" width="9.140625" style="1093" customWidth="1"/>
    <col min="12069" max="12069" width="7.28515625" style="1093" customWidth="1"/>
    <col min="12070" max="12072" width="9.140625" style="1093" customWidth="1"/>
    <col min="12073" max="12289" width="9.140625" style="1093"/>
    <col min="12290" max="12290" width="15.85546875" style="1093" customWidth="1"/>
    <col min="12291" max="12294" width="9.140625" style="1093"/>
    <col min="12295" max="12295" width="12.85546875" style="1093" customWidth="1"/>
    <col min="12296" max="12296" width="3.7109375" style="1093" customWidth="1"/>
    <col min="12297" max="12301" width="9.140625" style="1093" customWidth="1"/>
    <col min="12302" max="12303" width="9.140625" style="1093"/>
    <col min="12304" max="12304" width="5.5703125" style="1093" customWidth="1"/>
    <col min="12305" max="12306" width="6.7109375" style="1093" customWidth="1"/>
    <col min="12307" max="12307" width="7.28515625" style="1093" customWidth="1"/>
    <col min="12308" max="12314" width="6.7109375" style="1093" customWidth="1"/>
    <col min="12315" max="12319" width="9.140625" style="1093" customWidth="1"/>
    <col min="12320" max="12321" width="7.140625" style="1093" customWidth="1"/>
    <col min="12322" max="12322" width="9.140625" style="1093"/>
    <col min="12323" max="12323" width="12.85546875" style="1093" customWidth="1"/>
    <col min="12324" max="12324" width="9.140625" style="1093" customWidth="1"/>
    <col min="12325" max="12325" width="7.28515625" style="1093" customWidth="1"/>
    <col min="12326" max="12328" width="9.140625" style="1093" customWidth="1"/>
    <col min="12329" max="12545" width="9.140625" style="1093"/>
    <col min="12546" max="12546" width="15.85546875" style="1093" customWidth="1"/>
    <col min="12547" max="12550" width="9.140625" style="1093"/>
    <col min="12551" max="12551" width="12.85546875" style="1093" customWidth="1"/>
    <col min="12552" max="12552" width="3.7109375" style="1093" customWidth="1"/>
    <col min="12553" max="12557" width="9.140625" style="1093" customWidth="1"/>
    <col min="12558" max="12559" width="9.140625" style="1093"/>
    <col min="12560" max="12560" width="5.5703125" style="1093" customWidth="1"/>
    <col min="12561" max="12562" width="6.7109375" style="1093" customWidth="1"/>
    <col min="12563" max="12563" width="7.28515625" style="1093" customWidth="1"/>
    <col min="12564" max="12570" width="6.7109375" style="1093" customWidth="1"/>
    <col min="12571" max="12575" width="9.140625" style="1093" customWidth="1"/>
    <col min="12576" max="12577" width="7.140625" style="1093" customWidth="1"/>
    <col min="12578" max="12578" width="9.140625" style="1093"/>
    <col min="12579" max="12579" width="12.85546875" style="1093" customWidth="1"/>
    <col min="12580" max="12580" width="9.140625" style="1093" customWidth="1"/>
    <col min="12581" max="12581" width="7.28515625" style="1093" customWidth="1"/>
    <col min="12582" max="12584" width="9.140625" style="1093" customWidth="1"/>
    <col min="12585" max="12801" width="9.140625" style="1093"/>
    <col min="12802" max="12802" width="15.85546875" style="1093" customWidth="1"/>
    <col min="12803" max="12806" width="9.140625" style="1093"/>
    <col min="12807" max="12807" width="12.85546875" style="1093" customWidth="1"/>
    <col min="12808" max="12808" width="3.7109375" style="1093" customWidth="1"/>
    <col min="12809" max="12813" width="9.140625" style="1093" customWidth="1"/>
    <col min="12814" max="12815" width="9.140625" style="1093"/>
    <col min="12816" max="12816" width="5.5703125" style="1093" customWidth="1"/>
    <col min="12817" max="12818" width="6.7109375" style="1093" customWidth="1"/>
    <col min="12819" max="12819" width="7.28515625" style="1093" customWidth="1"/>
    <col min="12820" max="12826" width="6.7109375" style="1093" customWidth="1"/>
    <col min="12827" max="12831" width="9.140625" style="1093" customWidth="1"/>
    <col min="12832" max="12833" width="7.140625" style="1093" customWidth="1"/>
    <col min="12834" max="12834" width="9.140625" style="1093"/>
    <col min="12835" max="12835" width="12.85546875" style="1093" customWidth="1"/>
    <col min="12836" max="12836" width="9.140625" style="1093" customWidth="1"/>
    <col min="12837" max="12837" width="7.28515625" style="1093" customWidth="1"/>
    <col min="12838" max="12840" width="9.140625" style="1093" customWidth="1"/>
    <col min="12841" max="13057" width="9.140625" style="1093"/>
    <col min="13058" max="13058" width="15.85546875" style="1093" customWidth="1"/>
    <col min="13059" max="13062" width="9.140625" style="1093"/>
    <col min="13063" max="13063" width="12.85546875" style="1093" customWidth="1"/>
    <col min="13064" max="13064" width="3.7109375" style="1093" customWidth="1"/>
    <col min="13065" max="13069" width="9.140625" style="1093" customWidth="1"/>
    <col min="13070" max="13071" width="9.140625" style="1093"/>
    <col min="13072" max="13072" width="5.5703125" style="1093" customWidth="1"/>
    <col min="13073" max="13074" width="6.7109375" style="1093" customWidth="1"/>
    <col min="13075" max="13075" width="7.28515625" style="1093" customWidth="1"/>
    <col min="13076" max="13082" width="6.7109375" style="1093" customWidth="1"/>
    <col min="13083" max="13087" width="9.140625" style="1093" customWidth="1"/>
    <col min="13088" max="13089" width="7.140625" style="1093" customWidth="1"/>
    <col min="13090" max="13090" width="9.140625" style="1093"/>
    <col min="13091" max="13091" width="12.85546875" style="1093" customWidth="1"/>
    <col min="13092" max="13092" width="9.140625" style="1093" customWidth="1"/>
    <col min="13093" max="13093" width="7.28515625" style="1093" customWidth="1"/>
    <col min="13094" max="13096" width="9.140625" style="1093" customWidth="1"/>
    <col min="13097" max="13313" width="9.140625" style="1093"/>
    <col min="13314" max="13314" width="15.85546875" style="1093" customWidth="1"/>
    <col min="13315" max="13318" width="9.140625" style="1093"/>
    <col min="13319" max="13319" width="12.85546875" style="1093" customWidth="1"/>
    <col min="13320" max="13320" width="3.7109375" style="1093" customWidth="1"/>
    <col min="13321" max="13325" width="9.140625" style="1093" customWidth="1"/>
    <col min="13326" max="13327" width="9.140625" style="1093"/>
    <col min="13328" max="13328" width="5.5703125" style="1093" customWidth="1"/>
    <col min="13329" max="13330" width="6.7109375" style="1093" customWidth="1"/>
    <col min="13331" max="13331" width="7.28515625" style="1093" customWidth="1"/>
    <col min="13332" max="13338" width="6.7109375" style="1093" customWidth="1"/>
    <col min="13339" max="13343" width="9.140625" style="1093" customWidth="1"/>
    <col min="13344" max="13345" width="7.140625" style="1093" customWidth="1"/>
    <col min="13346" max="13346" width="9.140625" style="1093"/>
    <col min="13347" max="13347" width="12.85546875" style="1093" customWidth="1"/>
    <col min="13348" max="13348" width="9.140625" style="1093" customWidth="1"/>
    <col min="13349" max="13349" width="7.28515625" style="1093" customWidth="1"/>
    <col min="13350" max="13352" width="9.140625" style="1093" customWidth="1"/>
    <col min="13353" max="13569" width="9.140625" style="1093"/>
    <col min="13570" max="13570" width="15.85546875" style="1093" customWidth="1"/>
    <col min="13571" max="13574" width="9.140625" style="1093"/>
    <col min="13575" max="13575" width="12.85546875" style="1093" customWidth="1"/>
    <col min="13576" max="13576" width="3.7109375" style="1093" customWidth="1"/>
    <col min="13577" max="13581" width="9.140625" style="1093" customWidth="1"/>
    <col min="13582" max="13583" width="9.140625" style="1093"/>
    <col min="13584" max="13584" width="5.5703125" style="1093" customWidth="1"/>
    <col min="13585" max="13586" width="6.7109375" style="1093" customWidth="1"/>
    <col min="13587" max="13587" width="7.28515625" style="1093" customWidth="1"/>
    <col min="13588" max="13594" width="6.7109375" style="1093" customWidth="1"/>
    <col min="13595" max="13599" width="9.140625" style="1093" customWidth="1"/>
    <col min="13600" max="13601" width="7.140625" style="1093" customWidth="1"/>
    <col min="13602" max="13602" width="9.140625" style="1093"/>
    <col min="13603" max="13603" width="12.85546875" style="1093" customWidth="1"/>
    <col min="13604" max="13604" width="9.140625" style="1093" customWidth="1"/>
    <col min="13605" max="13605" width="7.28515625" style="1093" customWidth="1"/>
    <col min="13606" max="13608" width="9.140625" style="1093" customWidth="1"/>
    <col min="13609" max="13825" width="9.140625" style="1093"/>
    <col min="13826" max="13826" width="15.85546875" style="1093" customWidth="1"/>
    <col min="13827" max="13830" width="9.140625" style="1093"/>
    <col min="13831" max="13831" width="12.85546875" style="1093" customWidth="1"/>
    <col min="13832" max="13832" width="3.7109375" style="1093" customWidth="1"/>
    <col min="13833" max="13837" width="9.140625" style="1093" customWidth="1"/>
    <col min="13838" max="13839" width="9.140625" style="1093"/>
    <col min="13840" max="13840" width="5.5703125" style="1093" customWidth="1"/>
    <col min="13841" max="13842" width="6.7109375" style="1093" customWidth="1"/>
    <col min="13843" max="13843" width="7.28515625" style="1093" customWidth="1"/>
    <col min="13844" max="13850" width="6.7109375" style="1093" customWidth="1"/>
    <col min="13851" max="13855" width="9.140625" style="1093" customWidth="1"/>
    <col min="13856" max="13857" width="7.140625" style="1093" customWidth="1"/>
    <col min="13858" max="13858" width="9.140625" style="1093"/>
    <col min="13859" max="13859" width="12.85546875" style="1093" customWidth="1"/>
    <col min="13860" max="13860" width="9.140625" style="1093" customWidth="1"/>
    <col min="13861" max="13861" width="7.28515625" style="1093" customWidth="1"/>
    <col min="13862" max="13864" width="9.140625" style="1093" customWidth="1"/>
    <col min="13865" max="14081" width="9.140625" style="1093"/>
    <col min="14082" max="14082" width="15.85546875" style="1093" customWidth="1"/>
    <col min="14083" max="14086" width="9.140625" style="1093"/>
    <col min="14087" max="14087" width="12.85546875" style="1093" customWidth="1"/>
    <col min="14088" max="14088" width="3.7109375" style="1093" customWidth="1"/>
    <col min="14089" max="14093" width="9.140625" style="1093" customWidth="1"/>
    <col min="14094" max="14095" width="9.140625" style="1093"/>
    <col min="14096" max="14096" width="5.5703125" style="1093" customWidth="1"/>
    <col min="14097" max="14098" width="6.7109375" style="1093" customWidth="1"/>
    <col min="14099" max="14099" width="7.28515625" style="1093" customWidth="1"/>
    <col min="14100" max="14106" width="6.7109375" style="1093" customWidth="1"/>
    <col min="14107" max="14111" width="9.140625" style="1093" customWidth="1"/>
    <col min="14112" max="14113" width="7.140625" style="1093" customWidth="1"/>
    <col min="14114" max="14114" width="9.140625" style="1093"/>
    <col min="14115" max="14115" width="12.85546875" style="1093" customWidth="1"/>
    <col min="14116" max="14116" width="9.140625" style="1093" customWidth="1"/>
    <col min="14117" max="14117" width="7.28515625" style="1093" customWidth="1"/>
    <col min="14118" max="14120" width="9.140625" style="1093" customWidth="1"/>
    <col min="14121" max="14337" width="9.140625" style="1093"/>
    <col min="14338" max="14338" width="15.85546875" style="1093" customWidth="1"/>
    <col min="14339" max="14342" width="9.140625" style="1093"/>
    <col min="14343" max="14343" width="12.85546875" style="1093" customWidth="1"/>
    <col min="14344" max="14344" width="3.7109375" style="1093" customWidth="1"/>
    <col min="14345" max="14349" width="9.140625" style="1093" customWidth="1"/>
    <col min="14350" max="14351" width="9.140625" style="1093"/>
    <col min="14352" max="14352" width="5.5703125" style="1093" customWidth="1"/>
    <col min="14353" max="14354" width="6.7109375" style="1093" customWidth="1"/>
    <col min="14355" max="14355" width="7.28515625" style="1093" customWidth="1"/>
    <col min="14356" max="14362" width="6.7109375" style="1093" customWidth="1"/>
    <col min="14363" max="14367" width="9.140625" style="1093" customWidth="1"/>
    <col min="14368" max="14369" width="7.140625" style="1093" customWidth="1"/>
    <col min="14370" max="14370" width="9.140625" style="1093"/>
    <col min="14371" max="14371" width="12.85546875" style="1093" customWidth="1"/>
    <col min="14372" max="14372" width="9.140625" style="1093" customWidth="1"/>
    <col min="14373" max="14373" width="7.28515625" style="1093" customWidth="1"/>
    <col min="14374" max="14376" width="9.140625" style="1093" customWidth="1"/>
    <col min="14377" max="14593" width="9.140625" style="1093"/>
    <col min="14594" max="14594" width="15.85546875" style="1093" customWidth="1"/>
    <col min="14595" max="14598" width="9.140625" style="1093"/>
    <col min="14599" max="14599" width="12.85546875" style="1093" customWidth="1"/>
    <col min="14600" max="14600" width="3.7109375" style="1093" customWidth="1"/>
    <col min="14601" max="14605" width="9.140625" style="1093" customWidth="1"/>
    <col min="14606" max="14607" width="9.140625" style="1093"/>
    <col min="14608" max="14608" width="5.5703125" style="1093" customWidth="1"/>
    <col min="14609" max="14610" width="6.7109375" style="1093" customWidth="1"/>
    <col min="14611" max="14611" width="7.28515625" style="1093" customWidth="1"/>
    <col min="14612" max="14618" width="6.7109375" style="1093" customWidth="1"/>
    <col min="14619" max="14623" width="9.140625" style="1093" customWidth="1"/>
    <col min="14624" max="14625" width="7.140625" style="1093" customWidth="1"/>
    <col min="14626" max="14626" width="9.140625" style="1093"/>
    <col min="14627" max="14627" width="12.85546875" style="1093" customWidth="1"/>
    <col min="14628" max="14628" width="9.140625" style="1093" customWidth="1"/>
    <col min="14629" max="14629" width="7.28515625" style="1093" customWidth="1"/>
    <col min="14630" max="14632" width="9.140625" style="1093" customWidth="1"/>
    <col min="14633" max="14849" width="9.140625" style="1093"/>
    <col min="14850" max="14850" width="15.85546875" style="1093" customWidth="1"/>
    <col min="14851" max="14854" width="9.140625" style="1093"/>
    <col min="14855" max="14855" width="12.85546875" style="1093" customWidth="1"/>
    <col min="14856" max="14856" width="3.7109375" style="1093" customWidth="1"/>
    <col min="14857" max="14861" width="9.140625" style="1093" customWidth="1"/>
    <col min="14862" max="14863" width="9.140625" style="1093"/>
    <col min="14864" max="14864" width="5.5703125" style="1093" customWidth="1"/>
    <col min="14865" max="14866" width="6.7109375" style="1093" customWidth="1"/>
    <col min="14867" max="14867" width="7.28515625" style="1093" customWidth="1"/>
    <col min="14868" max="14874" width="6.7109375" style="1093" customWidth="1"/>
    <col min="14875" max="14879" width="9.140625" style="1093" customWidth="1"/>
    <col min="14880" max="14881" width="7.140625" style="1093" customWidth="1"/>
    <col min="14882" max="14882" width="9.140625" style="1093"/>
    <col min="14883" max="14883" width="12.85546875" style="1093" customWidth="1"/>
    <col min="14884" max="14884" width="9.140625" style="1093" customWidth="1"/>
    <col min="14885" max="14885" width="7.28515625" style="1093" customWidth="1"/>
    <col min="14886" max="14888" width="9.140625" style="1093" customWidth="1"/>
    <col min="14889" max="15105" width="9.140625" style="1093"/>
    <col min="15106" max="15106" width="15.85546875" style="1093" customWidth="1"/>
    <col min="15107" max="15110" width="9.140625" style="1093"/>
    <col min="15111" max="15111" width="12.85546875" style="1093" customWidth="1"/>
    <col min="15112" max="15112" width="3.7109375" style="1093" customWidth="1"/>
    <col min="15113" max="15117" width="9.140625" style="1093" customWidth="1"/>
    <col min="15118" max="15119" width="9.140625" style="1093"/>
    <col min="15120" max="15120" width="5.5703125" style="1093" customWidth="1"/>
    <col min="15121" max="15122" width="6.7109375" style="1093" customWidth="1"/>
    <col min="15123" max="15123" width="7.28515625" style="1093" customWidth="1"/>
    <col min="15124" max="15130" width="6.7109375" style="1093" customWidth="1"/>
    <col min="15131" max="15135" width="9.140625" style="1093" customWidth="1"/>
    <col min="15136" max="15137" width="7.140625" style="1093" customWidth="1"/>
    <col min="15138" max="15138" width="9.140625" style="1093"/>
    <col min="15139" max="15139" width="12.85546875" style="1093" customWidth="1"/>
    <col min="15140" max="15140" width="9.140625" style="1093" customWidth="1"/>
    <col min="15141" max="15141" width="7.28515625" style="1093" customWidth="1"/>
    <col min="15142" max="15144" width="9.140625" style="1093" customWidth="1"/>
    <col min="15145" max="15361" width="9.140625" style="1093"/>
    <col min="15362" max="15362" width="15.85546875" style="1093" customWidth="1"/>
    <col min="15363" max="15366" width="9.140625" style="1093"/>
    <col min="15367" max="15367" width="12.85546875" style="1093" customWidth="1"/>
    <col min="15368" max="15368" width="3.7109375" style="1093" customWidth="1"/>
    <col min="15369" max="15373" width="9.140625" style="1093" customWidth="1"/>
    <col min="15374" max="15375" width="9.140625" style="1093"/>
    <col min="15376" max="15376" width="5.5703125" style="1093" customWidth="1"/>
    <col min="15377" max="15378" width="6.7109375" style="1093" customWidth="1"/>
    <col min="15379" max="15379" width="7.28515625" style="1093" customWidth="1"/>
    <col min="15380" max="15386" width="6.7109375" style="1093" customWidth="1"/>
    <col min="15387" max="15391" width="9.140625" style="1093" customWidth="1"/>
    <col min="15392" max="15393" width="7.140625" style="1093" customWidth="1"/>
    <col min="15394" max="15394" width="9.140625" style="1093"/>
    <col min="15395" max="15395" width="12.85546875" style="1093" customWidth="1"/>
    <col min="15396" max="15396" width="9.140625" style="1093" customWidth="1"/>
    <col min="15397" max="15397" width="7.28515625" style="1093" customWidth="1"/>
    <col min="15398" max="15400" width="9.140625" style="1093" customWidth="1"/>
    <col min="15401" max="15617" width="9.140625" style="1093"/>
    <col min="15618" max="15618" width="15.85546875" style="1093" customWidth="1"/>
    <col min="15619" max="15622" width="9.140625" style="1093"/>
    <col min="15623" max="15623" width="12.85546875" style="1093" customWidth="1"/>
    <col min="15624" max="15624" width="3.7109375" style="1093" customWidth="1"/>
    <col min="15625" max="15629" width="9.140625" style="1093" customWidth="1"/>
    <col min="15630" max="15631" width="9.140625" style="1093"/>
    <col min="15632" max="15632" width="5.5703125" style="1093" customWidth="1"/>
    <col min="15633" max="15634" width="6.7109375" style="1093" customWidth="1"/>
    <col min="15635" max="15635" width="7.28515625" style="1093" customWidth="1"/>
    <col min="15636" max="15642" width="6.7109375" style="1093" customWidth="1"/>
    <col min="15643" max="15647" width="9.140625" style="1093" customWidth="1"/>
    <col min="15648" max="15649" width="7.140625" style="1093" customWidth="1"/>
    <col min="15650" max="15650" width="9.140625" style="1093"/>
    <col min="15651" max="15651" width="12.85546875" style="1093" customWidth="1"/>
    <col min="15652" max="15652" width="9.140625" style="1093" customWidth="1"/>
    <col min="15653" max="15653" width="7.28515625" style="1093" customWidth="1"/>
    <col min="15654" max="15656" width="9.140625" style="1093" customWidth="1"/>
    <col min="15657" max="15873" width="9.140625" style="1093"/>
    <col min="15874" max="15874" width="15.85546875" style="1093" customWidth="1"/>
    <col min="15875" max="15878" width="9.140625" style="1093"/>
    <col min="15879" max="15879" width="12.85546875" style="1093" customWidth="1"/>
    <col min="15880" max="15880" width="3.7109375" style="1093" customWidth="1"/>
    <col min="15881" max="15885" width="9.140625" style="1093" customWidth="1"/>
    <col min="15886" max="15887" width="9.140625" style="1093"/>
    <col min="15888" max="15888" width="5.5703125" style="1093" customWidth="1"/>
    <col min="15889" max="15890" width="6.7109375" style="1093" customWidth="1"/>
    <col min="15891" max="15891" width="7.28515625" style="1093" customWidth="1"/>
    <col min="15892" max="15898" width="6.7109375" style="1093" customWidth="1"/>
    <col min="15899" max="15903" width="9.140625" style="1093" customWidth="1"/>
    <col min="15904" max="15905" width="7.140625" style="1093" customWidth="1"/>
    <col min="15906" max="15906" width="9.140625" style="1093"/>
    <col min="15907" max="15907" width="12.85546875" style="1093" customWidth="1"/>
    <col min="15908" max="15908" width="9.140625" style="1093" customWidth="1"/>
    <col min="15909" max="15909" width="7.28515625" style="1093" customWidth="1"/>
    <col min="15910" max="15912" width="9.140625" style="1093" customWidth="1"/>
    <col min="15913" max="16129" width="9.140625" style="1093"/>
    <col min="16130" max="16130" width="15.85546875" style="1093" customWidth="1"/>
    <col min="16131" max="16134" width="9.140625" style="1093"/>
    <col min="16135" max="16135" width="12.85546875" style="1093" customWidth="1"/>
    <col min="16136" max="16136" width="3.7109375" style="1093" customWidth="1"/>
    <col min="16137" max="16141" width="9.140625" style="1093" customWidth="1"/>
    <col min="16142" max="16143" width="9.140625" style="1093"/>
    <col min="16144" max="16144" width="5.5703125" style="1093" customWidth="1"/>
    <col min="16145" max="16146" width="6.7109375" style="1093" customWidth="1"/>
    <col min="16147" max="16147" width="7.28515625" style="1093" customWidth="1"/>
    <col min="16148" max="16154" width="6.7109375" style="1093" customWidth="1"/>
    <col min="16155" max="16159" width="9.140625" style="1093" customWidth="1"/>
    <col min="16160" max="16161" width="7.140625" style="1093" customWidth="1"/>
    <col min="16162" max="16162" width="9.140625" style="1093"/>
    <col min="16163" max="16163" width="12.85546875" style="1093" customWidth="1"/>
    <col min="16164" max="16164" width="9.140625" style="1093" customWidth="1"/>
    <col min="16165" max="16165" width="7.28515625" style="1093" customWidth="1"/>
    <col min="16166" max="16168" width="9.140625" style="1093" customWidth="1"/>
    <col min="16169" max="16384" width="9.140625" style="1093"/>
  </cols>
  <sheetData>
    <row r="1" spans="1:46" ht="15.75" x14ac:dyDescent="0.2">
      <c r="A1" s="1092" t="s">
        <v>1340</v>
      </c>
    </row>
    <row r="2" spans="1:46" ht="15.75" x14ac:dyDescent="0.2">
      <c r="A2" s="1092" t="s">
        <v>1054</v>
      </c>
    </row>
    <row r="3" spans="1:46" ht="15.75" x14ac:dyDescent="0.2">
      <c r="C3" s="1093" t="s">
        <v>1341</v>
      </c>
      <c r="D3" s="1093" t="s">
        <v>1342</v>
      </c>
      <c r="G3" s="1095" t="s">
        <v>1343</v>
      </c>
      <c r="O3" s="1095" t="s">
        <v>1344</v>
      </c>
      <c r="P3" s="1093" t="s">
        <v>1342</v>
      </c>
      <c r="U3" s="1093" t="s">
        <v>1345</v>
      </c>
      <c r="AA3" s="1096" t="s">
        <v>1346</v>
      </c>
      <c r="AB3" s="1097" t="s">
        <v>1347</v>
      </c>
      <c r="AC3" s="1097"/>
      <c r="AE3" s="1093" t="s">
        <v>1345</v>
      </c>
      <c r="AI3" s="1095" t="s">
        <v>1348</v>
      </c>
    </row>
    <row r="4" spans="1:46" x14ac:dyDescent="0.2">
      <c r="C4" s="1093" t="s">
        <v>1349</v>
      </c>
      <c r="D4" s="1093" t="s">
        <v>1350</v>
      </c>
      <c r="E4" s="1093" t="s">
        <v>1351</v>
      </c>
      <c r="I4" s="1093" t="s">
        <v>1352</v>
      </c>
      <c r="J4" s="1093" t="s">
        <v>1352</v>
      </c>
      <c r="K4" s="1093" t="s">
        <v>1353</v>
      </c>
      <c r="L4" s="1093" t="s">
        <v>1353</v>
      </c>
      <c r="P4" s="1093" t="s">
        <v>1350</v>
      </c>
      <c r="Q4" s="1093" t="s">
        <v>1351</v>
      </c>
      <c r="R4" s="1093" t="s">
        <v>1354</v>
      </c>
      <c r="S4" s="1098" t="s">
        <v>1355</v>
      </c>
      <c r="T4" s="1099" t="s">
        <v>1356</v>
      </c>
      <c r="U4" s="1099"/>
      <c r="V4" s="1099"/>
      <c r="W4" s="1100" t="s">
        <v>1357</v>
      </c>
      <c r="X4" s="1100" t="s">
        <v>1358</v>
      </c>
      <c r="Y4" s="1100"/>
      <c r="Z4" s="1100"/>
      <c r="AA4" s="1096" t="s">
        <v>1359</v>
      </c>
      <c r="AB4" s="1097" t="s">
        <v>1360</v>
      </c>
      <c r="AC4" s="1097" t="s">
        <v>1361</v>
      </c>
      <c r="AD4" s="1101" t="s">
        <v>1362</v>
      </c>
      <c r="AE4" s="1101"/>
      <c r="AF4" s="1102" t="s">
        <v>1363</v>
      </c>
      <c r="AJ4" s="1103" t="s">
        <v>1364</v>
      </c>
      <c r="AK4" s="1104" t="s">
        <v>1363</v>
      </c>
      <c r="AL4" s="1105" t="s">
        <v>1365</v>
      </c>
      <c r="AM4" s="1106" t="s">
        <v>1366</v>
      </c>
      <c r="AN4" s="1107" t="s">
        <v>1367</v>
      </c>
      <c r="AO4" s="1108" t="s">
        <v>1368</v>
      </c>
      <c r="AP4" s="1107" t="s">
        <v>1369</v>
      </c>
      <c r="AQ4" s="1106" t="s">
        <v>1369</v>
      </c>
      <c r="AR4" s="1104" t="s">
        <v>1363</v>
      </c>
      <c r="AS4" s="1103"/>
      <c r="AT4" s="1093" t="s">
        <v>1370</v>
      </c>
    </row>
    <row r="5" spans="1:46" x14ac:dyDescent="0.2">
      <c r="C5" s="1093" t="s">
        <v>441</v>
      </c>
      <c r="D5" s="1093" t="s">
        <v>435</v>
      </c>
      <c r="E5" s="1093" t="s">
        <v>435</v>
      </c>
      <c r="I5" s="1093" t="s">
        <v>1371</v>
      </c>
      <c r="K5" s="1108" t="s">
        <v>1372</v>
      </c>
      <c r="L5" s="1109" t="s">
        <v>1373</v>
      </c>
      <c r="P5" s="1093" t="s">
        <v>435</v>
      </c>
      <c r="Q5" s="1093" t="s">
        <v>435</v>
      </c>
      <c r="R5" s="1093" t="s">
        <v>435</v>
      </c>
      <c r="S5" s="1110" t="s">
        <v>1374</v>
      </c>
      <c r="T5" s="1111">
        <v>0.1</v>
      </c>
      <c r="U5" s="1111">
        <v>0.1</v>
      </c>
      <c r="V5" s="1111">
        <v>0.3</v>
      </c>
      <c r="W5" s="1112"/>
      <c r="X5" s="1093" t="s">
        <v>1375</v>
      </c>
      <c r="Y5" s="1093" t="s">
        <v>1376</v>
      </c>
      <c r="Z5" s="1093" t="s">
        <v>1377</v>
      </c>
      <c r="AA5" s="1096" t="s">
        <v>1378</v>
      </c>
      <c r="AB5" s="1093" t="s">
        <v>1359</v>
      </c>
      <c r="AC5" s="1093" t="s">
        <v>1359</v>
      </c>
      <c r="AD5" s="1094" t="s">
        <v>1376</v>
      </c>
      <c r="AQ5" s="1106" t="s">
        <v>1379</v>
      </c>
      <c r="AT5" s="1113">
        <v>0.1</v>
      </c>
    </row>
    <row r="6" spans="1:46" x14ac:dyDescent="0.2">
      <c r="I6" s="1096">
        <f>SUM(J7:L7)</f>
        <v>678.56</v>
      </c>
      <c r="J6" s="1114"/>
      <c r="K6" s="1096">
        <f>SUM(K7:L7)</f>
        <v>587.6099999999999</v>
      </c>
      <c r="T6" s="1115">
        <f>SUM(T7:U7)</f>
        <v>148.13849999999996</v>
      </c>
      <c r="X6" s="1115">
        <f>SUM(X7:Z7)</f>
        <v>222.864</v>
      </c>
      <c r="Y6" s="1116"/>
      <c r="Z6" s="1116"/>
      <c r="AD6" s="1115">
        <f>SUM(AD7:AE7)</f>
        <v>728.93499999999983</v>
      </c>
      <c r="AJ6" s="1117">
        <f>SUM(AJ7:AN7)</f>
        <v>678.56</v>
      </c>
      <c r="AO6" s="1094">
        <f>SUM(AP7:AS7)</f>
        <v>677.76999999999987</v>
      </c>
      <c r="AR6" s="1094">
        <f>+AR7+AT7</f>
        <v>524.57189999999991</v>
      </c>
    </row>
    <row r="7" spans="1:46" s="1094" customFormat="1" x14ac:dyDescent="0.2">
      <c r="G7" s="1118">
        <f>SUM(G9:G59)</f>
        <v>678.55999999999972</v>
      </c>
      <c r="H7" s="1118"/>
      <c r="I7" s="1119">
        <f>SUM(I9:I59)</f>
        <v>536.5</v>
      </c>
      <c r="J7" s="1119">
        <f>SUM(J9:J59)</f>
        <v>90.95</v>
      </c>
      <c r="K7" s="1119">
        <f>SUM(K9:K59)</f>
        <v>542.57999999999993</v>
      </c>
      <c r="L7" s="1119">
        <f>SUM(L9:L59)</f>
        <v>45.03</v>
      </c>
      <c r="M7" s="1119">
        <f>SUM(M9:M59)</f>
        <v>29.58</v>
      </c>
      <c r="S7" s="1119">
        <f t="shared" ref="S7:AE7" si="0">SUM(S9:S59)</f>
        <v>249.85500000000002</v>
      </c>
      <c r="T7" s="1119">
        <f t="shared" si="0"/>
        <v>239.05649999999997</v>
      </c>
      <c r="U7" s="1119">
        <f t="shared" si="0"/>
        <v>-90.917999999999992</v>
      </c>
      <c r="V7" s="1119">
        <f t="shared" si="0"/>
        <v>36.410999999999994</v>
      </c>
      <c r="W7" s="1120">
        <f t="shared" si="0"/>
        <v>248.35500000000002</v>
      </c>
      <c r="X7" s="1119">
        <f>SUM(X9:X59)</f>
        <v>12.57</v>
      </c>
      <c r="Y7" s="1119">
        <f t="shared" si="0"/>
        <v>39.744</v>
      </c>
      <c r="Z7" s="1119">
        <f t="shared" si="0"/>
        <v>170.55</v>
      </c>
      <c r="AA7" s="1119">
        <f>SUM(AA9:AA59)</f>
        <v>31.631500000000013</v>
      </c>
      <c r="AB7" s="1119">
        <f>SUM(AB9:AB59)</f>
        <v>40.916000000000004</v>
      </c>
      <c r="AC7" s="1119">
        <f>SUM(AC9:AC59)</f>
        <v>3.1799999999999997</v>
      </c>
      <c r="AD7" s="1119">
        <f t="shared" si="0"/>
        <v>985.8599999999999</v>
      </c>
      <c r="AE7" s="1119">
        <f t="shared" si="0"/>
        <v>-256.92500000000007</v>
      </c>
      <c r="AF7" s="1119">
        <f>SUM(AF9:AF59)</f>
        <v>518.99799999999993</v>
      </c>
      <c r="AI7" s="1118">
        <f>SUM(AI9:AI59)</f>
        <v>678.55999999999972</v>
      </c>
      <c r="AJ7" s="1118">
        <f t="shared" ref="AJ7:AS7" si="1">SUM(AJ9:AJ59)</f>
        <v>59.34</v>
      </c>
      <c r="AK7" s="1118">
        <f t="shared" si="1"/>
        <v>470.18999999999988</v>
      </c>
      <c r="AL7" s="1118">
        <f t="shared" si="1"/>
        <v>1.07</v>
      </c>
      <c r="AM7" s="1118">
        <f t="shared" si="1"/>
        <v>29.58</v>
      </c>
      <c r="AN7" s="1118">
        <f t="shared" si="1"/>
        <v>118.38</v>
      </c>
      <c r="AO7" s="1121">
        <v>6.1</v>
      </c>
      <c r="AP7" s="1121">
        <f t="shared" si="1"/>
        <v>119.44999999999999</v>
      </c>
      <c r="AQ7" s="1121">
        <f t="shared" si="1"/>
        <v>28.79</v>
      </c>
      <c r="AR7" s="1121">
        <f t="shared" si="1"/>
        <v>470.18999999999988</v>
      </c>
      <c r="AS7" s="1122">
        <f t="shared" si="1"/>
        <v>59.34</v>
      </c>
      <c r="AT7" s="1121">
        <f>SUM(AT9:AT59)</f>
        <v>54.381900000000002</v>
      </c>
    </row>
    <row r="8" spans="1:46" x14ac:dyDescent="0.2">
      <c r="K8" s="1093" t="s">
        <v>1380</v>
      </c>
      <c r="L8" s="1093" t="s">
        <v>1381</v>
      </c>
      <c r="M8" s="1093" t="s">
        <v>1382</v>
      </c>
    </row>
    <row r="9" spans="1:46" x14ac:dyDescent="0.2">
      <c r="A9" s="1093">
        <v>301</v>
      </c>
      <c r="B9" s="1093" t="s">
        <v>1383</v>
      </c>
      <c r="C9" s="1093">
        <v>59.34</v>
      </c>
      <c r="G9" s="1103">
        <v>59.34</v>
      </c>
      <c r="H9" s="1103" t="s">
        <v>1384</v>
      </c>
      <c r="I9" s="1103"/>
      <c r="J9" s="1103">
        <v>59.34</v>
      </c>
      <c r="P9" s="1093">
        <v>0</v>
      </c>
      <c r="Q9" s="1093">
        <v>0</v>
      </c>
      <c r="R9" s="1093">
        <v>2.65</v>
      </c>
      <c r="AG9" s="1093">
        <v>0</v>
      </c>
      <c r="AI9" s="1103">
        <v>59.34</v>
      </c>
      <c r="AJ9" s="1103">
        <v>59.34</v>
      </c>
      <c r="AS9" s="1103">
        <v>59.34</v>
      </c>
      <c r="AT9" s="1123">
        <f>3.93*9.83</f>
        <v>38.631900000000002</v>
      </c>
    </row>
    <row r="10" spans="1:46" x14ac:dyDescent="0.2">
      <c r="A10" s="1093">
        <f>+A9+1</f>
        <v>302</v>
      </c>
      <c r="B10" s="1093" t="s">
        <v>1385</v>
      </c>
      <c r="C10" s="1093">
        <v>3.5</v>
      </c>
      <c r="D10" s="1093">
        <v>1.84</v>
      </c>
      <c r="E10" s="1093">
        <v>1.9</v>
      </c>
      <c r="G10" s="1108">
        <v>3.5</v>
      </c>
      <c r="H10" s="1108" t="s">
        <v>1386</v>
      </c>
      <c r="I10" s="1108">
        <f>SUM(P10:Q10)*2</f>
        <v>7.48</v>
      </c>
      <c r="K10" s="1108">
        <v>3.5</v>
      </c>
      <c r="L10" s="1108"/>
      <c r="P10" s="1093">
        <v>1.84</v>
      </c>
      <c r="Q10" s="1093">
        <v>1.9</v>
      </c>
      <c r="R10" s="1093">
        <v>2.65</v>
      </c>
      <c r="S10" s="1124">
        <f>1*1.5</f>
        <v>1.5</v>
      </c>
      <c r="X10" s="1100">
        <f>1.58*1.5</f>
        <v>2.37</v>
      </c>
      <c r="AA10" s="1114"/>
      <c r="AB10" s="1112"/>
      <c r="AC10" s="1112"/>
      <c r="AD10" s="1101">
        <f>SUM(P10:Q10)*2*1.8</f>
        <v>13.464</v>
      </c>
      <c r="AE10" s="1125">
        <f>-(1.58*1.5+2.2*2)</f>
        <v>-6.7700000000000005</v>
      </c>
      <c r="AF10" s="1102">
        <f>SUM(P10:Q10)*2*AG10</f>
        <v>6.3580000000000005</v>
      </c>
      <c r="AG10" s="1093">
        <v>0.85</v>
      </c>
      <c r="AI10" s="1104">
        <v>3.5</v>
      </c>
      <c r="AK10" s="1104">
        <f>+AI10</f>
        <v>3.5</v>
      </c>
      <c r="AO10" s="1108"/>
      <c r="AR10" s="1104">
        <f>+AI10</f>
        <v>3.5</v>
      </c>
    </row>
    <row r="11" spans="1:46" x14ac:dyDescent="0.2">
      <c r="A11" s="1093">
        <f t="shared" ref="A11:A59" si="2">+A10+1</f>
        <v>303</v>
      </c>
      <c r="B11" s="1093" t="s">
        <v>1387</v>
      </c>
      <c r="C11" s="1093">
        <v>1.07</v>
      </c>
      <c r="D11" s="1093">
        <v>0.91</v>
      </c>
      <c r="E11" s="1093">
        <v>1.18</v>
      </c>
      <c r="G11" s="1109">
        <v>1.07</v>
      </c>
      <c r="H11" s="1109" t="s">
        <v>1388</v>
      </c>
      <c r="I11" s="1109"/>
      <c r="K11" s="1109"/>
      <c r="L11" s="1109">
        <v>1.07</v>
      </c>
      <c r="P11" s="1093">
        <v>0.91</v>
      </c>
      <c r="Q11" s="1093">
        <v>1.18</v>
      </c>
      <c r="R11" s="1109">
        <v>2.4500000000000002</v>
      </c>
      <c r="S11" s="1124">
        <f>+(4.2-0.7-0.6)*2.1</f>
        <v>6.09</v>
      </c>
      <c r="W11" s="1125">
        <f>+S11</f>
        <v>6.09</v>
      </c>
      <c r="X11" s="1112"/>
      <c r="Z11" s="1100">
        <f>+(4.2-0.6)*2.1</f>
        <v>7.5600000000000005</v>
      </c>
      <c r="AA11" s="1096">
        <f>0.7*0.55</f>
        <v>0.38500000000000001</v>
      </c>
      <c r="AB11" s="1126">
        <f>0.7*2.65</f>
        <v>1.8549999999999998</v>
      </c>
      <c r="AC11" s="1112"/>
      <c r="AF11" s="1102">
        <f t="shared" ref="AF11:AF59" si="3">SUM(P11:Q11)*2*AG11</f>
        <v>1.4629999999999999</v>
      </c>
      <c r="AG11" s="1093">
        <v>0.35</v>
      </c>
      <c r="AI11" s="1107">
        <v>1.07</v>
      </c>
      <c r="AL11" s="1105">
        <v>1.07</v>
      </c>
      <c r="AP11" s="1107">
        <f>+AI11</f>
        <v>1.07</v>
      </c>
    </row>
    <row r="12" spans="1:46" x14ac:dyDescent="0.2">
      <c r="A12" s="1093">
        <f t="shared" si="2"/>
        <v>304</v>
      </c>
      <c r="B12" s="1093" t="s">
        <v>1389</v>
      </c>
      <c r="C12" s="1093">
        <v>12.74</v>
      </c>
      <c r="D12" s="1093">
        <v>2.85</v>
      </c>
      <c r="E12" s="1093">
        <v>4.47</v>
      </c>
      <c r="G12" s="1108">
        <v>12.74</v>
      </c>
      <c r="H12" s="1108" t="s">
        <v>1386</v>
      </c>
      <c r="I12" s="1108">
        <f>SUM(P12:Q12)*2</f>
        <v>14.64</v>
      </c>
      <c r="K12" s="1108">
        <v>12.74</v>
      </c>
      <c r="L12" s="1108"/>
      <c r="P12" s="1093">
        <v>2.85</v>
      </c>
      <c r="Q12" s="1093">
        <v>4.47</v>
      </c>
      <c r="R12" s="1093">
        <v>2.65</v>
      </c>
      <c r="X12" s="1100">
        <f>1.8*1.5</f>
        <v>2.7</v>
      </c>
      <c r="AA12" s="1096">
        <f>1.3*1.15</f>
        <v>1.4949999999999999</v>
      </c>
      <c r="AB12" s="1112"/>
      <c r="AC12" s="1097">
        <f>1.2*2.65</f>
        <v>3.1799999999999997</v>
      </c>
      <c r="AD12" s="1101">
        <f>SUM(P12:Q12)*2*1.8</f>
        <v>26.352</v>
      </c>
      <c r="AE12" s="1101">
        <f>-(1.8*1.5+0.8*1.8+1.8*0.95)</f>
        <v>-5.8500000000000005</v>
      </c>
      <c r="AF12" s="1102">
        <f t="shared" si="3"/>
        <v>12.444000000000001</v>
      </c>
      <c r="AG12" s="1093">
        <v>0.85</v>
      </c>
      <c r="AI12" s="1104">
        <v>12.74</v>
      </c>
      <c r="AK12" s="1104">
        <f>+AI12</f>
        <v>12.74</v>
      </c>
      <c r="AO12" s="1108"/>
      <c r="AR12" s="1104">
        <f>+AI12</f>
        <v>12.74</v>
      </c>
    </row>
    <row r="13" spans="1:46" x14ac:dyDescent="0.2">
      <c r="A13" s="1093">
        <f t="shared" si="2"/>
        <v>305</v>
      </c>
      <c r="B13" s="1093" t="s">
        <v>1390</v>
      </c>
      <c r="C13" s="1093">
        <v>94.78</v>
      </c>
      <c r="D13" s="1093">
        <v>4.6500000000000004</v>
      </c>
      <c r="E13" s="1093">
        <v>2.25</v>
      </c>
      <c r="G13" s="1108">
        <v>94.78</v>
      </c>
      <c r="H13" s="1108" t="s">
        <v>1386</v>
      </c>
      <c r="I13" s="1108">
        <f>SUM(P13:Q13)*2</f>
        <v>85.8</v>
      </c>
      <c r="K13" s="1108">
        <v>94.78</v>
      </c>
      <c r="L13" s="1108"/>
      <c r="P13" s="1093">
        <v>40.65</v>
      </c>
      <c r="Q13" s="1093">
        <v>2.25</v>
      </c>
      <c r="R13" s="1109">
        <v>2.4</v>
      </c>
      <c r="AD13" s="1101">
        <f>SUM(P13:Q13)*2*1.8</f>
        <v>154.44</v>
      </c>
      <c r="AE13" s="1101">
        <f>-(0.9*3+1.1*15+1.45*3)*1.8</f>
        <v>-42.389999999999993</v>
      </c>
      <c r="AF13" s="1102">
        <f t="shared" si="3"/>
        <v>30.029999999999998</v>
      </c>
      <c r="AG13" s="1093">
        <v>0.35</v>
      </c>
      <c r="AI13" s="1107">
        <v>94.78</v>
      </c>
      <c r="AN13" s="1107">
        <f>+AI13</f>
        <v>94.78</v>
      </c>
      <c r="AP13" s="1107">
        <f>+AI13</f>
        <v>94.78</v>
      </c>
    </row>
    <row r="14" spans="1:46" x14ac:dyDescent="0.2">
      <c r="A14" s="1093">
        <f t="shared" si="2"/>
        <v>306</v>
      </c>
      <c r="B14" s="1105" t="s">
        <v>1391</v>
      </c>
      <c r="C14" s="1105">
        <v>4.5599999999999996</v>
      </c>
      <c r="D14" s="1093">
        <v>1.93</v>
      </c>
      <c r="E14" s="1093">
        <v>2.2000000000000002</v>
      </c>
      <c r="G14" s="1108">
        <v>4.5599999999999996</v>
      </c>
      <c r="H14" s="1108" t="s">
        <v>1386</v>
      </c>
      <c r="I14" s="1108">
        <f>SUM(P14:Q14)*2</f>
        <v>8.26</v>
      </c>
      <c r="K14" s="1108">
        <v>4.5599999999999996</v>
      </c>
      <c r="L14" s="1108"/>
      <c r="P14" s="1093">
        <v>1.93</v>
      </c>
      <c r="Q14" s="1093">
        <v>2.2000000000000002</v>
      </c>
      <c r="R14" s="1093">
        <v>2.65</v>
      </c>
      <c r="T14" s="1127">
        <f>SUM(P14:Q14)*2*R14</f>
        <v>21.888999999999999</v>
      </c>
      <c r="U14" s="1127">
        <f>-(2.2*2.65+3.4*2)</f>
        <v>-12.629999999999999</v>
      </c>
      <c r="X14" s="1112"/>
      <c r="AD14" s="1101">
        <f>SUM(P14:Q14)*2*1.8</f>
        <v>14.868</v>
      </c>
      <c r="AE14" s="1101">
        <f>-4.28*1.8</f>
        <v>-7.7040000000000006</v>
      </c>
      <c r="AF14" s="1102">
        <f t="shared" si="3"/>
        <v>7.0209999999999999</v>
      </c>
      <c r="AG14" s="1093">
        <v>0.85</v>
      </c>
      <c r="AI14" s="1104">
        <v>4.5599999999999996</v>
      </c>
      <c r="AK14" s="1104">
        <f>+AI14</f>
        <v>4.5599999999999996</v>
      </c>
      <c r="AR14" s="1104">
        <f>+AI14</f>
        <v>4.5599999999999996</v>
      </c>
    </row>
    <row r="15" spans="1:46" x14ac:dyDescent="0.2">
      <c r="A15" s="1093">
        <f t="shared" si="2"/>
        <v>307</v>
      </c>
      <c r="B15" s="1105" t="s">
        <v>1392</v>
      </c>
      <c r="C15" s="1105">
        <v>2.0499999999999998</v>
      </c>
      <c r="D15" s="1093">
        <v>1.8</v>
      </c>
      <c r="E15" s="1093">
        <v>1.1499999999999999</v>
      </c>
      <c r="G15" s="1128">
        <v>2.0499999999999998</v>
      </c>
      <c r="H15" s="1128" t="s">
        <v>1393</v>
      </c>
      <c r="I15" s="1128"/>
      <c r="K15" s="1128"/>
      <c r="L15" s="1128">
        <v>2.0499999999999998</v>
      </c>
      <c r="M15" s="1128">
        <f>+L15</f>
        <v>2.0499999999999998</v>
      </c>
      <c r="P15" s="1093">
        <v>1.8</v>
      </c>
      <c r="Q15" s="1093">
        <v>1.1499999999999999</v>
      </c>
      <c r="R15" s="1109">
        <v>2.4500000000000002</v>
      </c>
      <c r="S15" s="1124">
        <f>+(5.9-0.6)*2.1</f>
        <v>11.130000000000003</v>
      </c>
      <c r="W15" s="1125">
        <f>+S15</f>
        <v>11.130000000000003</v>
      </c>
      <c r="X15" s="1112"/>
      <c r="Z15" s="1100">
        <f>+(5.9-0.6)*2.1</f>
        <v>11.130000000000003</v>
      </c>
      <c r="AF15" s="1102">
        <f t="shared" si="3"/>
        <v>2.0649999999999999</v>
      </c>
      <c r="AG15" s="1093">
        <v>0.35</v>
      </c>
      <c r="AI15" s="1106">
        <v>2.0499999999999998</v>
      </c>
      <c r="AM15" s="1106">
        <f>+AI15</f>
        <v>2.0499999999999998</v>
      </c>
      <c r="AQ15" s="1106">
        <f>+AI15</f>
        <v>2.0499999999999998</v>
      </c>
    </row>
    <row r="16" spans="1:46" x14ac:dyDescent="0.2">
      <c r="A16" s="1093">
        <f t="shared" si="2"/>
        <v>308</v>
      </c>
      <c r="B16" s="1105" t="s">
        <v>1394</v>
      </c>
      <c r="C16" s="1105">
        <v>1.25</v>
      </c>
      <c r="D16" s="1093">
        <v>1.25</v>
      </c>
      <c r="E16" s="1093">
        <v>0.95</v>
      </c>
      <c r="G16" s="1109">
        <v>1.25</v>
      </c>
      <c r="H16" s="1109" t="s">
        <v>1388</v>
      </c>
      <c r="I16" s="1109"/>
      <c r="K16" s="1109"/>
      <c r="L16" s="1109">
        <v>1.25</v>
      </c>
      <c r="P16" s="1093">
        <v>1.25</v>
      </c>
      <c r="Q16" s="1093">
        <v>0.95</v>
      </c>
      <c r="R16" s="1109">
        <v>2.4500000000000002</v>
      </c>
      <c r="S16" s="1124">
        <f>+(4.4-0.7-0.6)*2.1</f>
        <v>6.5100000000000007</v>
      </c>
      <c r="W16" s="1125">
        <f>+S16</f>
        <v>6.5100000000000007</v>
      </c>
      <c r="X16" s="1112"/>
      <c r="Z16" s="1100">
        <f>+(4.4-0.6)*2.1</f>
        <v>7.9800000000000013</v>
      </c>
      <c r="AA16" s="1096">
        <f>0.7*0.55</f>
        <v>0.38500000000000001</v>
      </c>
      <c r="AB16" s="1126">
        <f>0.7*2.65</f>
        <v>1.8549999999999998</v>
      </c>
      <c r="AF16" s="1102">
        <f t="shared" si="3"/>
        <v>1.54</v>
      </c>
      <c r="AG16" s="1093">
        <v>0.35</v>
      </c>
      <c r="AI16" s="1107">
        <v>1.25</v>
      </c>
      <c r="AN16" s="1107">
        <f>+AI16</f>
        <v>1.25</v>
      </c>
      <c r="AP16" s="1107">
        <f>+AI16</f>
        <v>1.25</v>
      </c>
    </row>
    <row r="17" spans="1:44" x14ac:dyDescent="0.2">
      <c r="A17" s="1093">
        <f t="shared" si="2"/>
        <v>309</v>
      </c>
      <c r="B17" s="1105" t="s">
        <v>1395</v>
      </c>
      <c r="C17" s="1105">
        <v>16.75</v>
      </c>
      <c r="D17" s="1093">
        <v>4.05</v>
      </c>
      <c r="E17" s="1093">
        <v>4.17</v>
      </c>
      <c r="G17" s="1108">
        <v>16.75</v>
      </c>
      <c r="H17" s="1108" t="s">
        <v>1386</v>
      </c>
      <c r="I17" s="1108">
        <f>SUM(P17:Q17)*2</f>
        <v>16.439999999999998</v>
      </c>
      <c r="K17" s="1108">
        <v>16.75</v>
      </c>
      <c r="L17" s="1108"/>
      <c r="P17" s="1093">
        <v>4.05</v>
      </c>
      <c r="Q17" s="1093">
        <v>4.17</v>
      </c>
      <c r="R17" s="1093">
        <v>2.65</v>
      </c>
      <c r="X17" s="1112"/>
      <c r="AD17" s="1101">
        <f>SUM(P17:Q17)*2*1.8</f>
        <v>29.591999999999995</v>
      </c>
      <c r="AE17" s="1101">
        <f>-(0.8*1.8+2.7*0.95)</f>
        <v>-4.0049999999999999</v>
      </c>
      <c r="AF17" s="1102">
        <f t="shared" si="3"/>
        <v>13.973999999999998</v>
      </c>
      <c r="AG17" s="1093">
        <v>0.85</v>
      </c>
      <c r="AI17" s="1104">
        <v>16.75</v>
      </c>
      <c r="AK17" s="1104">
        <f>+AI17</f>
        <v>16.75</v>
      </c>
      <c r="AR17" s="1104">
        <f>+AI17</f>
        <v>16.75</v>
      </c>
    </row>
    <row r="18" spans="1:44" x14ac:dyDescent="0.2">
      <c r="A18" s="1093">
        <f t="shared" si="2"/>
        <v>310</v>
      </c>
      <c r="B18" s="1105" t="s">
        <v>1396</v>
      </c>
      <c r="C18" s="1105">
        <v>25.29</v>
      </c>
      <c r="D18" s="1093">
        <f>4.05+0.6</f>
        <v>4.6499999999999995</v>
      </c>
      <c r="E18" s="1093">
        <v>6.45</v>
      </c>
      <c r="G18" s="1108">
        <v>25.29</v>
      </c>
      <c r="H18" s="1108" t="s">
        <v>1386</v>
      </c>
      <c r="I18" s="1108">
        <f>SUM(P18:Q18)*2</f>
        <v>21</v>
      </c>
      <c r="K18" s="1108">
        <v>25.29</v>
      </c>
      <c r="L18" s="1108"/>
      <c r="P18" s="1093">
        <v>4.05</v>
      </c>
      <c r="Q18" s="1093">
        <v>6.45</v>
      </c>
      <c r="R18" s="1093">
        <v>2.65</v>
      </c>
      <c r="S18" s="1124">
        <f>1.65*1.8</f>
        <v>2.9699999999999998</v>
      </c>
      <c r="W18" s="1125">
        <f>+S18</f>
        <v>2.9699999999999998</v>
      </c>
      <c r="X18" s="1112"/>
      <c r="Y18" s="1100">
        <f>1.65*1.8</f>
        <v>2.9699999999999998</v>
      </c>
      <c r="AA18" s="1096">
        <f>0.72*2.65+0.8*2.65</f>
        <v>4.0280000000000005</v>
      </c>
      <c r="AB18" s="1097">
        <f>(0.72+0.72)*2.65</f>
        <v>3.8159999999999998</v>
      </c>
      <c r="AD18" s="1101">
        <f>SUM(P18:Q18)*2*1.8</f>
        <v>37.800000000000004</v>
      </c>
      <c r="AE18" s="1101">
        <f>-(3.55*1.8+3*0.95)</f>
        <v>-9.2399999999999984</v>
      </c>
      <c r="AF18" s="1102">
        <f t="shared" si="3"/>
        <v>17.849999999999998</v>
      </c>
      <c r="AG18" s="1093">
        <v>0.85</v>
      </c>
      <c r="AI18" s="1104">
        <v>25.29</v>
      </c>
      <c r="AK18" s="1104">
        <f>+AI18</f>
        <v>25.29</v>
      </c>
      <c r="AR18" s="1104">
        <f>+AI18</f>
        <v>25.29</v>
      </c>
    </row>
    <row r="19" spans="1:44" x14ac:dyDescent="0.2">
      <c r="A19" s="1093">
        <f t="shared" si="2"/>
        <v>311</v>
      </c>
      <c r="B19" s="1129" t="s">
        <v>1397</v>
      </c>
      <c r="C19" s="1129">
        <v>25.64</v>
      </c>
      <c r="D19" s="1093">
        <v>4.05</v>
      </c>
      <c r="E19" s="1093">
        <v>6.45</v>
      </c>
      <c r="G19" s="1108">
        <v>25.64</v>
      </c>
      <c r="H19" s="1108" t="s">
        <v>1386</v>
      </c>
      <c r="I19" s="1108">
        <f>SUM(P19:Q19)*2</f>
        <v>21</v>
      </c>
      <c r="K19" s="1108">
        <v>25.64</v>
      </c>
      <c r="L19" s="1108"/>
      <c r="P19" s="1093">
        <v>4.05</v>
      </c>
      <c r="Q19" s="1093">
        <v>6.45</v>
      </c>
      <c r="R19" s="1093">
        <v>2.65</v>
      </c>
      <c r="S19" s="1124">
        <f>1.1*1.8</f>
        <v>1.9800000000000002</v>
      </c>
      <c r="W19" s="1125">
        <f>+S19</f>
        <v>1.9800000000000002</v>
      </c>
      <c r="X19" s="1112"/>
      <c r="Y19" s="1100">
        <f>1.15*1.8</f>
        <v>2.0699999999999998</v>
      </c>
      <c r="AA19" s="1096">
        <f>0.72*2.65</f>
        <v>1.9079999999999999</v>
      </c>
      <c r="AB19" s="1097">
        <f>0.72*2.65</f>
        <v>1.9079999999999999</v>
      </c>
      <c r="AD19" s="1101">
        <f>SUM(P19:Q19)*2*1.8</f>
        <v>37.800000000000004</v>
      </c>
      <c r="AE19" s="1101">
        <f>-(2.9*1.8+3*0.95)</f>
        <v>-8.07</v>
      </c>
      <c r="AF19" s="1102">
        <f t="shared" si="3"/>
        <v>17.849999999999998</v>
      </c>
      <c r="AG19" s="1093">
        <v>0.85</v>
      </c>
      <c r="AI19" s="1104">
        <v>25.64</v>
      </c>
      <c r="AK19" s="1104">
        <f>+AI19</f>
        <v>25.64</v>
      </c>
      <c r="AR19" s="1104">
        <f>+AI19</f>
        <v>25.64</v>
      </c>
    </row>
    <row r="20" spans="1:44" x14ac:dyDescent="0.2">
      <c r="A20" s="1093">
        <f t="shared" si="2"/>
        <v>312</v>
      </c>
      <c r="B20" s="1129" t="s">
        <v>1391</v>
      </c>
      <c r="C20" s="1129">
        <v>4.42</v>
      </c>
      <c r="D20" s="1093">
        <v>1.88</v>
      </c>
      <c r="E20" s="1093">
        <v>2.2000000000000002</v>
      </c>
      <c r="G20" s="1108">
        <v>4.42</v>
      </c>
      <c r="H20" s="1108" t="s">
        <v>1386</v>
      </c>
      <c r="I20" s="1108">
        <f>SUM(P20:Q20)*2</f>
        <v>8.16</v>
      </c>
      <c r="K20" s="1108">
        <v>4.42</v>
      </c>
      <c r="L20" s="1108"/>
      <c r="P20" s="1093">
        <v>1.88</v>
      </c>
      <c r="Q20" s="1093">
        <v>2.2000000000000002</v>
      </c>
      <c r="R20" s="1093">
        <v>2.65</v>
      </c>
      <c r="T20" s="1127">
        <f>SUM(P20:Q20)*2*R20</f>
        <v>21.623999999999999</v>
      </c>
      <c r="U20" s="1127">
        <f>-(2.2*2.65+3.4*2)</f>
        <v>-12.629999999999999</v>
      </c>
      <c r="X20" s="1112"/>
      <c r="AD20" s="1101">
        <f>SUM(P20:Q20)*2*1.8</f>
        <v>14.688000000000001</v>
      </c>
      <c r="AE20" s="1101">
        <f>-4.28*1.8</f>
        <v>-7.7040000000000006</v>
      </c>
      <c r="AF20" s="1102">
        <f t="shared" si="3"/>
        <v>6.9359999999999999</v>
      </c>
      <c r="AG20" s="1093">
        <v>0.85</v>
      </c>
      <c r="AI20" s="1104">
        <v>4.42</v>
      </c>
      <c r="AK20" s="1104">
        <f>+AI20</f>
        <v>4.42</v>
      </c>
      <c r="AR20" s="1104">
        <f>+AI20</f>
        <v>4.42</v>
      </c>
    </row>
    <row r="21" spans="1:44" x14ac:dyDescent="0.2">
      <c r="A21" s="1093">
        <f t="shared" si="2"/>
        <v>313</v>
      </c>
      <c r="B21" s="1129" t="s">
        <v>1392</v>
      </c>
      <c r="C21" s="1129">
        <v>2.09</v>
      </c>
      <c r="D21" s="1093">
        <v>1.85</v>
      </c>
      <c r="E21" s="1093">
        <v>1.1499999999999999</v>
      </c>
      <c r="G21" s="1128">
        <v>2.09</v>
      </c>
      <c r="H21" s="1128" t="s">
        <v>1393</v>
      </c>
      <c r="I21" s="1128"/>
      <c r="K21" s="1128"/>
      <c r="L21" s="1128">
        <v>2.09</v>
      </c>
      <c r="M21" s="1128">
        <f>+L21</f>
        <v>2.09</v>
      </c>
      <c r="P21" s="1093">
        <v>1.85</v>
      </c>
      <c r="Q21" s="1093">
        <v>1.1499999999999999</v>
      </c>
      <c r="R21" s="1109">
        <v>2.4500000000000002</v>
      </c>
      <c r="S21" s="1124">
        <f>+(5.9-0.6)*2.1</f>
        <v>11.130000000000003</v>
      </c>
      <c r="W21" s="1100">
        <f>+S21</f>
        <v>11.130000000000003</v>
      </c>
      <c r="X21" s="1112"/>
      <c r="Z21" s="1100">
        <f>+(5.9-0.6)*2.1</f>
        <v>11.130000000000003</v>
      </c>
      <c r="AF21" s="1102">
        <f t="shared" si="3"/>
        <v>2.0999999999999996</v>
      </c>
      <c r="AG21" s="1093">
        <v>0.35</v>
      </c>
      <c r="AI21" s="1106">
        <v>2.09</v>
      </c>
      <c r="AM21" s="1106">
        <f>+AI21</f>
        <v>2.09</v>
      </c>
      <c r="AQ21" s="1106">
        <f>+AI21</f>
        <v>2.09</v>
      </c>
    </row>
    <row r="22" spans="1:44" x14ac:dyDescent="0.2">
      <c r="A22" s="1093">
        <f t="shared" si="2"/>
        <v>314</v>
      </c>
      <c r="B22" s="1129" t="s">
        <v>1394</v>
      </c>
      <c r="C22" s="1129">
        <v>1.29</v>
      </c>
      <c r="D22" s="1093">
        <v>1.3</v>
      </c>
      <c r="E22" s="1093">
        <v>0.95</v>
      </c>
      <c r="G22" s="1109">
        <v>1.29</v>
      </c>
      <c r="H22" s="1109" t="s">
        <v>1388</v>
      </c>
      <c r="I22" s="1109"/>
      <c r="K22" s="1109"/>
      <c r="L22" s="1109">
        <v>1.29</v>
      </c>
      <c r="P22" s="1093">
        <v>1.3</v>
      </c>
      <c r="Q22" s="1093">
        <v>0.95</v>
      </c>
      <c r="R22" s="1109">
        <v>2.4500000000000002</v>
      </c>
      <c r="S22" s="1124">
        <f>+(4.4-0.7-0.6)*2.1</f>
        <v>6.5100000000000007</v>
      </c>
      <c r="W22" s="1100">
        <f>+S22</f>
        <v>6.5100000000000007</v>
      </c>
      <c r="X22" s="1112"/>
      <c r="Z22" s="1100">
        <f>+(4.4-0.6)*2.1</f>
        <v>7.9800000000000013</v>
      </c>
      <c r="AA22" s="1096">
        <f>0.7*0.55</f>
        <v>0.38500000000000001</v>
      </c>
      <c r="AB22" s="1126">
        <f>0.7*2.65</f>
        <v>1.8549999999999998</v>
      </c>
      <c r="AF22" s="1102">
        <f t="shared" si="3"/>
        <v>1.575</v>
      </c>
      <c r="AG22" s="1093">
        <v>0.35</v>
      </c>
      <c r="AI22" s="1107">
        <v>1.29</v>
      </c>
      <c r="AN22" s="1107">
        <f>+AI22</f>
        <v>1.29</v>
      </c>
      <c r="AP22" s="1107">
        <f>+AI22</f>
        <v>1.29</v>
      </c>
    </row>
    <row r="23" spans="1:44" x14ac:dyDescent="0.2">
      <c r="A23" s="1093">
        <f t="shared" si="2"/>
        <v>315</v>
      </c>
      <c r="B23" s="1129" t="s">
        <v>1398</v>
      </c>
      <c r="C23" s="1129">
        <v>16.739999999999998</v>
      </c>
      <c r="D23" s="1093">
        <v>4.05</v>
      </c>
      <c r="E23" s="1093">
        <v>4.17</v>
      </c>
      <c r="G23" s="1108">
        <v>16.739999999999998</v>
      </c>
      <c r="H23" s="1108" t="s">
        <v>1386</v>
      </c>
      <c r="I23" s="1108">
        <f>SUM(P23:Q23)*2</f>
        <v>16.439999999999998</v>
      </c>
      <c r="K23" s="1108">
        <v>16.739999999999998</v>
      </c>
      <c r="L23" s="1108"/>
      <c r="P23" s="1093">
        <v>4.05</v>
      </c>
      <c r="Q23" s="1093">
        <v>4.17</v>
      </c>
      <c r="R23" s="1093">
        <v>2.65</v>
      </c>
      <c r="S23" s="1112"/>
      <c r="X23" s="1112"/>
      <c r="AA23" s="1096">
        <f>0.8*2.65</f>
        <v>2.12</v>
      </c>
      <c r="AB23" s="1126">
        <f>0.72*2.65</f>
        <v>1.9079999999999999</v>
      </c>
      <c r="AD23" s="1101">
        <f>SUM(P23:Q23)*2*1.8</f>
        <v>29.591999999999995</v>
      </c>
      <c r="AE23" s="1101">
        <f>-(0.8*1.8+2.7*0.95)</f>
        <v>-4.0049999999999999</v>
      </c>
      <c r="AF23" s="1102">
        <f t="shared" si="3"/>
        <v>13.973999999999998</v>
      </c>
      <c r="AG23" s="1093">
        <v>0.85</v>
      </c>
      <c r="AI23" s="1104">
        <v>16.739999999999998</v>
      </c>
      <c r="AK23" s="1104">
        <f>+AI23</f>
        <v>16.739999999999998</v>
      </c>
      <c r="AR23" s="1104">
        <f>+AI23</f>
        <v>16.739999999999998</v>
      </c>
    </row>
    <row r="24" spans="1:44" x14ac:dyDescent="0.2">
      <c r="A24" s="1093">
        <f t="shared" si="2"/>
        <v>316</v>
      </c>
      <c r="B24" s="1105" t="s">
        <v>1391</v>
      </c>
      <c r="C24" s="1105">
        <v>4.45</v>
      </c>
      <c r="D24" s="1093">
        <v>1.88</v>
      </c>
      <c r="E24" s="1093">
        <v>2.2000000000000002</v>
      </c>
      <c r="G24" s="1108">
        <v>4.45</v>
      </c>
      <c r="H24" s="1108" t="s">
        <v>1386</v>
      </c>
      <c r="I24" s="1108">
        <f>SUM(P24:Q24)*2</f>
        <v>8.16</v>
      </c>
      <c r="K24" s="1108">
        <v>4.45</v>
      </c>
      <c r="L24" s="1108"/>
      <c r="P24" s="1093">
        <v>1.88</v>
      </c>
      <c r="Q24" s="1093">
        <v>2.2000000000000002</v>
      </c>
      <c r="R24" s="1093">
        <v>2.65</v>
      </c>
      <c r="T24" s="1127">
        <f>SUM(P24:Q24)*2*R24</f>
        <v>21.623999999999999</v>
      </c>
      <c r="U24" s="1127">
        <f>-(2.2*2.65+3.4*2)</f>
        <v>-12.629999999999999</v>
      </c>
      <c r="X24" s="1112"/>
      <c r="AD24" s="1101">
        <f>SUM(P24:Q24)*2*1.8</f>
        <v>14.688000000000001</v>
      </c>
      <c r="AE24" s="1101">
        <f>-4.28*1.8</f>
        <v>-7.7040000000000006</v>
      </c>
      <c r="AF24" s="1102">
        <f t="shared" si="3"/>
        <v>6.9359999999999999</v>
      </c>
      <c r="AG24" s="1093">
        <v>0.85</v>
      </c>
      <c r="AI24" s="1104">
        <v>4.45</v>
      </c>
      <c r="AK24" s="1104">
        <f>+AI24</f>
        <v>4.45</v>
      </c>
      <c r="AR24" s="1104">
        <f>+AI24</f>
        <v>4.45</v>
      </c>
    </row>
    <row r="25" spans="1:44" x14ac:dyDescent="0.2">
      <c r="A25" s="1093">
        <f t="shared" si="2"/>
        <v>317</v>
      </c>
      <c r="B25" s="1105" t="s">
        <v>1392</v>
      </c>
      <c r="C25" s="1105">
        <v>2.09</v>
      </c>
      <c r="D25" s="1093">
        <v>1.85</v>
      </c>
      <c r="E25" s="1093">
        <v>1.1499999999999999</v>
      </c>
      <c r="G25" s="1128">
        <v>2.09</v>
      </c>
      <c r="H25" s="1128" t="s">
        <v>1393</v>
      </c>
      <c r="I25" s="1128"/>
      <c r="K25" s="1128"/>
      <c r="L25" s="1128">
        <v>2.09</v>
      </c>
      <c r="M25" s="1128">
        <f>+L25</f>
        <v>2.09</v>
      </c>
      <c r="P25" s="1093">
        <v>1.85</v>
      </c>
      <c r="Q25" s="1093">
        <v>1.1499999999999999</v>
      </c>
      <c r="R25" s="1109">
        <v>2.4500000000000002</v>
      </c>
      <c r="S25" s="1124">
        <f>+(5.9-0.6)*2.1</f>
        <v>11.130000000000003</v>
      </c>
      <c r="W25" s="1100">
        <f>+S25</f>
        <v>11.130000000000003</v>
      </c>
      <c r="X25" s="1112"/>
      <c r="Z25" s="1100">
        <f>+(5.9-0.6)*2.1</f>
        <v>11.130000000000003</v>
      </c>
      <c r="AF25" s="1102">
        <f t="shared" si="3"/>
        <v>2.0999999999999996</v>
      </c>
      <c r="AG25" s="1093">
        <v>0.35</v>
      </c>
      <c r="AI25" s="1106">
        <v>2.09</v>
      </c>
      <c r="AM25" s="1106">
        <f>+AI25</f>
        <v>2.09</v>
      </c>
      <c r="AQ25" s="1106">
        <f>+AI25</f>
        <v>2.09</v>
      </c>
    </row>
    <row r="26" spans="1:44" x14ac:dyDescent="0.2">
      <c r="A26" s="1093">
        <f t="shared" si="2"/>
        <v>318</v>
      </c>
      <c r="B26" s="1105" t="s">
        <v>1394</v>
      </c>
      <c r="C26" s="1105">
        <v>1.3</v>
      </c>
      <c r="D26" s="1093">
        <v>1.3</v>
      </c>
      <c r="E26" s="1093">
        <v>0.95</v>
      </c>
      <c r="G26" s="1109">
        <v>1.3</v>
      </c>
      <c r="H26" s="1109" t="s">
        <v>1388</v>
      </c>
      <c r="I26" s="1109"/>
      <c r="K26" s="1109"/>
      <c r="L26" s="1109">
        <v>1.3</v>
      </c>
      <c r="P26" s="1093">
        <v>1.3</v>
      </c>
      <c r="Q26" s="1093">
        <v>0.95</v>
      </c>
      <c r="R26" s="1109">
        <v>2.4500000000000002</v>
      </c>
      <c r="S26" s="1124">
        <f>+(4.4-0.7-0.6)*2.1</f>
        <v>6.5100000000000007</v>
      </c>
      <c r="W26" s="1100">
        <f>+S26</f>
        <v>6.5100000000000007</v>
      </c>
      <c r="X26" s="1112"/>
      <c r="Z26" s="1100">
        <f>+(4.4-0.6)*2.1</f>
        <v>7.9800000000000013</v>
      </c>
      <c r="AA26" s="1096">
        <f>0.7*0.55</f>
        <v>0.38500000000000001</v>
      </c>
      <c r="AB26" s="1126">
        <f>0.7*2.65</f>
        <v>1.8549999999999998</v>
      </c>
      <c r="AF26" s="1102">
        <f t="shared" si="3"/>
        <v>1.575</v>
      </c>
      <c r="AG26" s="1093">
        <v>0.35</v>
      </c>
      <c r="AI26" s="1107">
        <v>1.3</v>
      </c>
      <c r="AN26" s="1107">
        <f>+AI26</f>
        <v>1.3</v>
      </c>
      <c r="AP26" s="1107">
        <f>+AI26</f>
        <v>1.3</v>
      </c>
    </row>
    <row r="27" spans="1:44" x14ac:dyDescent="0.2">
      <c r="A27" s="1093">
        <f t="shared" si="2"/>
        <v>319</v>
      </c>
      <c r="B27" s="1105" t="s">
        <v>1399</v>
      </c>
      <c r="C27" s="1105">
        <v>16.89</v>
      </c>
      <c r="D27" s="1093">
        <v>4.05</v>
      </c>
      <c r="E27" s="1093">
        <v>4.17</v>
      </c>
      <c r="G27" s="1108">
        <v>16.89</v>
      </c>
      <c r="H27" s="1108" t="s">
        <v>1386</v>
      </c>
      <c r="I27" s="1108">
        <f>SUM(P27:Q27)*2</f>
        <v>16.439999999999998</v>
      </c>
      <c r="K27" s="1108">
        <v>16.89</v>
      </c>
      <c r="L27" s="1108"/>
      <c r="P27" s="1093">
        <v>4.05</v>
      </c>
      <c r="Q27" s="1093">
        <v>4.17</v>
      </c>
      <c r="R27" s="1093">
        <v>2.65</v>
      </c>
      <c r="X27" s="1112"/>
      <c r="AD27" s="1101">
        <f>SUM(P27:Q27)*2*1.8</f>
        <v>29.591999999999995</v>
      </c>
      <c r="AE27" s="1101">
        <f>-(0.8*1.8+2.7*0.95)</f>
        <v>-4.0049999999999999</v>
      </c>
      <c r="AF27" s="1102">
        <f t="shared" si="3"/>
        <v>13.973999999999998</v>
      </c>
      <c r="AG27" s="1093">
        <v>0.85</v>
      </c>
      <c r="AI27" s="1104">
        <v>16.89</v>
      </c>
      <c r="AK27" s="1104">
        <f>+AI27</f>
        <v>16.89</v>
      </c>
      <c r="AR27" s="1104">
        <f>+AI27</f>
        <v>16.89</v>
      </c>
    </row>
    <row r="28" spans="1:44" x14ac:dyDescent="0.2">
      <c r="A28" s="1093">
        <f t="shared" si="2"/>
        <v>320</v>
      </c>
      <c r="B28" s="1105" t="s">
        <v>1400</v>
      </c>
      <c r="C28" s="1105">
        <v>25.23</v>
      </c>
      <c r="D28" s="1093">
        <f>4.05+0.6</f>
        <v>4.6499999999999995</v>
      </c>
      <c r="E28" s="1093">
        <v>6.45</v>
      </c>
      <c r="G28" s="1108">
        <v>25.23</v>
      </c>
      <c r="H28" s="1108" t="s">
        <v>1386</v>
      </c>
      <c r="I28" s="1108">
        <f>SUM(P28:Q28)*2</f>
        <v>21</v>
      </c>
      <c r="K28" s="1108">
        <v>25.23</v>
      </c>
      <c r="L28" s="1108"/>
      <c r="P28" s="1093">
        <v>4.05</v>
      </c>
      <c r="Q28" s="1093">
        <v>6.45</v>
      </c>
      <c r="R28" s="1093">
        <v>2.65</v>
      </c>
      <c r="S28" s="1124">
        <f>2.05*1.8</f>
        <v>3.69</v>
      </c>
      <c r="W28" s="1100">
        <f>+S28</f>
        <v>3.69</v>
      </c>
      <c r="X28" s="1112"/>
      <c r="Y28" s="1100">
        <f>2.05*1.8</f>
        <v>3.69</v>
      </c>
      <c r="AA28" s="1096">
        <f>0.72*2.65+0.8*2.65</f>
        <v>4.0280000000000005</v>
      </c>
      <c r="AB28" s="1097">
        <f>(0.72+0.72)*2.65</f>
        <v>3.8159999999999998</v>
      </c>
      <c r="AD28" s="1101">
        <f>SUM(P28:Q28)*2*1.8</f>
        <v>37.800000000000004</v>
      </c>
      <c r="AE28" s="1101">
        <f>-(3.95*1.8+3*0.95)</f>
        <v>-9.9600000000000009</v>
      </c>
      <c r="AF28" s="1102">
        <f>SUM(P28:Q28)*2*AG28</f>
        <v>17.849999999999998</v>
      </c>
      <c r="AG28" s="1093">
        <v>0.85</v>
      </c>
      <c r="AI28" s="1104">
        <v>25.23</v>
      </c>
      <c r="AK28" s="1104">
        <f>+AI28</f>
        <v>25.23</v>
      </c>
      <c r="AR28" s="1104">
        <f>+AI28</f>
        <v>25.23</v>
      </c>
    </row>
    <row r="29" spans="1:44" x14ac:dyDescent="0.2">
      <c r="A29" s="1093">
        <f t="shared" si="2"/>
        <v>321</v>
      </c>
      <c r="B29" s="1129" t="s">
        <v>1401</v>
      </c>
      <c r="C29" s="1129">
        <v>25.44</v>
      </c>
      <c r="D29" s="1093">
        <f>4.05+0.6</f>
        <v>4.6499999999999995</v>
      </c>
      <c r="E29" s="1093">
        <v>6.45</v>
      </c>
      <c r="G29" s="1108">
        <v>25.44</v>
      </c>
      <c r="H29" s="1108" t="s">
        <v>1386</v>
      </c>
      <c r="I29" s="1108">
        <f>SUM(P29:Q29)*2</f>
        <v>21</v>
      </c>
      <c r="K29" s="1108">
        <v>25.44</v>
      </c>
      <c r="L29" s="1108"/>
      <c r="P29" s="1093">
        <v>4.05</v>
      </c>
      <c r="Q29" s="1093">
        <v>6.45</v>
      </c>
      <c r="R29" s="1093">
        <v>2.65</v>
      </c>
      <c r="S29" s="1124">
        <f>1.65*1.8</f>
        <v>2.9699999999999998</v>
      </c>
      <c r="W29" s="1100">
        <f>+S29</f>
        <v>2.9699999999999998</v>
      </c>
      <c r="X29" s="1112"/>
      <c r="Y29" s="1100">
        <f>1.65*1.8</f>
        <v>2.9699999999999998</v>
      </c>
      <c r="AA29" s="1096">
        <f>0.72*2.65</f>
        <v>1.9079999999999999</v>
      </c>
      <c r="AB29" s="1126">
        <f>0.72*2.65</f>
        <v>1.9079999999999999</v>
      </c>
      <c r="AD29" s="1101">
        <f>SUM(P29:Q29)*2*1.8</f>
        <v>37.800000000000004</v>
      </c>
      <c r="AE29" s="1101">
        <f>-(3.55*1.8+2.7*0.95)</f>
        <v>-8.9550000000000001</v>
      </c>
      <c r="AF29" s="1102">
        <f>SUM(P29:Q29)*2*AG29</f>
        <v>17.849999999999998</v>
      </c>
      <c r="AG29" s="1093">
        <v>0.85</v>
      </c>
      <c r="AI29" s="1104">
        <v>25.44</v>
      </c>
      <c r="AK29" s="1104">
        <f>+AI29</f>
        <v>25.44</v>
      </c>
      <c r="AR29" s="1104">
        <f>+AI29</f>
        <v>25.44</v>
      </c>
    </row>
    <row r="30" spans="1:44" x14ac:dyDescent="0.2">
      <c r="A30" s="1093">
        <f t="shared" si="2"/>
        <v>322</v>
      </c>
      <c r="B30" s="1129" t="s">
        <v>1391</v>
      </c>
      <c r="C30" s="1129">
        <v>4.45</v>
      </c>
      <c r="D30" s="1093">
        <v>1.88</v>
      </c>
      <c r="E30" s="1093">
        <v>2.2000000000000002</v>
      </c>
      <c r="G30" s="1108">
        <v>4.45</v>
      </c>
      <c r="H30" s="1108" t="s">
        <v>1386</v>
      </c>
      <c r="I30" s="1108">
        <f>SUM(P30:Q30)*2</f>
        <v>8.16</v>
      </c>
      <c r="K30" s="1108">
        <v>4.45</v>
      </c>
      <c r="L30" s="1108"/>
      <c r="P30" s="1093">
        <v>1.88</v>
      </c>
      <c r="Q30" s="1093">
        <v>2.2000000000000002</v>
      </c>
      <c r="R30" s="1093">
        <v>2.65</v>
      </c>
      <c r="T30" s="1127">
        <f>SUM(P30:Q30)*2*R30</f>
        <v>21.623999999999999</v>
      </c>
      <c r="U30" s="1127">
        <f>-(2.2*2.65+3.4*2)</f>
        <v>-12.629999999999999</v>
      </c>
      <c r="X30" s="1112"/>
      <c r="AD30" s="1101">
        <f>SUM(P30:Q30)*2*1.8</f>
        <v>14.688000000000001</v>
      </c>
      <c r="AE30" s="1101">
        <f>-4.28*1.8</f>
        <v>-7.7040000000000006</v>
      </c>
      <c r="AF30" s="1102">
        <f t="shared" si="3"/>
        <v>6.9359999999999999</v>
      </c>
      <c r="AG30" s="1093">
        <v>0.85</v>
      </c>
      <c r="AI30" s="1104">
        <v>4.45</v>
      </c>
      <c r="AK30" s="1104">
        <f>+AI30</f>
        <v>4.45</v>
      </c>
      <c r="AR30" s="1104">
        <f>+AI30</f>
        <v>4.45</v>
      </c>
    </row>
    <row r="31" spans="1:44" x14ac:dyDescent="0.2">
      <c r="A31" s="1093">
        <f t="shared" si="2"/>
        <v>323</v>
      </c>
      <c r="B31" s="1129" t="s">
        <v>1394</v>
      </c>
      <c r="C31" s="1129">
        <v>1.3</v>
      </c>
      <c r="D31" s="1093">
        <v>1.3</v>
      </c>
      <c r="E31" s="1093">
        <v>0.95</v>
      </c>
      <c r="G31" s="1109">
        <v>1.3</v>
      </c>
      <c r="H31" s="1109" t="s">
        <v>1388</v>
      </c>
      <c r="I31" s="1109"/>
      <c r="K31" s="1109"/>
      <c r="L31" s="1109">
        <v>1.3</v>
      </c>
      <c r="P31" s="1093">
        <v>1.3</v>
      </c>
      <c r="Q31" s="1093">
        <v>0.95</v>
      </c>
      <c r="R31" s="1109">
        <v>2.4500000000000002</v>
      </c>
      <c r="S31" s="1124">
        <f>+(4.4-0.7-0.6)*2.1</f>
        <v>6.5100000000000007</v>
      </c>
      <c r="W31" s="1100">
        <f>+S31</f>
        <v>6.5100000000000007</v>
      </c>
      <c r="X31" s="1112"/>
      <c r="Z31" s="1100">
        <f>+(4.4-0.6)*2.1</f>
        <v>7.9800000000000013</v>
      </c>
      <c r="AA31" s="1096">
        <f>0.7*0.55</f>
        <v>0.38500000000000001</v>
      </c>
      <c r="AB31" s="1126">
        <f>0.7*2.65</f>
        <v>1.8549999999999998</v>
      </c>
      <c r="AF31" s="1102">
        <f t="shared" si="3"/>
        <v>1.575</v>
      </c>
      <c r="AG31" s="1093">
        <v>0.35</v>
      </c>
      <c r="AI31" s="1107">
        <v>1.3</v>
      </c>
      <c r="AN31" s="1107">
        <f>+AI31</f>
        <v>1.3</v>
      </c>
      <c r="AP31" s="1107">
        <f>+AI31</f>
        <v>1.3</v>
      </c>
    </row>
    <row r="32" spans="1:44" x14ac:dyDescent="0.2">
      <c r="A32" s="1093">
        <f t="shared" si="2"/>
        <v>324</v>
      </c>
      <c r="B32" s="1129" t="s">
        <v>1392</v>
      </c>
      <c r="C32" s="1129">
        <v>2.09</v>
      </c>
      <c r="D32" s="1093">
        <v>1.85</v>
      </c>
      <c r="E32" s="1093">
        <v>1.1499999999999999</v>
      </c>
      <c r="G32" s="1128">
        <v>2.09</v>
      </c>
      <c r="H32" s="1128" t="s">
        <v>1393</v>
      </c>
      <c r="I32" s="1128"/>
      <c r="K32" s="1128"/>
      <c r="L32" s="1128">
        <v>2.09</v>
      </c>
      <c r="M32" s="1128">
        <f>+L32</f>
        <v>2.09</v>
      </c>
      <c r="P32" s="1093">
        <v>1.85</v>
      </c>
      <c r="Q32" s="1093">
        <v>1.1499999999999999</v>
      </c>
      <c r="R32" s="1109">
        <v>2.4500000000000002</v>
      </c>
      <c r="S32" s="1124">
        <f>+(5.9-0.6)*2.1</f>
        <v>11.130000000000003</v>
      </c>
      <c r="W32" s="1100">
        <f>+S32</f>
        <v>11.130000000000003</v>
      </c>
      <c r="X32" s="1112"/>
      <c r="Z32" s="1100">
        <f>+(5.9-0.6)*2.1</f>
        <v>11.130000000000003</v>
      </c>
      <c r="AF32" s="1102">
        <f t="shared" si="3"/>
        <v>2.0999999999999996</v>
      </c>
      <c r="AG32" s="1093">
        <v>0.35</v>
      </c>
      <c r="AI32" s="1106">
        <v>2.09</v>
      </c>
      <c r="AM32" s="1106">
        <f>+AI32</f>
        <v>2.09</v>
      </c>
      <c r="AQ32" s="1106">
        <f>+AI32</f>
        <v>2.09</v>
      </c>
    </row>
    <row r="33" spans="1:44" x14ac:dyDescent="0.2">
      <c r="A33" s="1093">
        <f t="shared" si="2"/>
        <v>325</v>
      </c>
      <c r="B33" s="1129" t="s">
        <v>1402</v>
      </c>
      <c r="C33" s="1129">
        <v>16.89</v>
      </c>
      <c r="D33" s="1093">
        <v>4.05</v>
      </c>
      <c r="E33" s="1093">
        <v>4.17</v>
      </c>
      <c r="G33" s="1108">
        <v>16.89</v>
      </c>
      <c r="H33" s="1108" t="s">
        <v>1386</v>
      </c>
      <c r="I33" s="1108">
        <f>SUM(P33:Q33)*2</f>
        <v>16.439999999999998</v>
      </c>
      <c r="K33" s="1108">
        <v>16.89</v>
      </c>
      <c r="L33" s="1108"/>
      <c r="P33" s="1093">
        <v>4.05</v>
      </c>
      <c r="Q33" s="1093">
        <v>4.17</v>
      </c>
      <c r="R33" s="1093">
        <v>2.65</v>
      </c>
      <c r="X33" s="1112"/>
      <c r="AD33" s="1101">
        <f>SUM(P33:Q33)*2*1.8</f>
        <v>29.591999999999995</v>
      </c>
      <c r="AE33" s="1101">
        <f>-(0.8*1.8+2.7*0.95)</f>
        <v>-4.0049999999999999</v>
      </c>
      <c r="AF33" s="1102">
        <f t="shared" si="3"/>
        <v>13.973999999999998</v>
      </c>
      <c r="AG33" s="1093">
        <v>0.85</v>
      </c>
      <c r="AI33" s="1104">
        <v>16.89</v>
      </c>
      <c r="AK33" s="1104">
        <f>+AI33</f>
        <v>16.89</v>
      </c>
      <c r="AR33" s="1104">
        <f>+AI33</f>
        <v>16.89</v>
      </c>
    </row>
    <row r="34" spans="1:44" x14ac:dyDescent="0.2">
      <c r="A34" s="1093">
        <f t="shared" si="2"/>
        <v>326</v>
      </c>
      <c r="B34" s="1105" t="s">
        <v>1391</v>
      </c>
      <c r="C34" s="1105">
        <v>4.3600000000000003</v>
      </c>
      <c r="D34" s="1093">
        <v>1.88</v>
      </c>
      <c r="E34" s="1093">
        <v>2.2000000000000002</v>
      </c>
      <c r="G34" s="1108">
        <v>4.3600000000000003</v>
      </c>
      <c r="H34" s="1108" t="s">
        <v>1386</v>
      </c>
      <c r="I34" s="1108">
        <f>SUM(P34:Q34)*2</f>
        <v>8.16</v>
      </c>
      <c r="K34" s="1108">
        <v>4.3600000000000003</v>
      </c>
      <c r="L34" s="1108"/>
      <c r="P34" s="1093">
        <v>1.88</v>
      </c>
      <c r="Q34" s="1093">
        <v>2.2000000000000002</v>
      </c>
      <c r="R34" s="1093">
        <v>2.65</v>
      </c>
      <c r="T34" s="1127">
        <f>SUM(P34:Q34)*2*R34</f>
        <v>21.623999999999999</v>
      </c>
      <c r="U34" s="1127">
        <f>-(2.2*2.65+3.4*2)</f>
        <v>-12.629999999999999</v>
      </c>
      <c r="X34" s="1112"/>
      <c r="AD34" s="1101">
        <f>SUM(P34:Q34)*2*1.8</f>
        <v>14.688000000000001</v>
      </c>
      <c r="AE34" s="1101">
        <f>-4.28*1.8</f>
        <v>-7.7040000000000006</v>
      </c>
      <c r="AF34" s="1102">
        <f t="shared" si="3"/>
        <v>6.9359999999999999</v>
      </c>
      <c r="AG34" s="1093">
        <v>0.85</v>
      </c>
      <c r="AI34" s="1104">
        <v>4.3600000000000003</v>
      </c>
      <c r="AK34" s="1104">
        <f>+AI34</f>
        <v>4.3600000000000003</v>
      </c>
      <c r="AR34" s="1104">
        <f>+AI34</f>
        <v>4.3600000000000003</v>
      </c>
    </row>
    <row r="35" spans="1:44" x14ac:dyDescent="0.2">
      <c r="A35" s="1093">
        <f t="shared" si="2"/>
        <v>327</v>
      </c>
      <c r="B35" s="1105" t="s">
        <v>1394</v>
      </c>
      <c r="C35" s="1105">
        <v>1.3</v>
      </c>
      <c r="D35" s="1093">
        <v>1.3</v>
      </c>
      <c r="E35" s="1093">
        <v>0.95</v>
      </c>
      <c r="G35" s="1109">
        <v>1.3</v>
      </c>
      <c r="H35" s="1109" t="s">
        <v>1388</v>
      </c>
      <c r="I35" s="1109"/>
      <c r="K35" s="1109"/>
      <c r="L35" s="1109">
        <v>1.3</v>
      </c>
      <c r="P35" s="1093">
        <v>1.3</v>
      </c>
      <c r="Q35" s="1093">
        <v>0.95</v>
      </c>
      <c r="R35" s="1109">
        <v>2.4500000000000002</v>
      </c>
      <c r="S35" s="1124">
        <f>+(4.4-0.7-0.6)*2.1</f>
        <v>6.5100000000000007</v>
      </c>
      <c r="W35" s="1100">
        <f>+S35</f>
        <v>6.5100000000000007</v>
      </c>
      <c r="X35" s="1112"/>
      <c r="Z35" s="1100">
        <f>+(4.4-0.6)*2.1</f>
        <v>7.9800000000000013</v>
      </c>
      <c r="AA35" s="1096">
        <f>0.7*0.55</f>
        <v>0.38500000000000001</v>
      </c>
      <c r="AB35" s="1126">
        <f>0.7*2.65</f>
        <v>1.8549999999999998</v>
      </c>
      <c r="AF35" s="1102">
        <f t="shared" si="3"/>
        <v>1.575</v>
      </c>
      <c r="AG35" s="1093">
        <v>0.35</v>
      </c>
      <c r="AI35" s="1107">
        <v>1.3</v>
      </c>
      <c r="AN35" s="1107">
        <f>+AI35</f>
        <v>1.3</v>
      </c>
      <c r="AP35" s="1107">
        <f>+AI35</f>
        <v>1.3</v>
      </c>
      <c r="AQ35" s="1106">
        <f>+AI35</f>
        <v>1.3</v>
      </c>
    </row>
    <row r="36" spans="1:44" x14ac:dyDescent="0.2">
      <c r="A36" s="1093">
        <f t="shared" si="2"/>
        <v>328</v>
      </c>
      <c r="B36" s="1105" t="s">
        <v>1392</v>
      </c>
      <c r="C36" s="1105">
        <v>2.09</v>
      </c>
      <c r="D36" s="1093">
        <v>1.85</v>
      </c>
      <c r="E36" s="1093">
        <v>1.1499999999999999</v>
      </c>
      <c r="G36" s="1128">
        <v>2.09</v>
      </c>
      <c r="H36" s="1128" t="s">
        <v>1393</v>
      </c>
      <c r="I36" s="1128"/>
      <c r="K36" s="1128"/>
      <c r="L36" s="1128">
        <v>2.09</v>
      </c>
      <c r="M36" s="1128">
        <f>+L36</f>
        <v>2.09</v>
      </c>
      <c r="P36" s="1093">
        <v>1.85</v>
      </c>
      <c r="Q36" s="1093">
        <v>1.1499999999999999</v>
      </c>
      <c r="R36" s="1109">
        <v>2.4500000000000002</v>
      </c>
      <c r="S36" s="1124">
        <f>+(5.9-0.6)*2.1</f>
        <v>11.130000000000003</v>
      </c>
      <c r="W36" s="1100">
        <f>+S36</f>
        <v>11.130000000000003</v>
      </c>
      <c r="X36" s="1112"/>
      <c r="Z36" s="1100">
        <f>+(5.9-0.6)*2.1</f>
        <v>11.130000000000003</v>
      </c>
      <c r="AF36" s="1102">
        <f t="shared" si="3"/>
        <v>2.0999999999999996</v>
      </c>
      <c r="AG36" s="1093">
        <v>0.35</v>
      </c>
      <c r="AI36" s="1106">
        <v>2.09</v>
      </c>
      <c r="AM36" s="1106">
        <f>+AI36</f>
        <v>2.09</v>
      </c>
    </row>
    <row r="37" spans="1:44" x14ac:dyDescent="0.2">
      <c r="A37" s="1093">
        <f t="shared" si="2"/>
        <v>329</v>
      </c>
      <c r="B37" s="1105" t="s">
        <v>1403</v>
      </c>
      <c r="C37" s="1105">
        <v>16.89</v>
      </c>
      <c r="D37" s="1093">
        <v>4.05</v>
      </c>
      <c r="E37" s="1093">
        <v>4.17</v>
      </c>
      <c r="G37" s="1108">
        <v>16.89</v>
      </c>
      <c r="H37" s="1108" t="s">
        <v>1386</v>
      </c>
      <c r="I37" s="1108">
        <f>SUM(P37:Q37)*2</f>
        <v>16.439999999999998</v>
      </c>
      <c r="K37" s="1108">
        <v>16.89</v>
      </c>
      <c r="L37" s="1108"/>
      <c r="P37" s="1093">
        <v>4.05</v>
      </c>
      <c r="Q37" s="1093">
        <v>4.17</v>
      </c>
      <c r="R37" s="1093">
        <v>2.65</v>
      </c>
      <c r="X37" s="1112"/>
      <c r="AD37" s="1101">
        <f>SUM(P37:Q37)*2*1.8</f>
        <v>29.591999999999995</v>
      </c>
      <c r="AE37" s="1101">
        <f>-(0.8*1.8+2.7*0.95)</f>
        <v>-4.0049999999999999</v>
      </c>
      <c r="AF37" s="1102">
        <f t="shared" si="3"/>
        <v>13.973999999999998</v>
      </c>
      <c r="AG37" s="1093">
        <v>0.85</v>
      </c>
      <c r="AI37" s="1104">
        <v>16.89</v>
      </c>
      <c r="AK37" s="1104">
        <f>+AI37</f>
        <v>16.89</v>
      </c>
      <c r="AR37" s="1104">
        <f>+AI37</f>
        <v>16.89</v>
      </c>
    </row>
    <row r="38" spans="1:44" ht="13.5" thickBot="1" x14ac:dyDescent="0.25">
      <c r="A38" s="1093">
        <f t="shared" si="2"/>
        <v>330</v>
      </c>
      <c r="B38" s="1105" t="s">
        <v>1404</v>
      </c>
      <c r="C38" s="1105">
        <v>25.41</v>
      </c>
      <c r="D38" s="1093">
        <f>4.05+0.6</f>
        <v>4.6499999999999995</v>
      </c>
      <c r="E38" s="1093">
        <v>6.45</v>
      </c>
      <c r="G38" s="1108">
        <v>25.41</v>
      </c>
      <c r="H38" s="1108" t="s">
        <v>1386</v>
      </c>
      <c r="I38" s="1108">
        <f>SUM(P38:Q38)*2</f>
        <v>21</v>
      </c>
      <c r="K38" s="1108">
        <v>25.41</v>
      </c>
      <c r="L38" s="1108"/>
      <c r="P38" s="1093">
        <v>4.05</v>
      </c>
      <c r="Q38" s="1093">
        <v>6.45</v>
      </c>
      <c r="R38" s="1093">
        <v>2.65</v>
      </c>
      <c r="S38" s="1130">
        <f>1.79*1.8</f>
        <v>3.222</v>
      </c>
      <c r="W38" s="1100">
        <f>+S38</f>
        <v>3.222</v>
      </c>
      <c r="X38" s="1112"/>
      <c r="Y38" s="1100">
        <f>1.8*1.8</f>
        <v>3.24</v>
      </c>
      <c r="AA38" s="1096">
        <f>0.72*2.65</f>
        <v>1.9079999999999999</v>
      </c>
      <c r="AB38" s="1126">
        <f>0.72*2.65</f>
        <v>1.9079999999999999</v>
      </c>
      <c r="AD38" s="1101">
        <f>SUM(P38:Q38)*2*1.8</f>
        <v>37.800000000000004</v>
      </c>
      <c r="AE38" s="1101">
        <f>-(3.7*1.8+3*0.95)</f>
        <v>-9.51</v>
      </c>
      <c r="AF38" s="1102">
        <f t="shared" si="3"/>
        <v>17.849999999999998</v>
      </c>
      <c r="AG38" s="1093">
        <v>0.85</v>
      </c>
      <c r="AI38" s="1131">
        <v>25.41</v>
      </c>
      <c r="AK38" s="1104">
        <f>+AI38</f>
        <v>25.41</v>
      </c>
      <c r="AR38" s="1104">
        <f>+AI38</f>
        <v>25.41</v>
      </c>
    </row>
    <row r="39" spans="1:44" ht="13.5" thickBot="1" x14ac:dyDescent="0.25">
      <c r="A39" s="1093">
        <f t="shared" si="2"/>
        <v>331</v>
      </c>
      <c r="B39" s="1112" t="s">
        <v>1405</v>
      </c>
      <c r="C39" s="1112">
        <v>22.78</v>
      </c>
      <c r="D39" s="1093">
        <f>5.85+0.55+0.15</f>
        <v>6.55</v>
      </c>
      <c r="E39" s="1093">
        <f>6.45+0.15</f>
        <v>6.6000000000000005</v>
      </c>
      <c r="G39" s="1132">
        <v>22.78</v>
      </c>
      <c r="H39" s="1133" t="s">
        <v>1386</v>
      </c>
      <c r="I39" s="1108">
        <v>24.6</v>
      </c>
      <c r="K39" s="1132">
        <v>22.78</v>
      </c>
      <c r="L39" s="1108"/>
      <c r="P39" s="1093">
        <f>5.85+0.55+0.15</f>
        <v>6.55</v>
      </c>
      <c r="Q39" s="1093">
        <f>6.45+0.15</f>
        <v>6.6000000000000005</v>
      </c>
      <c r="R39" s="1093">
        <v>2.65</v>
      </c>
      <c r="S39" s="1130">
        <f>4.93*2.1</f>
        <v>10.353</v>
      </c>
      <c r="W39" s="1100">
        <f>+S39</f>
        <v>10.353</v>
      </c>
      <c r="X39" s="1112"/>
      <c r="Y39" s="1125">
        <f>4.93*1.8</f>
        <v>8.8740000000000006</v>
      </c>
      <c r="AA39" s="1096">
        <f>0.25*2.65</f>
        <v>0.66249999999999998</v>
      </c>
      <c r="AB39" s="1126">
        <f>0.25*2.65</f>
        <v>0.66249999999999998</v>
      </c>
      <c r="AD39" s="1101">
        <f>SUM(P39:Q39)*2*1.8</f>
        <v>47.34</v>
      </c>
      <c r="AE39" s="1101">
        <f>-(4.37*1.8+3.9*0.95)</f>
        <v>-11.571</v>
      </c>
      <c r="AF39" s="1102">
        <f t="shared" si="3"/>
        <v>22.355</v>
      </c>
      <c r="AG39" s="1093">
        <v>0.85</v>
      </c>
      <c r="AI39" s="1131">
        <v>22.78</v>
      </c>
      <c r="AK39" s="1104">
        <f>+AI39</f>
        <v>22.78</v>
      </c>
      <c r="AR39" s="1104">
        <f>+AI39</f>
        <v>22.78</v>
      </c>
    </row>
    <row r="40" spans="1:44" x14ac:dyDescent="0.2">
      <c r="A40" s="1093">
        <f t="shared" si="2"/>
        <v>332</v>
      </c>
      <c r="B40" s="1129" t="s">
        <v>1391</v>
      </c>
      <c r="C40" s="1129">
        <v>4.45</v>
      </c>
      <c r="D40" s="1093">
        <v>1.88</v>
      </c>
      <c r="E40" s="1093">
        <v>2.2000000000000002</v>
      </c>
      <c r="G40" s="1108">
        <v>4.45</v>
      </c>
      <c r="H40" s="1108" t="s">
        <v>1386</v>
      </c>
      <c r="I40" s="1108">
        <f>SUM(P40:Q40)*2</f>
        <v>8.16</v>
      </c>
      <c r="K40" s="1108">
        <v>4.45</v>
      </c>
      <c r="L40" s="1108"/>
      <c r="P40" s="1093">
        <v>1.88</v>
      </c>
      <c r="Q40" s="1093">
        <v>2.2000000000000002</v>
      </c>
      <c r="R40" s="1093">
        <v>2.65</v>
      </c>
      <c r="T40" s="1127">
        <f>SUM(P40:Q40)*2*R40</f>
        <v>21.623999999999999</v>
      </c>
      <c r="U40" s="1127">
        <f>-(2.2*2.65+3.4*2)</f>
        <v>-12.629999999999999</v>
      </c>
      <c r="X40" s="1112"/>
      <c r="AD40" s="1101">
        <f>SUM(P40:Q40)*2*1.8</f>
        <v>14.688000000000001</v>
      </c>
      <c r="AE40" s="1101">
        <f>-4.28*1.8</f>
        <v>-7.7040000000000006</v>
      </c>
      <c r="AF40" s="1102">
        <f t="shared" si="3"/>
        <v>6.9359999999999999</v>
      </c>
      <c r="AG40" s="1093">
        <v>0.85</v>
      </c>
      <c r="AI40" s="1131">
        <v>4.45</v>
      </c>
      <c r="AK40" s="1104">
        <f>+AI40</f>
        <v>4.45</v>
      </c>
      <c r="AR40" s="1104">
        <f>+AI40</f>
        <v>4.45</v>
      </c>
    </row>
    <row r="41" spans="1:44" x14ac:dyDescent="0.2">
      <c r="A41" s="1093">
        <f t="shared" si="2"/>
        <v>333</v>
      </c>
      <c r="B41" s="1129" t="s">
        <v>1392</v>
      </c>
      <c r="C41" s="1129">
        <v>2.09</v>
      </c>
      <c r="D41" s="1093">
        <v>1.85</v>
      </c>
      <c r="E41" s="1093">
        <v>1.1499999999999999</v>
      </c>
      <c r="G41" s="1128">
        <v>2.09</v>
      </c>
      <c r="H41" s="1128" t="s">
        <v>1393</v>
      </c>
      <c r="I41" s="1128"/>
      <c r="K41" s="1128"/>
      <c r="L41" s="1128">
        <v>2.09</v>
      </c>
      <c r="M41" s="1128">
        <f>+L41</f>
        <v>2.09</v>
      </c>
      <c r="P41" s="1093">
        <v>1.85</v>
      </c>
      <c r="Q41" s="1093">
        <v>1.1499999999999999</v>
      </c>
      <c r="R41" s="1109">
        <v>2.4500000000000002</v>
      </c>
      <c r="S41" s="1124">
        <f>+(5.9-0.6)*2.1</f>
        <v>11.130000000000003</v>
      </c>
      <c r="W41" s="1100">
        <f>+S41</f>
        <v>11.130000000000003</v>
      </c>
      <c r="X41" s="1112"/>
      <c r="Z41" s="1100">
        <f>+(5.9-0.6)*2.1</f>
        <v>11.130000000000003</v>
      </c>
      <c r="AF41" s="1102">
        <f t="shared" si="3"/>
        <v>2.0999999999999996</v>
      </c>
      <c r="AG41" s="1093">
        <v>0.35</v>
      </c>
      <c r="AI41" s="1134">
        <v>2.09</v>
      </c>
      <c r="AM41" s="1106">
        <f>+AI41</f>
        <v>2.09</v>
      </c>
      <c r="AQ41" s="1106">
        <f>+AI41</f>
        <v>2.09</v>
      </c>
    </row>
    <row r="42" spans="1:44" x14ac:dyDescent="0.2">
      <c r="A42" s="1093">
        <f t="shared" si="2"/>
        <v>334</v>
      </c>
      <c r="B42" s="1129" t="s">
        <v>1394</v>
      </c>
      <c r="C42" s="1129">
        <v>1.3</v>
      </c>
      <c r="D42" s="1093">
        <v>1.3</v>
      </c>
      <c r="E42" s="1093">
        <v>0.95</v>
      </c>
      <c r="G42" s="1109">
        <v>1.3</v>
      </c>
      <c r="H42" s="1109" t="s">
        <v>1388</v>
      </c>
      <c r="I42" s="1109"/>
      <c r="K42" s="1109"/>
      <c r="L42" s="1109">
        <v>1.3</v>
      </c>
      <c r="P42" s="1093">
        <v>1.3</v>
      </c>
      <c r="Q42" s="1093">
        <v>0.95</v>
      </c>
      <c r="R42" s="1109">
        <v>2.4500000000000002</v>
      </c>
      <c r="S42" s="1124">
        <f>+(4.4-0.7-0.6)*2.1</f>
        <v>6.5100000000000007</v>
      </c>
      <c r="W42" s="1100">
        <f>+S42</f>
        <v>6.5100000000000007</v>
      </c>
      <c r="X42" s="1112"/>
      <c r="Z42" s="1100">
        <f>+(4.4-0.6)*2.1</f>
        <v>7.9800000000000013</v>
      </c>
      <c r="AA42" s="1096">
        <f>0.7*0.55</f>
        <v>0.38500000000000001</v>
      </c>
      <c r="AB42" s="1126">
        <f>0.7*2.65</f>
        <v>1.8549999999999998</v>
      </c>
      <c r="AF42" s="1102">
        <f t="shared" si="3"/>
        <v>1.575</v>
      </c>
      <c r="AG42" s="1093">
        <v>0.35</v>
      </c>
      <c r="AI42" s="1135">
        <v>1.3</v>
      </c>
      <c r="AN42" s="1107">
        <f>+AI42</f>
        <v>1.3</v>
      </c>
      <c r="AP42" s="1107">
        <f>+AI42</f>
        <v>1.3</v>
      </c>
    </row>
    <row r="43" spans="1:44" x14ac:dyDescent="0.2">
      <c r="A43" s="1093">
        <f t="shared" si="2"/>
        <v>335</v>
      </c>
      <c r="B43" s="1129" t="s">
        <v>1406</v>
      </c>
      <c r="C43" s="1129">
        <v>16.89</v>
      </c>
      <c r="D43" s="1093">
        <v>4.05</v>
      </c>
      <c r="E43" s="1093">
        <v>4.17</v>
      </c>
      <c r="G43" s="1108">
        <v>16.89</v>
      </c>
      <c r="H43" s="1108" t="s">
        <v>1386</v>
      </c>
      <c r="I43" s="1108">
        <f t="shared" ref="I43:I48" si="4">SUM(P43:Q43)*2</f>
        <v>16.439999999999998</v>
      </c>
      <c r="K43" s="1108">
        <v>16.89</v>
      </c>
      <c r="L43" s="1108"/>
      <c r="P43" s="1093">
        <v>4.05</v>
      </c>
      <c r="Q43" s="1093">
        <v>4.17</v>
      </c>
      <c r="R43" s="1093">
        <v>2.65</v>
      </c>
      <c r="X43" s="1112"/>
      <c r="AD43" s="1101">
        <f t="shared" ref="AD43:AD49" si="5">SUM(P43:Q43)*2*1.8</f>
        <v>29.591999999999995</v>
      </c>
      <c r="AE43" s="1101">
        <f>-(1.1*1.8+3*0.95)</f>
        <v>-4.83</v>
      </c>
      <c r="AF43" s="1102">
        <f t="shared" si="3"/>
        <v>13.973999999999998</v>
      </c>
      <c r="AG43" s="1093">
        <v>0.85</v>
      </c>
      <c r="AI43" s="1131">
        <v>16.89</v>
      </c>
      <c r="AK43" s="1104">
        <f t="shared" ref="AK43:AK50" si="6">+AI43</f>
        <v>16.89</v>
      </c>
      <c r="AR43" s="1104">
        <f t="shared" ref="AR43:AR50" si="7">+AI43</f>
        <v>16.89</v>
      </c>
    </row>
    <row r="44" spans="1:44" x14ac:dyDescent="0.2">
      <c r="A44" s="1093">
        <f t="shared" si="2"/>
        <v>336</v>
      </c>
      <c r="B44" s="1129" t="s">
        <v>1407</v>
      </c>
      <c r="C44" s="1129">
        <v>25.44</v>
      </c>
      <c r="D44" s="1093">
        <f>4.05+0.6</f>
        <v>4.6499999999999995</v>
      </c>
      <c r="E44" s="1093">
        <v>6.45</v>
      </c>
      <c r="G44" s="1108">
        <v>25.44</v>
      </c>
      <c r="H44" s="1108" t="s">
        <v>1386</v>
      </c>
      <c r="I44" s="1108">
        <f t="shared" si="4"/>
        <v>21</v>
      </c>
      <c r="K44" s="1108">
        <v>25.44</v>
      </c>
      <c r="L44" s="1108"/>
      <c r="P44" s="1093">
        <v>4.05</v>
      </c>
      <c r="Q44" s="1093">
        <v>6.45</v>
      </c>
      <c r="R44" s="1093">
        <v>2.65</v>
      </c>
      <c r="S44" s="1124">
        <f>1.65*1.8</f>
        <v>2.9699999999999998</v>
      </c>
      <c r="W44" s="1100">
        <f>+S44</f>
        <v>2.9699999999999998</v>
      </c>
      <c r="X44" s="1112"/>
      <c r="Y44" s="1100">
        <f>1.65*1.8</f>
        <v>2.9699999999999998</v>
      </c>
      <c r="AA44" s="1096">
        <f>0.72*2.65</f>
        <v>1.9079999999999999</v>
      </c>
      <c r="AB44" s="1126">
        <f>0.72*2.65</f>
        <v>1.9079999999999999</v>
      </c>
      <c r="AD44" s="1101">
        <f t="shared" si="5"/>
        <v>37.800000000000004</v>
      </c>
      <c r="AE44" s="1101">
        <f>-(3.35*1.8+3*0.95)</f>
        <v>-8.879999999999999</v>
      </c>
      <c r="AF44" s="1102">
        <f t="shared" si="3"/>
        <v>17.849999999999998</v>
      </c>
      <c r="AG44" s="1093">
        <v>0.85</v>
      </c>
      <c r="AI44" s="1131">
        <v>25.44</v>
      </c>
      <c r="AK44" s="1104">
        <f t="shared" si="6"/>
        <v>25.44</v>
      </c>
      <c r="AR44" s="1104">
        <f t="shared" si="7"/>
        <v>25.44</v>
      </c>
    </row>
    <row r="45" spans="1:44" x14ac:dyDescent="0.2">
      <c r="A45" s="1093">
        <f t="shared" si="2"/>
        <v>337</v>
      </c>
      <c r="B45" s="1112" t="s">
        <v>1408</v>
      </c>
      <c r="C45" s="1112">
        <v>5.75</v>
      </c>
      <c r="D45" s="1093">
        <v>2.85</v>
      </c>
      <c r="E45" s="1093">
        <v>2.1</v>
      </c>
      <c r="G45" s="1108">
        <v>5.75</v>
      </c>
      <c r="H45" s="1108" t="s">
        <v>1386</v>
      </c>
      <c r="I45" s="1108">
        <f t="shared" si="4"/>
        <v>9.9</v>
      </c>
      <c r="K45" s="1108">
        <v>5.75</v>
      </c>
      <c r="L45" s="1108"/>
      <c r="P45" s="1093">
        <v>2.85</v>
      </c>
      <c r="Q45" s="1093">
        <v>2.1</v>
      </c>
      <c r="R45" s="1093">
        <v>2.65</v>
      </c>
      <c r="S45" s="1124">
        <f>+(9.9-1.6)*1.8</f>
        <v>14.940000000000001</v>
      </c>
      <c r="W45" s="1100">
        <f>+S45</f>
        <v>14.940000000000001</v>
      </c>
      <c r="X45" s="1112"/>
      <c r="AA45" s="1096">
        <f>0.8*2.65</f>
        <v>2.12</v>
      </c>
      <c r="AB45" s="1126">
        <f>0.75*2.65</f>
        <v>1.9874999999999998</v>
      </c>
      <c r="AD45" s="1101">
        <f t="shared" si="5"/>
        <v>17.82</v>
      </c>
      <c r="AE45" s="1101">
        <f>-0.9*1.8</f>
        <v>-1.62</v>
      </c>
      <c r="AF45" s="1102">
        <f t="shared" si="3"/>
        <v>8.4150000000000009</v>
      </c>
      <c r="AG45" s="1093">
        <v>0.85</v>
      </c>
      <c r="AI45" s="1131">
        <v>5.75</v>
      </c>
      <c r="AK45" s="1104">
        <f t="shared" si="6"/>
        <v>5.75</v>
      </c>
      <c r="AR45" s="1104">
        <f t="shared" si="7"/>
        <v>5.75</v>
      </c>
    </row>
    <row r="46" spans="1:44" x14ac:dyDescent="0.2">
      <c r="A46" s="1093">
        <f t="shared" si="2"/>
        <v>338</v>
      </c>
      <c r="B46" s="1112" t="s">
        <v>1409</v>
      </c>
      <c r="C46" s="1112">
        <v>11.1</v>
      </c>
      <c r="D46" s="1093">
        <v>2.6</v>
      </c>
      <c r="E46" s="1093">
        <v>4.2699999999999996</v>
      </c>
      <c r="G46" s="1108">
        <v>11.1</v>
      </c>
      <c r="H46" s="1108" t="s">
        <v>1386</v>
      </c>
      <c r="I46" s="1108">
        <f t="shared" si="4"/>
        <v>13.739999999999998</v>
      </c>
      <c r="K46" s="1108">
        <v>11.1</v>
      </c>
      <c r="L46" s="1108"/>
      <c r="P46" s="1093">
        <v>2.6</v>
      </c>
      <c r="Q46" s="1093">
        <v>4.2699999999999996</v>
      </c>
      <c r="R46" s="1093">
        <v>2.65</v>
      </c>
      <c r="V46" s="1127">
        <f>SUM(P46:Q46)*2*R46</f>
        <v>36.410999999999994</v>
      </c>
      <c r="X46" s="1112"/>
      <c r="AA46" s="1114"/>
      <c r="AB46" s="1112"/>
      <c r="AD46" s="1101">
        <f t="shared" si="5"/>
        <v>24.731999999999999</v>
      </c>
      <c r="AE46" s="1101">
        <f>-(0.9*1.8+1.8*0.95)</f>
        <v>-3.33</v>
      </c>
      <c r="AF46" s="1102">
        <f t="shared" si="3"/>
        <v>11.678999999999998</v>
      </c>
      <c r="AG46" s="1093">
        <v>0.85</v>
      </c>
      <c r="AI46" s="1131">
        <v>11.1</v>
      </c>
      <c r="AK46" s="1104">
        <f t="shared" si="6"/>
        <v>11.1</v>
      </c>
      <c r="AR46" s="1104">
        <f t="shared" si="7"/>
        <v>11.1</v>
      </c>
    </row>
    <row r="47" spans="1:44" x14ac:dyDescent="0.2">
      <c r="A47" s="1093">
        <f t="shared" si="2"/>
        <v>339</v>
      </c>
      <c r="B47" s="1112" t="s">
        <v>1410</v>
      </c>
      <c r="C47" s="1112">
        <v>18.25</v>
      </c>
      <c r="D47" s="1093">
        <v>2.75</v>
      </c>
      <c r="E47" s="1093">
        <v>6.45</v>
      </c>
      <c r="G47" s="1108">
        <v>18.25</v>
      </c>
      <c r="H47" s="1108" t="s">
        <v>1386</v>
      </c>
      <c r="I47" s="1108">
        <f t="shared" si="4"/>
        <v>18.399999999999999</v>
      </c>
      <c r="K47" s="1108">
        <v>18.25</v>
      </c>
      <c r="L47" s="1108"/>
      <c r="P47" s="1093">
        <v>2.75</v>
      </c>
      <c r="Q47" s="1093">
        <v>6.45</v>
      </c>
      <c r="R47" s="1093">
        <v>2.65</v>
      </c>
      <c r="S47" s="1124">
        <f>+(6.45-0.9)*2</f>
        <v>11.1</v>
      </c>
      <c r="T47" s="1112"/>
      <c r="U47" s="1112"/>
      <c r="V47" s="1112"/>
      <c r="W47" s="1100">
        <f>+S47</f>
        <v>11.1</v>
      </c>
      <c r="X47" s="1112"/>
      <c r="Y47" s="1100">
        <f>0.8*1.8</f>
        <v>1.4400000000000002</v>
      </c>
      <c r="AA47" s="1114"/>
      <c r="AB47" s="1112"/>
      <c r="AD47" s="1101">
        <f t="shared" si="5"/>
        <v>33.119999999999997</v>
      </c>
      <c r="AE47" s="1101">
        <f>-(3.4*1.8+1.8*0.95)</f>
        <v>-7.83</v>
      </c>
      <c r="AF47" s="1102">
        <f t="shared" si="3"/>
        <v>15.639999999999999</v>
      </c>
      <c r="AG47" s="1093">
        <v>0.85</v>
      </c>
      <c r="AI47" s="1131">
        <v>18.25</v>
      </c>
      <c r="AK47" s="1104">
        <f t="shared" si="6"/>
        <v>18.25</v>
      </c>
      <c r="AR47" s="1104">
        <f t="shared" si="7"/>
        <v>18.25</v>
      </c>
    </row>
    <row r="48" spans="1:44" ht="13.5" thickBot="1" x14ac:dyDescent="0.25">
      <c r="A48" s="1093">
        <f t="shared" si="2"/>
        <v>340</v>
      </c>
      <c r="B48" s="1112" t="s">
        <v>1411</v>
      </c>
      <c r="C48" s="1112">
        <v>17.399999999999999</v>
      </c>
      <c r="D48" s="1093">
        <v>2.75</v>
      </c>
      <c r="E48" s="1093">
        <v>6.45</v>
      </c>
      <c r="G48" s="1108">
        <v>17.399999999999999</v>
      </c>
      <c r="H48" s="1108" t="s">
        <v>1386</v>
      </c>
      <c r="I48" s="1108">
        <f t="shared" si="4"/>
        <v>18.399999999999999</v>
      </c>
      <c r="K48" s="1108">
        <v>17.399999999999999</v>
      </c>
      <c r="L48" s="1108"/>
      <c r="P48" s="1093">
        <v>2.75</v>
      </c>
      <c r="Q48" s="1093">
        <v>6.45</v>
      </c>
      <c r="R48" s="1093">
        <v>2.65</v>
      </c>
      <c r="S48" s="1124">
        <f>3.9*1.8</f>
        <v>7.02</v>
      </c>
      <c r="T48" s="1112"/>
      <c r="U48" s="1112"/>
      <c r="V48" s="1112"/>
      <c r="W48" s="1100">
        <f>+S48</f>
        <v>7.02</v>
      </c>
      <c r="X48" s="1112"/>
      <c r="Y48" s="1100">
        <f>3.9*1.8</f>
        <v>7.02</v>
      </c>
      <c r="AA48" s="1096">
        <f>0.72*2.65</f>
        <v>1.9079999999999999</v>
      </c>
      <c r="AB48" s="1126">
        <f>0.72*2.65</f>
        <v>1.9079999999999999</v>
      </c>
      <c r="AD48" s="1101">
        <f t="shared" si="5"/>
        <v>33.119999999999997</v>
      </c>
      <c r="AE48" s="1101">
        <f>-(5.7*1.8+1.8*0.95)</f>
        <v>-11.969999999999999</v>
      </c>
      <c r="AF48" s="1102">
        <f t="shared" si="3"/>
        <v>15.639999999999999</v>
      </c>
      <c r="AG48" s="1093">
        <v>0.85</v>
      </c>
      <c r="AI48" s="1131">
        <v>17.399999999999999</v>
      </c>
      <c r="AK48" s="1104">
        <f t="shared" si="6"/>
        <v>17.399999999999999</v>
      </c>
      <c r="AR48" s="1104">
        <f t="shared" si="7"/>
        <v>17.399999999999999</v>
      </c>
    </row>
    <row r="49" spans="1:46" ht="13.5" thickBot="1" x14ac:dyDescent="0.25">
      <c r="A49" s="1093">
        <f t="shared" si="2"/>
        <v>341</v>
      </c>
      <c r="B49" s="1112" t="s">
        <v>1391</v>
      </c>
      <c r="C49" s="1112">
        <v>5.28</v>
      </c>
      <c r="D49" s="1093">
        <v>2</v>
      </c>
      <c r="E49" s="1093">
        <v>2.75</v>
      </c>
      <c r="G49" s="1136">
        <v>5.28</v>
      </c>
      <c r="H49" s="1137" t="s">
        <v>1388</v>
      </c>
      <c r="I49" s="1137"/>
      <c r="K49" s="1109"/>
      <c r="L49" s="1136">
        <v>5.28</v>
      </c>
      <c r="P49" s="1093">
        <v>2</v>
      </c>
      <c r="Q49" s="1093">
        <v>2.75</v>
      </c>
      <c r="R49" s="1093">
        <v>2.65</v>
      </c>
      <c r="T49" s="1127">
        <f>SUM(P49:Q49)*2*R49</f>
        <v>25.175000000000001</v>
      </c>
      <c r="U49" s="1127">
        <f>-(1*2.65+3.94*2)</f>
        <v>-10.53</v>
      </c>
      <c r="V49" s="1112"/>
      <c r="X49" s="1112"/>
      <c r="AA49" s="1096">
        <f>1*2.65</f>
        <v>2.65</v>
      </c>
      <c r="AB49" s="1126">
        <f>0.92*2.65</f>
        <v>2.4380000000000002</v>
      </c>
      <c r="AD49" s="1101">
        <f t="shared" si="5"/>
        <v>17.100000000000001</v>
      </c>
      <c r="AE49" s="1101">
        <f>-3.9*1.8</f>
        <v>-7.02</v>
      </c>
      <c r="AF49" s="1102">
        <f t="shared" si="3"/>
        <v>8.0749999999999993</v>
      </c>
      <c r="AG49" s="1093">
        <v>0.85</v>
      </c>
      <c r="AI49" s="1131">
        <v>5.28</v>
      </c>
      <c r="AK49" s="1104">
        <f t="shared" si="6"/>
        <v>5.28</v>
      </c>
      <c r="AR49" s="1104">
        <f t="shared" si="7"/>
        <v>5.28</v>
      </c>
    </row>
    <row r="50" spans="1:46" x14ac:dyDescent="0.2">
      <c r="A50" s="1093">
        <f t="shared" si="2"/>
        <v>342</v>
      </c>
      <c r="B50" s="1112" t="s">
        <v>1412</v>
      </c>
      <c r="C50" s="1112">
        <v>1.36</v>
      </c>
      <c r="D50" s="1093">
        <v>1.3</v>
      </c>
      <c r="E50" s="1093">
        <v>1</v>
      </c>
      <c r="G50" s="1109">
        <v>1.36</v>
      </c>
      <c r="H50" s="1109" t="s">
        <v>1388</v>
      </c>
      <c r="I50" s="1109"/>
      <c r="K50" s="1109"/>
      <c r="L50" s="1109">
        <v>1.36</v>
      </c>
      <c r="P50" s="1093">
        <v>1.3</v>
      </c>
      <c r="Q50" s="1093">
        <v>1</v>
      </c>
      <c r="R50" s="1093">
        <v>2.65</v>
      </c>
      <c r="S50" s="1124">
        <f>+(4.6-0.7-0.6)*2.1</f>
        <v>6.9299999999999988</v>
      </c>
      <c r="V50" s="1112"/>
      <c r="W50" s="1100">
        <f t="shared" ref="W50:W55" si="8">+S50</f>
        <v>6.9299999999999988</v>
      </c>
      <c r="X50" s="1112"/>
      <c r="Z50" s="1100">
        <f>+(4.6-0.6)*2.1</f>
        <v>8.3999999999999986</v>
      </c>
      <c r="AA50" s="1096">
        <f>0.7*0.55</f>
        <v>0.38500000000000001</v>
      </c>
      <c r="AB50" s="1126">
        <f>0.7*2.65</f>
        <v>1.8549999999999998</v>
      </c>
      <c r="AF50" s="1102">
        <f t="shared" si="3"/>
        <v>3.9099999999999997</v>
      </c>
      <c r="AG50" s="1093">
        <v>0.85</v>
      </c>
      <c r="AI50" s="1131">
        <v>1.36</v>
      </c>
      <c r="AK50" s="1104">
        <f t="shared" si="6"/>
        <v>1.36</v>
      </c>
      <c r="AR50" s="1104">
        <f t="shared" si="7"/>
        <v>1.36</v>
      </c>
    </row>
    <row r="51" spans="1:46" x14ac:dyDescent="0.2">
      <c r="A51" s="1093">
        <f t="shared" si="2"/>
        <v>343</v>
      </c>
      <c r="B51" s="1112" t="s">
        <v>1413</v>
      </c>
      <c r="C51" s="1112">
        <v>4.18</v>
      </c>
      <c r="D51" s="1093">
        <v>1.85</v>
      </c>
      <c r="E51" s="1093">
        <v>2.2000000000000002</v>
      </c>
      <c r="G51" s="1109">
        <v>4.18</v>
      </c>
      <c r="H51" s="1109" t="s">
        <v>1393</v>
      </c>
      <c r="I51" s="1109"/>
      <c r="K51" s="1109"/>
      <c r="L51" s="1128">
        <v>4.18</v>
      </c>
      <c r="M51" s="1128">
        <f>+L51</f>
        <v>4.18</v>
      </c>
      <c r="P51" s="1093">
        <v>1.85</v>
      </c>
      <c r="Q51" s="1093">
        <v>2.2000000000000002</v>
      </c>
      <c r="R51" s="1109">
        <v>2.4500000000000002</v>
      </c>
      <c r="S51" s="1124">
        <f>+(8.1-1.1)*2.1</f>
        <v>14.700000000000001</v>
      </c>
      <c r="V51" s="1112"/>
      <c r="W51" s="1100">
        <f t="shared" si="8"/>
        <v>14.700000000000001</v>
      </c>
      <c r="X51" s="1112"/>
      <c r="Z51" s="1100">
        <f>+(8.1-1.1)*2.1</f>
        <v>14.700000000000001</v>
      </c>
      <c r="AA51" s="1114"/>
      <c r="AB51" s="1112"/>
      <c r="AF51" s="1102">
        <f t="shared" si="3"/>
        <v>2.8350000000000004</v>
      </c>
      <c r="AG51" s="1093">
        <v>0.35</v>
      </c>
      <c r="AI51" s="1134">
        <v>4.18</v>
      </c>
      <c r="AM51" s="1106">
        <f>+AI51</f>
        <v>4.18</v>
      </c>
      <c r="AQ51" s="1106">
        <f>+AI51</f>
        <v>4.18</v>
      </c>
    </row>
    <row r="52" spans="1:46" x14ac:dyDescent="0.2">
      <c r="A52" s="1093">
        <f t="shared" si="2"/>
        <v>344</v>
      </c>
      <c r="B52" s="1112" t="s">
        <v>1392</v>
      </c>
      <c r="C52" s="1112">
        <v>12.9</v>
      </c>
      <c r="D52" s="1093">
        <v>3.85</v>
      </c>
      <c r="E52" s="1093">
        <v>3.6</v>
      </c>
      <c r="G52" s="1109">
        <v>12.9</v>
      </c>
      <c r="H52" s="1109" t="s">
        <v>1393</v>
      </c>
      <c r="I52" s="1109"/>
      <c r="K52" s="1109"/>
      <c r="L52" s="1128">
        <v>12.9</v>
      </c>
      <c r="M52" s="1128">
        <f>+L52</f>
        <v>12.9</v>
      </c>
      <c r="P52" s="1093">
        <v>3.85</v>
      </c>
      <c r="Q52" s="1093">
        <v>3.6</v>
      </c>
      <c r="R52" s="1109">
        <v>2.4500000000000002</v>
      </c>
      <c r="S52" s="1124">
        <f>+(14.9-1.1)*2.1-3*1.25</f>
        <v>25.230000000000004</v>
      </c>
      <c r="V52" s="1112"/>
      <c r="W52" s="1100">
        <f t="shared" si="8"/>
        <v>25.230000000000004</v>
      </c>
      <c r="X52" s="1112"/>
      <c r="Z52" s="1100">
        <f>+(14.9-1.1)*2.1-3*1.25</f>
        <v>25.230000000000004</v>
      </c>
      <c r="AA52" s="1114"/>
      <c r="AB52" s="1112"/>
      <c r="AF52" s="1102">
        <f t="shared" si="3"/>
        <v>5.2149999999999999</v>
      </c>
      <c r="AG52" s="1093">
        <v>0.35</v>
      </c>
      <c r="AI52" s="1134">
        <v>12.9</v>
      </c>
      <c r="AM52" s="1106">
        <f>+AI52</f>
        <v>12.9</v>
      </c>
      <c r="AO52" s="1138"/>
      <c r="AQ52" s="1106">
        <f>+AI52</f>
        <v>12.9</v>
      </c>
    </row>
    <row r="53" spans="1:46" x14ac:dyDescent="0.2">
      <c r="A53" s="1093">
        <f t="shared" si="2"/>
        <v>345</v>
      </c>
      <c r="B53" s="1112" t="s">
        <v>1414</v>
      </c>
      <c r="C53" s="1112">
        <v>26.12</v>
      </c>
      <c r="D53" s="1093">
        <v>4.05</v>
      </c>
      <c r="E53" s="1093">
        <v>6.45</v>
      </c>
      <c r="G53" s="1108">
        <v>26.12</v>
      </c>
      <c r="H53" s="1108" t="s">
        <v>1386</v>
      </c>
      <c r="I53" s="1108">
        <f>SUM(P53:Q53)*2</f>
        <v>21</v>
      </c>
      <c r="K53" s="1108">
        <v>26.12</v>
      </c>
      <c r="L53" s="1108"/>
      <c r="P53" s="1093">
        <v>4.05</v>
      </c>
      <c r="Q53" s="1093">
        <v>6.45</v>
      </c>
      <c r="R53" s="1093">
        <v>2.65</v>
      </c>
      <c r="S53" s="1124">
        <f>1.6*1.5</f>
        <v>2.4000000000000004</v>
      </c>
      <c r="T53" s="1112"/>
      <c r="U53" s="1112"/>
      <c r="V53" s="1112"/>
      <c r="W53" s="1100">
        <f t="shared" si="8"/>
        <v>2.4000000000000004</v>
      </c>
      <c r="X53" s="1112"/>
      <c r="Y53" s="1100">
        <f>1.6*1.8</f>
        <v>2.8800000000000003</v>
      </c>
      <c r="AA53" s="1114"/>
      <c r="AB53" s="1112"/>
      <c r="AD53" s="1101">
        <f>SUM(P53:Q53)*2*1.8</f>
        <v>37.800000000000004</v>
      </c>
      <c r="AE53" s="1101">
        <f>-(2.7*1.8+3*0.95)</f>
        <v>-7.71</v>
      </c>
      <c r="AF53" s="1102">
        <f t="shared" si="3"/>
        <v>17.849999999999998</v>
      </c>
      <c r="AG53" s="1093">
        <v>0.85</v>
      </c>
      <c r="AI53" s="1131">
        <v>26.12</v>
      </c>
      <c r="AK53" s="1104">
        <f t="shared" ref="AK53:AK58" si="9">+AI53</f>
        <v>26.12</v>
      </c>
      <c r="AR53" s="1104">
        <f t="shared" ref="AR53:AR58" si="10">+AI53</f>
        <v>26.12</v>
      </c>
    </row>
    <row r="54" spans="1:46" x14ac:dyDescent="0.2">
      <c r="A54" s="1093">
        <f t="shared" si="2"/>
        <v>346</v>
      </c>
      <c r="B54" s="1112" t="s">
        <v>1415</v>
      </c>
      <c r="C54" s="1112">
        <v>25.63</v>
      </c>
      <c r="D54" s="1093">
        <v>3.95</v>
      </c>
      <c r="E54" s="1093">
        <v>6.45</v>
      </c>
      <c r="G54" s="1108">
        <v>25.63</v>
      </c>
      <c r="H54" s="1108" t="s">
        <v>1386</v>
      </c>
      <c r="I54" s="1108">
        <f>SUM(P54:Q54)*2</f>
        <v>20.8</v>
      </c>
      <c r="K54" s="1108">
        <v>25.63</v>
      </c>
      <c r="L54" s="1108"/>
      <c r="P54" s="1093">
        <v>3.95</v>
      </c>
      <c r="Q54" s="1093">
        <v>6.45</v>
      </c>
      <c r="R54" s="1093">
        <v>2.65</v>
      </c>
      <c r="S54" s="1124">
        <f>5.45*1.8</f>
        <v>9.81</v>
      </c>
      <c r="T54" s="1112"/>
      <c r="U54" s="1112"/>
      <c r="V54" s="1112"/>
      <c r="W54" s="1100">
        <f t="shared" si="8"/>
        <v>9.81</v>
      </c>
      <c r="X54" s="1112"/>
      <c r="Y54" s="1100">
        <f>0.9*1.8</f>
        <v>1.62</v>
      </c>
      <c r="AA54" s="1114"/>
      <c r="AB54" s="1112"/>
      <c r="AD54" s="1101">
        <f>SUM(P54:Q54)*2*1.8</f>
        <v>37.440000000000005</v>
      </c>
      <c r="AE54" s="1101">
        <f>-(3.25*1.8+3*0.95)</f>
        <v>-8.6999999999999993</v>
      </c>
      <c r="AF54" s="1102">
        <f t="shared" si="3"/>
        <v>17.68</v>
      </c>
      <c r="AG54" s="1093">
        <v>0.85</v>
      </c>
      <c r="AI54" s="1104">
        <v>25.63</v>
      </c>
      <c r="AK54" s="1104">
        <f t="shared" si="9"/>
        <v>25.63</v>
      </c>
      <c r="AR54" s="1104">
        <f t="shared" si="10"/>
        <v>25.63</v>
      </c>
    </row>
    <row r="55" spans="1:46" x14ac:dyDescent="0.2">
      <c r="A55" s="1093">
        <f t="shared" si="2"/>
        <v>347</v>
      </c>
      <c r="B55" s="1112" t="s">
        <v>869</v>
      </c>
      <c r="C55" s="1112">
        <v>14.78</v>
      </c>
      <c r="D55" s="1093">
        <v>3.8</v>
      </c>
      <c r="E55" s="1093">
        <v>3.72</v>
      </c>
      <c r="G55" s="1108">
        <v>14.78</v>
      </c>
      <c r="H55" s="1108" t="s">
        <v>1386</v>
      </c>
      <c r="I55" s="1108">
        <f>SUM(P55:Q55)*2</f>
        <v>15.04</v>
      </c>
      <c r="K55" s="1108">
        <v>14.78</v>
      </c>
      <c r="L55" s="1108"/>
      <c r="P55" s="1093">
        <v>3.8</v>
      </c>
      <c r="Q55" s="1093">
        <v>3.72</v>
      </c>
      <c r="R55" s="1093">
        <v>2.65</v>
      </c>
      <c r="S55" s="1124">
        <f>8.07*2</f>
        <v>16.14</v>
      </c>
      <c r="T55" s="1112"/>
      <c r="U55" s="1112"/>
      <c r="V55" s="1112"/>
      <c r="W55" s="1100">
        <f t="shared" si="8"/>
        <v>16.14</v>
      </c>
      <c r="X55" s="1100">
        <f>5*1.5</f>
        <v>7.5</v>
      </c>
      <c r="AA55" s="1114"/>
      <c r="AB55" s="1112"/>
      <c r="AD55" s="1101">
        <f>SUM(P55:Q55)*2*1.8</f>
        <v>27.071999999999999</v>
      </c>
      <c r="AE55" s="1101">
        <f>-(5*1.5+2.3*1.8+3*0.95)</f>
        <v>-14.49</v>
      </c>
      <c r="AF55" s="1102">
        <f t="shared" si="3"/>
        <v>12.783999999999999</v>
      </c>
      <c r="AG55" s="1093">
        <v>0.85</v>
      </c>
      <c r="AI55" s="1104">
        <v>14.78</v>
      </c>
      <c r="AK55" s="1104">
        <f t="shared" si="9"/>
        <v>14.78</v>
      </c>
      <c r="AR55" s="1104">
        <f t="shared" si="10"/>
        <v>14.78</v>
      </c>
    </row>
    <row r="56" spans="1:46" x14ac:dyDescent="0.2">
      <c r="A56" s="1093">
        <f t="shared" si="2"/>
        <v>348</v>
      </c>
      <c r="B56" s="1112" t="s">
        <v>1416</v>
      </c>
      <c r="C56" s="1112">
        <v>9.56</v>
      </c>
      <c r="D56" s="1093">
        <v>3.95</v>
      </c>
      <c r="E56" s="1093">
        <v>2.5499999999999998</v>
      </c>
      <c r="G56" s="1108">
        <v>9.56</v>
      </c>
      <c r="H56" s="1108" t="s">
        <v>1386</v>
      </c>
      <c r="I56" s="1108">
        <f>SUM(P56:Q56)*2</f>
        <v>13</v>
      </c>
      <c r="K56" s="1108">
        <v>9.56</v>
      </c>
      <c r="L56" s="1108"/>
      <c r="P56" s="1093">
        <v>3.95</v>
      </c>
      <c r="Q56" s="1093">
        <v>2.5499999999999998</v>
      </c>
      <c r="R56" s="1093">
        <v>2.65</v>
      </c>
      <c r="T56" s="1127">
        <f>SUM(P56:Q56)*2*R56</f>
        <v>34.449999999999996</v>
      </c>
      <c r="U56" s="1127">
        <f>-(0.72*2.65+1.1*2)</f>
        <v>-4.1080000000000005</v>
      </c>
      <c r="V56" s="1112"/>
      <c r="AA56" s="1096">
        <f>0.72*2.65</f>
        <v>1.9079999999999999</v>
      </c>
      <c r="AB56" s="1126">
        <f>0.72*2.65</f>
        <v>1.9079999999999999</v>
      </c>
      <c r="AD56" s="1101">
        <f>SUM(P56:Q56)*2*1.8</f>
        <v>23.400000000000002</v>
      </c>
      <c r="AE56" s="1101">
        <f>-1.1*1.8</f>
        <v>-1.9800000000000002</v>
      </c>
      <c r="AF56" s="1102">
        <f t="shared" si="3"/>
        <v>11.049999999999999</v>
      </c>
      <c r="AG56" s="1093">
        <v>0.85</v>
      </c>
      <c r="AI56" s="1104">
        <v>9.56</v>
      </c>
      <c r="AK56" s="1104">
        <f t="shared" si="9"/>
        <v>9.56</v>
      </c>
      <c r="AR56" s="1104">
        <f t="shared" si="10"/>
        <v>9.56</v>
      </c>
    </row>
    <row r="57" spans="1:46" x14ac:dyDescent="0.2">
      <c r="A57" s="1093">
        <f t="shared" si="2"/>
        <v>349</v>
      </c>
      <c r="B57" s="1112" t="s">
        <v>1417</v>
      </c>
      <c r="C57" s="1112">
        <v>1.58</v>
      </c>
      <c r="D57" s="1093">
        <v>0.95</v>
      </c>
      <c r="E57" s="1093">
        <v>1.55</v>
      </c>
      <c r="G57" s="1103">
        <v>1.58</v>
      </c>
      <c r="H57" s="1103" t="s">
        <v>1384</v>
      </c>
      <c r="I57" s="1103"/>
      <c r="J57" s="1103">
        <v>1.58</v>
      </c>
      <c r="P57" s="1093">
        <v>0.95</v>
      </c>
      <c r="Q57" s="1093">
        <v>1.55</v>
      </c>
      <c r="R57" s="1093">
        <v>2.65</v>
      </c>
      <c r="T57" s="1127">
        <f>SUM(P57:Q57)*2*R57</f>
        <v>13.25</v>
      </c>
      <c r="U57" s="1127">
        <v>-0.5</v>
      </c>
      <c r="V57" s="1112"/>
      <c r="AF57" s="1102">
        <f t="shared" si="3"/>
        <v>13.25</v>
      </c>
      <c r="AG57" s="1093">
        <v>2.65</v>
      </c>
      <c r="AI57" s="1104">
        <v>1.58</v>
      </c>
      <c r="AK57" s="1104">
        <f t="shared" si="9"/>
        <v>1.58</v>
      </c>
      <c r="AR57" s="1104">
        <f t="shared" si="10"/>
        <v>1.58</v>
      </c>
      <c r="AT57" s="1104">
        <v>1.58</v>
      </c>
    </row>
    <row r="58" spans="1:46" x14ac:dyDescent="0.2">
      <c r="A58" s="1093">
        <f t="shared" si="2"/>
        <v>350</v>
      </c>
      <c r="B58" s="1112" t="s">
        <v>1418</v>
      </c>
      <c r="C58" s="1112">
        <v>14.17</v>
      </c>
      <c r="D58" s="1093">
        <f>4.05/2</f>
        <v>2.0249999999999999</v>
      </c>
      <c r="E58" s="1093">
        <v>4.8</v>
      </c>
      <c r="G58" s="1103">
        <v>14.17</v>
      </c>
      <c r="H58" s="1103" t="s">
        <v>1384</v>
      </c>
      <c r="I58" s="1103"/>
      <c r="J58" s="1103">
        <v>14.17</v>
      </c>
      <c r="P58" s="1093">
        <f>4.05/2</f>
        <v>2.0249999999999999</v>
      </c>
      <c r="Q58" s="1093">
        <v>4.8</v>
      </c>
      <c r="R58" s="1093">
        <v>2.65</v>
      </c>
      <c r="T58" s="1127">
        <f>SUM(P58:Q58)*2*R58</f>
        <v>36.172499999999992</v>
      </c>
      <c r="U58" s="1127">
        <v>0</v>
      </c>
      <c r="V58" s="1112"/>
      <c r="AF58" s="1102">
        <f>18*2.65</f>
        <v>47.699999999999996</v>
      </c>
      <c r="AG58" s="1093">
        <v>2.65</v>
      </c>
      <c r="AI58" s="1104">
        <v>14.17</v>
      </c>
      <c r="AK58" s="1104">
        <f t="shared" si="9"/>
        <v>14.17</v>
      </c>
      <c r="AR58" s="1104">
        <f t="shared" si="10"/>
        <v>14.17</v>
      </c>
      <c r="AT58" s="1104">
        <v>14.17</v>
      </c>
    </row>
    <row r="59" spans="1:46" x14ac:dyDescent="0.2">
      <c r="A59" s="1093">
        <f t="shared" si="2"/>
        <v>351</v>
      </c>
      <c r="B59" s="1112" t="s">
        <v>1390</v>
      </c>
      <c r="C59" s="1112">
        <v>15.86</v>
      </c>
      <c r="G59" s="1103">
        <v>15.86</v>
      </c>
      <c r="H59" s="1103" t="s">
        <v>1384</v>
      </c>
      <c r="I59" s="1103"/>
      <c r="J59" s="1103">
        <v>15.86</v>
      </c>
      <c r="P59" s="1093">
        <v>0</v>
      </c>
      <c r="Q59" s="1093">
        <v>0</v>
      </c>
      <c r="R59" s="1109">
        <v>2.4</v>
      </c>
      <c r="V59" s="1112"/>
      <c r="AF59" s="1102">
        <f t="shared" si="3"/>
        <v>0</v>
      </c>
      <c r="AG59" s="1093">
        <v>0</v>
      </c>
      <c r="AI59" s="1107">
        <v>15.86</v>
      </c>
      <c r="AN59" s="1107">
        <f>+AI59</f>
        <v>15.86</v>
      </c>
      <c r="AP59" s="1107">
        <f>+AI59</f>
        <v>15.86</v>
      </c>
    </row>
  </sheetData>
  <sheetProtection sheet="1" objects="1" scenarios="1"/>
  <customSheetViews>
    <customSheetView guid="{30B10D60-758F-4E0B-9F03-5879C6CAFDF6}" showPageBreaks="1" fitToPage="1" view="pageBreakPreview">
      <pane xSplit="5" ySplit="8" topLeftCell="F9" activePane="bottomRight" state="frozen"/>
      <selection pane="bottomRight" activeCell="M16" sqref="M16"/>
      <pageMargins left="0.70866141732283472" right="0.70866141732283472" top="0.78740157480314965" bottom="0.55118110236220474" header="0.31496062992125984" footer="0.31496062992125984"/>
      <pageSetup paperSize="9" scale="36" orientation="landscape" r:id="rId1"/>
    </customSheetView>
  </customSheetViews>
  <pageMargins left="0.70866141732283472" right="0.70866141732283472" top="0.78740157480314965" bottom="0.55118110236220474" header="0.31496062992125984" footer="0.31496062992125984"/>
  <pageSetup paperSize="9" scale="3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G50"/>
  <sheetViews>
    <sheetView view="pageBreakPreview" zoomScale="175" zoomScaleNormal="100" zoomScaleSheetLayoutView="175" workbookViewId="0">
      <selection activeCell="M16" sqref="M16"/>
    </sheetView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28515625" customWidth="1"/>
    <col min="7" max="7" width="19.85546875" customWidth="1"/>
    <col min="8" max="8" width="16.7109375" customWidth="1"/>
    <col min="9" max="9" width="3.570312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08" t="str">
        <f>'SO01 Krycí list'!C4:G4</f>
        <v>Rekonstrukce oddělení ortopedie</v>
      </c>
      <c r="D4" s="1209"/>
      <c r="E4" s="1209"/>
      <c r="F4" s="1209"/>
      <c r="G4" s="1210"/>
      <c r="H4" s="938" t="s">
        <v>621</v>
      </c>
      <c r="I4" s="84"/>
    </row>
    <row r="5" spans="1:59" ht="17.45" customHeight="1" x14ac:dyDescent="0.2">
      <c r="A5" s="85"/>
      <c r="B5" s="86"/>
      <c r="C5" s="1208" t="str">
        <f>'SO01 Krycí list'!C5:G5</f>
        <v>v pavilonu "B" nemocnice Šumperk</v>
      </c>
      <c r="D5" s="1209"/>
      <c r="E5" s="1209"/>
      <c r="F5" s="1209"/>
      <c r="G5" s="1210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208" t="str">
        <f>'SO01 Krycí list'!C7:G7</f>
        <v>SO 01 Vlastní objekt</v>
      </c>
      <c r="D7" s="1209"/>
      <c r="E7" s="1209"/>
      <c r="F7" s="1209"/>
      <c r="G7" s="1210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1516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651" t="s">
        <v>619</v>
      </c>
      <c r="B10" s="91"/>
      <c r="C10" s="1156" t="str">
        <f>'SO01 Krycí list'!C10:E10</f>
        <v>Město Šumperk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156" t="str">
        <f>'SO01 Krycí list'!C11:E11</f>
        <v>Nemocnice Šumperk a.s.</v>
      </c>
      <c r="D11" s="1156"/>
      <c r="E11" s="1156"/>
      <c r="F11" s="100"/>
      <c r="G11" s="92" t="s">
        <v>96</v>
      </c>
      <c r="H11" s="91"/>
      <c r="I11" s="101">
        <f>IF(PocetMJ=0,,ROUND((H41+H43)/PocetMJ,1))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189"/>
      <c r="I13" s="1228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32"/>
      <c r="H14" s="1233"/>
      <c r="I14" s="1234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'02 VYTÁPĚNÍ rek'!E23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'02 VYTÁPĚNÍ rek'!F23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397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'02 VYTÁPĚNÍ rek'!G23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'02 VYTÁPĚNÍ rek'!H23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'02 VYTÁPĚNÍ rek'!I23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128">
        <f>SUM(D21:D24)</f>
        <v>0</v>
      </c>
      <c r="E25" s="129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x14ac:dyDescent="0.2">
      <c r="A26" s="130" t="s">
        <v>123</v>
      </c>
      <c r="B26" s="131"/>
      <c r="C26" s="1181" t="s">
        <v>101</v>
      </c>
      <c r="D26" s="1182"/>
      <c r="E26" s="1183"/>
      <c r="F26" s="119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29" t="s">
        <v>1489</v>
      </c>
      <c r="D27" s="1230"/>
      <c r="E27" s="1231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222"/>
      <c r="D34" s="1167"/>
      <c r="E34" s="1168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69"/>
      <c r="D35" s="1170"/>
      <c r="E35" s="1171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75"/>
      <c r="D36" s="1176"/>
      <c r="E36" s="1177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72"/>
      <c r="D37" s="1173"/>
      <c r="E37" s="1174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x14ac:dyDescent="0.2">
      <c r="A38" s="54" t="s">
        <v>137</v>
      </c>
      <c r="B38" s="29"/>
      <c r="C38" s="29"/>
      <c r="D38" s="29"/>
      <c r="E38" s="29"/>
      <c r="F38" s="91"/>
      <c r="G38" s="91"/>
      <c r="H38" s="91"/>
      <c r="I38" s="93"/>
    </row>
    <row r="39" spans="1:9" x14ac:dyDescent="0.2">
      <c r="A39" s="54"/>
      <c r="B39" s="1235" t="s">
        <v>319</v>
      </c>
      <c r="C39" s="1235"/>
      <c r="D39" s="1235"/>
      <c r="E39" s="1235"/>
      <c r="F39" s="1235"/>
      <c r="G39" s="1235"/>
      <c r="H39" s="1235"/>
      <c r="I39" s="84"/>
    </row>
    <row r="40" spans="1:9" x14ac:dyDescent="0.2">
      <c r="A40" s="54"/>
      <c r="B40" s="1235"/>
      <c r="C40" s="1235"/>
      <c r="D40" s="1235"/>
      <c r="E40" s="1235"/>
      <c r="F40" s="1235"/>
      <c r="G40" s="1235"/>
      <c r="H40" s="1235"/>
      <c r="I40" s="84"/>
    </row>
    <row r="41" spans="1:9" x14ac:dyDescent="0.2">
      <c r="A41" s="54"/>
      <c r="B41" s="1235"/>
      <c r="C41" s="1235"/>
      <c r="D41" s="1235"/>
      <c r="E41" s="1235"/>
      <c r="F41" s="1235"/>
      <c r="G41" s="1235"/>
      <c r="H41" s="1235"/>
      <c r="I41" s="84"/>
    </row>
    <row r="42" spans="1:9" x14ac:dyDescent="0.2">
      <c r="A42" s="54"/>
      <c r="B42" s="1235"/>
      <c r="C42" s="1235"/>
      <c r="D42" s="1235"/>
      <c r="E42" s="1235"/>
      <c r="F42" s="1235"/>
      <c r="G42" s="1235"/>
      <c r="H42" s="1235"/>
      <c r="I42" s="84"/>
    </row>
    <row r="43" spans="1:9" ht="39.75" customHeight="1" x14ac:dyDescent="0.2">
      <c r="A43" s="54"/>
      <c r="B43" s="1235"/>
      <c r="C43" s="1235"/>
      <c r="D43" s="1235"/>
      <c r="E43" s="1235"/>
      <c r="F43" s="1235"/>
      <c r="G43" s="1235"/>
      <c r="H43" s="1235"/>
      <c r="I43" s="84"/>
    </row>
    <row r="44" spans="1:9" ht="8.25" customHeight="1" thickBot="1" x14ac:dyDescent="0.25">
      <c r="A44" s="147"/>
      <c r="B44" s="148"/>
      <c r="C44" s="148"/>
      <c r="D44" s="148"/>
      <c r="E44" s="148"/>
      <c r="F44" s="148"/>
      <c r="G44" s="148"/>
      <c r="H44" s="148"/>
      <c r="I44" s="149"/>
    </row>
    <row r="47" spans="1:9" x14ac:dyDescent="0.2">
      <c r="B47" s="332"/>
    </row>
    <row r="48" spans="1:9" x14ac:dyDescent="0.2">
      <c r="B48" s="332"/>
    </row>
    <row r="49" spans="2:2" x14ac:dyDescent="0.2">
      <c r="B49" s="333"/>
    </row>
    <row r="50" spans="2:2" x14ac:dyDescent="0.2">
      <c r="B50" s="332"/>
    </row>
  </sheetData>
  <customSheetViews>
    <customSheetView guid="{30B10D60-758F-4E0B-9F03-5879C6CAFDF6}" scale="175" showPageBreaks="1" view="pageBreakPreview" topLeftCell="A4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0">
    <mergeCell ref="B39:H43"/>
    <mergeCell ref="C28:D28"/>
    <mergeCell ref="C29:E29"/>
    <mergeCell ref="F29:G29"/>
    <mergeCell ref="C30:E30"/>
    <mergeCell ref="C31:E31"/>
    <mergeCell ref="C32:E32"/>
    <mergeCell ref="C33:E33"/>
    <mergeCell ref="C34:E34"/>
    <mergeCell ref="C35:E35"/>
    <mergeCell ref="C36:E36"/>
    <mergeCell ref="C37:E37"/>
    <mergeCell ref="C27:E27"/>
    <mergeCell ref="C9:G9"/>
    <mergeCell ref="C10:E10"/>
    <mergeCell ref="C11:E11"/>
    <mergeCell ref="C12:E12"/>
    <mergeCell ref="D13:E13"/>
    <mergeCell ref="B14:E14"/>
    <mergeCell ref="G14:I14"/>
    <mergeCell ref="A16:E16"/>
    <mergeCell ref="F16:I16"/>
    <mergeCell ref="C26:E26"/>
    <mergeCell ref="H13:I13"/>
    <mergeCell ref="C4:G4"/>
    <mergeCell ref="C5:G5"/>
    <mergeCell ref="H5:I5"/>
    <mergeCell ref="H6:I6"/>
    <mergeCell ref="C7:G7"/>
    <mergeCell ref="H7:I7"/>
  </mergeCell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90113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90113" r:id="rId5"/>
      </mc:Fallback>
    </mc:AlternateContent>
    <mc:AlternateContent xmlns:mc="http://schemas.openxmlformats.org/markup-compatibility/2006">
      <mc:Choice Requires="x14">
        <oleObject progId="Word.Picture.6" shapeId="90114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90114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C33"/>
  <sheetViews>
    <sheetView view="pageBreakPreview" topLeftCell="A5" zoomScale="190" zoomScaleNormal="100" zoomScaleSheetLayoutView="190" workbookViewId="0">
      <selection activeCell="A14" sqref="A14:XFD22"/>
    </sheetView>
  </sheetViews>
  <sheetFormatPr defaultRowHeight="12.75" x14ac:dyDescent="0.2"/>
  <cols>
    <col min="1" max="1" width="4.28515625" customWidth="1"/>
    <col min="2" max="2" width="6.140625" customWidth="1"/>
    <col min="3" max="3" width="11.42578125" customWidth="1"/>
    <col min="4" max="4" width="7.42578125" customWidth="1"/>
    <col min="5" max="9" width="11.7109375" customWidth="1"/>
    <col min="11" max="50" width="0" hidden="1" customWidth="1"/>
  </cols>
  <sheetData>
    <row r="1" spans="1:55" s="11" customFormat="1" ht="16.5" customHeight="1" thickTop="1" x14ac:dyDescent="0.25">
      <c r="A1" s="367" t="s">
        <v>49</v>
      </c>
      <c r="B1" s="368"/>
      <c r="C1" s="1236" t="str">
        <f>'SO01 Krycí list'!C4:G4</f>
        <v>Rekonstrukce oddělení ortopedie</v>
      </c>
      <c r="D1" s="1237"/>
      <c r="E1" s="1237"/>
      <c r="F1" s="1237"/>
      <c r="G1" s="1237"/>
      <c r="H1" s="1237"/>
      <c r="I1" s="1238"/>
    </row>
    <row r="2" spans="1:55" s="11" customFormat="1" ht="16.5" customHeight="1" x14ac:dyDescent="0.25">
      <c r="A2" s="334"/>
      <c r="B2" s="335"/>
      <c r="C2" s="1239" t="str">
        <f>'SO01 Krycí list'!C5:G5</f>
        <v>v pavilonu "B" nemocnice Šumperk</v>
      </c>
      <c r="D2" s="1240"/>
      <c r="E2" s="1240"/>
      <c r="F2" s="1240"/>
      <c r="G2" s="1240"/>
      <c r="H2" s="1240"/>
      <c r="I2" s="1241"/>
    </row>
    <row r="3" spans="1:55" ht="12.75" customHeight="1" x14ac:dyDescent="0.2">
      <c r="A3" s="275" t="s">
        <v>50</v>
      </c>
      <c r="B3" s="276"/>
      <c r="C3" s="282" t="str">
        <f>'SO01 Krycí list'!C7:G7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tr">
        <f>'02 VYTÁPĚNÍ'!C9:G9</f>
        <v>VYTÁPĚNÍ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x14ac:dyDescent="0.2">
      <c r="A9" s="369" t="s">
        <v>371</v>
      </c>
      <c r="B9" s="31" t="s">
        <v>1490</v>
      </c>
      <c r="C9" s="267"/>
      <c r="D9" s="263"/>
      <c r="E9" s="34" t="s">
        <v>63</v>
      </c>
      <c r="F9" s="34">
        <f>'02 VYTÁPĚNÍ pol'!G13</f>
        <v>0</v>
      </c>
      <c r="G9" s="35" t="s">
        <v>63</v>
      </c>
      <c r="H9" s="35" t="s">
        <v>63</v>
      </c>
      <c r="I9" s="35" t="s">
        <v>63</v>
      </c>
      <c r="BC9" s="269"/>
    </row>
    <row r="10" spans="1:55" s="268" customFormat="1" x14ac:dyDescent="0.2">
      <c r="A10" s="370" t="s">
        <v>1491</v>
      </c>
      <c r="B10" s="36" t="s">
        <v>1492</v>
      </c>
      <c r="C10" s="270"/>
      <c r="D10" s="264"/>
      <c r="E10" s="34" t="s">
        <v>63</v>
      </c>
      <c r="F10" s="34">
        <f>'02 VYTÁPĚNÍ pol'!G22</f>
        <v>0</v>
      </c>
      <c r="G10" s="34" t="s">
        <v>63</v>
      </c>
      <c r="H10" s="34" t="s">
        <v>63</v>
      </c>
      <c r="I10" s="38" t="s">
        <v>63</v>
      </c>
      <c r="BC10" s="269"/>
    </row>
    <row r="11" spans="1:55" s="268" customFormat="1" x14ac:dyDescent="0.2">
      <c r="A11" s="370" t="s">
        <v>1493</v>
      </c>
      <c r="B11" s="36" t="s">
        <v>1494</v>
      </c>
      <c r="C11" s="270"/>
      <c r="D11" s="264"/>
      <c r="E11" s="34" t="s">
        <v>63</v>
      </c>
      <c r="F11" s="34">
        <f>'02 VYTÁPĚNÍ pol'!G28</f>
        <v>0</v>
      </c>
      <c r="G11" s="34" t="s">
        <v>63</v>
      </c>
      <c r="H11" s="34" t="s">
        <v>63</v>
      </c>
      <c r="I11" s="38" t="s">
        <v>63</v>
      </c>
      <c r="BC11" s="269"/>
    </row>
    <row r="12" spans="1:55" s="268" customFormat="1" x14ac:dyDescent="0.2">
      <c r="A12" s="370"/>
      <c r="B12" s="36" t="s">
        <v>1495</v>
      </c>
      <c r="C12" s="270"/>
      <c r="D12" s="264"/>
      <c r="E12" s="34" t="s">
        <v>63</v>
      </c>
      <c r="F12" s="34">
        <f>'02 VYTÁPĚNÍ pol'!G33</f>
        <v>0</v>
      </c>
      <c r="G12" s="34" t="s">
        <v>63</v>
      </c>
      <c r="H12" s="34" t="s">
        <v>63</v>
      </c>
      <c r="I12" s="38" t="s">
        <v>63</v>
      </c>
    </row>
    <row r="13" spans="1:55" s="268" customFormat="1" ht="13.5" thickBot="1" x14ac:dyDescent="0.25">
      <c r="A13" s="370"/>
      <c r="B13" s="36"/>
      <c r="C13" s="270"/>
      <c r="D13" s="264"/>
      <c r="E13" s="34" t="s">
        <v>63</v>
      </c>
      <c r="F13" s="34" t="s">
        <v>63</v>
      </c>
      <c r="G13" s="34" t="s">
        <v>63</v>
      </c>
      <c r="H13" s="34" t="s">
        <v>63</v>
      </c>
      <c r="I13" s="38" t="s">
        <v>63</v>
      </c>
    </row>
    <row r="14" spans="1:55" s="268" customFormat="1" hidden="1" x14ac:dyDescent="0.2">
      <c r="A14" s="329"/>
      <c r="B14" s="36"/>
      <c r="C14" s="270"/>
      <c r="D14" s="264"/>
      <c r="E14" s="34" t="s">
        <v>63</v>
      </c>
      <c r="F14" s="34" t="s">
        <v>63</v>
      </c>
      <c r="G14" s="34" t="s">
        <v>63</v>
      </c>
      <c r="H14" s="34" t="s">
        <v>63</v>
      </c>
      <c r="I14" s="38" t="s">
        <v>63</v>
      </c>
    </row>
    <row r="15" spans="1:55" s="268" customFormat="1" hidden="1" x14ac:dyDescent="0.2">
      <c r="A15" s="370"/>
      <c r="B15" s="36"/>
      <c r="C15" s="270"/>
      <c r="D15" s="264"/>
      <c r="E15" s="34" t="s">
        <v>63</v>
      </c>
      <c r="F15" s="34" t="s">
        <v>63</v>
      </c>
      <c r="G15" s="34" t="s">
        <v>63</v>
      </c>
      <c r="H15" s="34" t="s">
        <v>63</v>
      </c>
      <c r="I15" s="38" t="s">
        <v>63</v>
      </c>
    </row>
    <row r="16" spans="1:55" s="268" customFormat="1" hidden="1" x14ac:dyDescent="0.2">
      <c r="A16" s="370"/>
      <c r="B16" s="36"/>
      <c r="C16" s="270"/>
      <c r="D16" s="264"/>
      <c r="E16" s="34" t="s">
        <v>63</v>
      </c>
      <c r="F16" s="34" t="s">
        <v>63</v>
      </c>
      <c r="G16" s="34" t="s">
        <v>63</v>
      </c>
      <c r="H16" s="34" t="s">
        <v>63</v>
      </c>
      <c r="I16" s="38" t="s">
        <v>63</v>
      </c>
    </row>
    <row r="17" spans="1:9" s="268" customFormat="1" hidden="1" x14ac:dyDescent="0.2">
      <c r="A17" s="370"/>
      <c r="B17" s="36"/>
      <c r="C17" s="270"/>
      <c r="D17" s="264"/>
      <c r="E17" s="34" t="s">
        <v>63</v>
      </c>
      <c r="F17" s="34" t="s">
        <v>63</v>
      </c>
      <c r="G17" s="34" t="s">
        <v>63</v>
      </c>
      <c r="H17" s="34" t="s">
        <v>63</v>
      </c>
      <c r="I17" s="38" t="s">
        <v>63</v>
      </c>
    </row>
    <row r="18" spans="1:9" s="268" customFormat="1" hidden="1" x14ac:dyDescent="0.2">
      <c r="A18" s="370"/>
      <c r="B18" s="36"/>
      <c r="C18" s="270"/>
      <c r="D18" s="264"/>
      <c r="E18" s="34" t="s">
        <v>63</v>
      </c>
      <c r="F18" s="34" t="s">
        <v>63</v>
      </c>
      <c r="G18" s="34" t="s">
        <v>63</v>
      </c>
      <c r="H18" s="34" t="s">
        <v>63</v>
      </c>
      <c r="I18" s="38" t="s">
        <v>63</v>
      </c>
    </row>
    <row r="19" spans="1:9" s="268" customFormat="1" hidden="1" x14ac:dyDescent="0.2">
      <c r="A19" s="370"/>
      <c r="B19" s="36"/>
      <c r="C19" s="270"/>
      <c r="D19" s="264"/>
      <c r="E19" s="34" t="s">
        <v>63</v>
      </c>
      <c r="F19" s="34" t="s">
        <v>63</v>
      </c>
      <c r="G19" s="34" t="s">
        <v>63</v>
      </c>
      <c r="H19" s="34" t="s">
        <v>63</v>
      </c>
      <c r="I19" s="38" t="s">
        <v>63</v>
      </c>
    </row>
    <row r="20" spans="1:9" s="268" customFormat="1" hidden="1" x14ac:dyDescent="0.2">
      <c r="A20" s="329"/>
      <c r="B20" s="36"/>
      <c r="C20" s="270"/>
      <c r="D20" s="264"/>
      <c r="E20" s="34" t="s">
        <v>63</v>
      </c>
      <c r="F20" s="34" t="s">
        <v>63</v>
      </c>
      <c r="G20" s="34" t="s">
        <v>63</v>
      </c>
      <c r="H20" s="34" t="s">
        <v>63</v>
      </c>
      <c r="I20" s="38" t="s">
        <v>63</v>
      </c>
    </row>
    <row r="21" spans="1:9" s="268" customFormat="1" hidden="1" x14ac:dyDescent="0.2">
      <c r="A21" s="329"/>
      <c r="B21" s="36"/>
      <c r="C21" s="270"/>
      <c r="D21" s="264"/>
      <c r="E21" s="34" t="s">
        <v>63</v>
      </c>
      <c r="F21" s="34" t="s">
        <v>63</v>
      </c>
      <c r="G21" s="34" t="s">
        <v>63</v>
      </c>
      <c r="H21" s="34" t="s">
        <v>63</v>
      </c>
      <c r="I21" s="38" t="s">
        <v>63</v>
      </c>
    </row>
    <row r="22" spans="1:9" s="268" customFormat="1" ht="13.5" hidden="1" thickBot="1" x14ac:dyDescent="0.25">
      <c r="A22" s="329"/>
      <c r="B22" s="36"/>
      <c r="C22" s="270"/>
      <c r="D22" s="264"/>
      <c r="E22" s="34" t="s">
        <v>63</v>
      </c>
      <c r="F22" s="34" t="s">
        <v>63</v>
      </c>
      <c r="G22" s="34" t="s">
        <v>63</v>
      </c>
      <c r="H22" s="34" t="s">
        <v>63</v>
      </c>
      <c r="I22" s="38" t="s">
        <v>63</v>
      </c>
    </row>
    <row r="23" spans="1:9" s="44" customFormat="1" ht="13.5" thickBot="1" x14ac:dyDescent="0.25">
      <c r="A23" s="39"/>
      <c r="B23" s="40" t="s">
        <v>70</v>
      </c>
      <c r="C23" s="40"/>
      <c r="D23" s="41"/>
      <c r="E23" s="42" t="str">
        <f>IF(SUM(E9:E22)&gt;0,SUM(E9:E22),"--------------")</f>
        <v>--------------</v>
      </c>
      <c r="F23" s="42" t="str">
        <f>IF(SUBTOTAL(9,F9:F22)&gt;0,SUBTOTAL(9,F9:F22),"--------------")</f>
        <v>--------------</v>
      </c>
      <c r="G23" s="42" t="str">
        <f>IF(SUM(G9:G22)&gt;0,SUM(G9:G22),"--------------")</f>
        <v>--------------</v>
      </c>
      <c r="H23" s="42" t="str">
        <f>IF(SUM(H9:H22)&gt;0,SUM(H9:H22),"--------------")</f>
        <v>--------------</v>
      </c>
      <c r="I23" s="43" t="str">
        <f>IF(SUM(I9:I22)&gt;0,SUM(I9:I22),"--------------")</f>
        <v>--------------</v>
      </c>
    </row>
    <row r="24" spans="1:9" x14ac:dyDescent="0.2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">
      <c r="F26" s="74"/>
      <c r="G26" s="75"/>
      <c r="H26" s="75"/>
      <c r="I26" s="76"/>
    </row>
    <row r="27" spans="1:9" x14ac:dyDescent="0.2">
      <c r="F27" s="74"/>
      <c r="G27" s="75"/>
      <c r="H27" s="75"/>
      <c r="I27" s="76"/>
    </row>
    <row r="28" spans="1:9" x14ac:dyDescent="0.2">
      <c r="F28" s="74"/>
      <c r="G28" s="75"/>
      <c r="H28" s="75"/>
      <c r="I28" s="76"/>
    </row>
    <row r="29" spans="1:9" x14ac:dyDescent="0.2">
      <c r="F29" s="74"/>
      <c r="G29" s="75"/>
      <c r="H29" s="75"/>
      <c r="I29" s="76"/>
    </row>
    <row r="30" spans="1:9" x14ac:dyDescent="0.2">
      <c r="F30" s="74"/>
      <c r="G30" s="75"/>
      <c r="H30" s="75"/>
      <c r="I30" s="76"/>
    </row>
    <row r="31" spans="1:9" x14ac:dyDescent="0.2">
      <c r="F31" s="74"/>
      <c r="G31" s="75"/>
      <c r="H31" s="75"/>
      <c r="I31" s="76"/>
    </row>
    <row r="32" spans="1:9" x14ac:dyDescent="0.2">
      <c r="F32" s="74"/>
      <c r="G32" s="75"/>
      <c r="H32" s="75"/>
      <c r="I32" s="76"/>
    </row>
    <row r="33" spans="6:9" x14ac:dyDescent="0.2">
      <c r="F33" s="74"/>
      <c r="G33" s="75"/>
      <c r="H33" s="75"/>
      <c r="I33" s="76"/>
    </row>
  </sheetData>
  <customSheetViews>
    <customSheetView guid="{30B10D60-758F-4E0B-9F03-5879C6CAFDF6}" scale="190" showPageBreaks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2">
    <mergeCell ref="C1:I1"/>
    <mergeCell ref="C2:I2"/>
  </mergeCell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U35"/>
  <sheetViews>
    <sheetView view="pageBreakPreview" zoomScale="145" zoomScaleNormal="100" zoomScaleSheetLayoutView="145" workbookViewId="0"/>
  </sheetViews>
  <sheetFormatPr defaultColWidth="9.140625" defaultRowHeight="12.75" x14ac:dyDescent="0.2"/>
  <cols>
    <col min="1" max="1" width="4.42578125" style="1" customWidth="1"/>
    <col min="2" max="2" width="15" style="1" customWidth="1"/>
    <col min="3" max="3" width="47.5703125" style="1" customWidth="1"/>
    <col min="4" max="4" width="5.5703125" style="1" customWidth="1"/>
    <col min="5" max="5" width="8.7109375" style="514" customWidth="1"/>
    <col min="6" max="6" width="10.140625" style="596" customWidth="1"/>
    <col min="7" max="7" width="13" style="603" customWidth="1"/>
    <col min="8" max="8" width="12" style="1" customWidth="1"/>
    <col min="9" max="9" width="12.42578125" style="1" customWidth="1"/>
    <col min="10" max="29" width="0" style="1" hidden="1" customWidth="1"/>
    <col min="30" max="46" width="9.140625" style="1"/>
    <col min="47" max="47" width="6.28515625" style="1" hidden="1" customWidth="1"/>
    <col min="48" max="58" width="0" style="1" hidden="1" customWidth="1"/>
    <col min="59" max="16384" width="9.140625" style="1"/>
  </cols>
  <sheetData>
    <row r="1" spans="1:11" customFormat="1" ht="16.5" thickTop="1" x14ac:dyDescent="0.25">
      <c r="A1" s="273" t="s">
        <v>49</v>
      </c>
      <c r="B1" s="286"/>
      <c r="C1" s="279" t="str">
        <f>'SO01 Krycí list'!$C$4&amp;" "&amp;'SO01 Krycí list'!$C$5</f>
        <v>Rekonstrukce oddělení ortopedie v pavilonu "B" nemocnice Šumperk</v>
      </c>
      <c r="D1" s="289"/>
      <c r="E1" s="388"/>
      <c r="F1" s="590"/>
      <c r="G1" s="597"/>
      <c r="H1" s="150"/>
      <c r="I1" s="151"/>
    </row>
    <row r="2" spans="1:11" customFormat="1" x14ac:dyDescent="0.2">
      <c r="A2" s="275" t="s">
        <v>50</v>
      </c>
      <c r="B2" s="287"/>
      <c r="C2" s="282" t="str">
        <f>'SO01 Krycí list'!$C$7</f>
        <v>SO 01 Vlastní objekt</v>
      </c>
      <c r="D2" s="290"/>
      <c r="E2" s="453"/>
      <c r="F2" s="591"/>
      <c r="G2" s="598"/>
      <c r="H2" s="12" t="s">
        <v>52</v>
      </c>
      <c r="I2" s="769">
        <f>'SO01 Krycí list'!H12</f>
        <v>2016021</v>
      </c>
    </row>
    <row r="3" spans="1:11" customFormat="1" ht="13.5" thickBot="1" x14ac:dyDescent="0.25">
      <c r="A3" s="277" t="s">
        <v>53</v>
      </c>
      <c r="B3" s="288"/>
      <c r="C3" s="285" t="str">
        <f>'02 VYTÁPĚNÍ rek'!C4</f>
        <v>VYTÁPĚNÍ</v>
      </c>
      <c r="D3" s="291"/>
      <c r="E3" s="510"/>
      <c r="F3" s="592"/>
      <c r="G3" s="599"/>
      <c r="H3" s="14" t="s">
        <v>54</v>
      </c>
      <c r="I3" s="770">
        <f>'SO01 Krycí list'!C28</f>
        <v>42635</v>
      </c>
    </row>
    <row r="4" spans="1:11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11" ht="6" customHeight="1" x14ac:dyDescent="0.2">
      <c r="B5" s="2"/>
      <c r="C5" s="3"/>
      <c r="D5" s="3"/>
      <c r="E5" s="511"/>
      <c r="F5" s="593"/>
      <c r="G5" s="600"/>
    </row>
    <row r="6" spans="1:11" ht="6" customHeight="1" thickBot="1" x14ac:dyDescent="0.25">
      <c r="A6" s="5"/>
      <c r="B6" s="6"/>
      <c r="C6" s="6"/>
      <c r="D6" s="7"/>
      <c r="E6" s="512"/>
      <c r="F6" s="594"/>
      <c r="G6" s="533"/>
      <c r="H6" s="7"/>
      <c r="I6" s="7"/>
    </row>
    <row r="7" spans="1:11" ht="34.5" customHeight="1" thickBot="1" x14ac:dyDescent="0.3">
      <c r="A7" s="474" t="s">
        <v>292</v>
      </c>
      <c r="B7" s="475" t="s">
        <v>293</v>
      </c>
      <c r="C7" s="476" t="s">
        <v>294</v>
      </c>
      <c r="D7" s="476" t="s">
        <v>295</v>
      </c>
      <c r="E7" s="513" t="s">
        <v>51</v>
      </c>
      <c r="F7" s="595" t="s">
        <v>296</v>
      </c>
      <c r="G7" s="601" t="s">
        <v>297</v>
      </c>
      <c r="H7" s="478" t="s">
        <v>35</v>
      </c>
      <c r="I7" s="518" t="s">
        <v>36</v>
      </c>
    </row>
    <row r="8" spans="1:11" x14ac:dyDescent="0.2">
      <c r="A8" s="652" t="s">
        <v>381</v>
      </c>
      <c r="B8" s="464" t="s">
        <v>371</v>
      </c>
      <c r="C8" s="465" t="s">
        <v>1496</v>
      </c>
      <c r="D8" s="466"/>
      <c r="E8" s="653"/>
      <c r="F8" s="653"/>
      <c r="G8" s="1061"/>
      <c r="H8" s="654"/>
      <c r="I8" s="654"/>
      <c r="J8" s="654"/>
      <c r="K8" s="654"/>
    </row>
    <row r="9" spans="1:11" x14ac:dyDescent="0.2">
      <c r="A9" s="656">
        <v>1</v>
      </c>
      <c r="B9" s="467"/>
      <c r="C9" s="468" t="s">
        <v>1497</v>
      </c>
      <c r="D9" s="469" t="s">
        <v>200</v>
      </c>
      <c r="E9" s="657">
        <v>8</v>
      </c>
      <c r="F9" s="672"/>
      <c r="G9" s="1062">
        <f>E9*F9</f>
        <v>0</v>
      </c>
      <c r="H9" s="658">
        <v>0.05</v>
      </c>
      <c r="I9" s="658">
        <f>E9*H9</f>
        <v>0.4</v>
      </c>
      <c r="J9" s="658">
        <v>0</v>
      </c>
      <c r="K9" s="658">
        <f>E9*J9</f>
        <v>0</v>
      </c>
    </row>
    <row r="10" spans="1:11" x14ac:dyDescent="0.2">
      <c r="A10" s="656">
        <v>2</v>
      </c>
      <c r="B10" s="467"/>
      <c r="C10" s="468" t="s">
        <v>1498</v>
      </c>
      <c r="D10" s="469" t="s">
        <v>200</v>
      </c>
      <c r="E10" s="657">
        <v>14</v>
      </c>
      <c r="F10" s="672"/>
      <c r="G10" s="1062">
        <f>E10*F10</f>
        <v>0</v>
      </c>
      <c r="H10" s="658">
        <v>0.05</v>
      </c>
      <c r="I10" s="658">
        <f>E10*H10</f>
        <v>0.70000000000000007</v>
      </c>
      <c r="J10" s="658">
        <v>0</v>
      </c>
      <c r="K10" s="658">
        <f>E10*J10</f>
        <v>0</v>
      </c>
    </row>
    <row r="11" spans="1:11" x14ac:dyDescent="0.2">
      <c r="A11" s="656">
        <v>3</v>
      </c>
      <c r="B11" s="467"/>
      <c r="C11" s="468" t="s">
        <v>1499</v>
      </c>
      <c r="D11" s="469" t="s">
        <v>200</v>
      </c>
      <c r="E11" s="657">
        <v>8</v>
      </c>
      <c r="F11" s="672"/>
      <c r="G11" s="1062">
        <f>E11*F11</f>
        <v>0</v>
      </c>
      <c r="H11" s="658">
        <v>0.05</v>
      </c>
      <c r="I11" s="658">
        <f>E11*H11</f>
        <v>0.4</v>
      </c>
      <c r="J11" s="658">
        <v>0</v>
      </c>
      <c r="K11" s="658">
        <f>E11*J11</f>
        <v>0</v>
      </c>
    </row>
    <row r="12" spans="1:11" x14ac:dyDescent="0.2">
      <c r="A12" s="656">
        <v>4</v>
      </c>
      <c r="B12" s="467"/>
      <c r="C12" s="468" t="s">
        <v>1500</v>
      </c>
      <c r="D12" s="469" t="s">
        <v>436</v>
      </c>
      <c r="E12" s="657">
        <v>1.5</v>
      </c>
      <c r="F12" s="672"/>
      <c r="G12" s="1062">
        <f>E12*F12</f>
        <v>0</v>
      </c>
      <c r="H12" s="658">
        <v>0</v>
      </c>
      <c r="I12" s="658">
        <f>E12*H12</f>
        <v>0</v>
      </c>
      <c r="J12" s="658">
        <v>0</v>
      </c>
      <c r="K12" s="658">
        <f>E12*J12</f>
        <v>0</v>
      </c>
    </row>
    <row r="13" spans="1:11" x14ac:dyDescent="0.2">
      <c r="A13" s="470"/>
      <c r="B13" s="471" t="s">
        <v>387</v>
      </c>
      <c r="C13" s="472" t="str">
        <f>CONCATENATE(B8," ",C8)</f>
        <v>713 Demontáže VZT -ÚT</v>
      </c>
      <c r="D13" s="470"/>
      <c r="E13" s="659"/>
      <c r="F13" s="659"/>
      <c r="G13" s="1063">
        <f>SUM(G8:G12)</f>
        <v>0</v>
      </c>
      <c r="H13" s="660"/>
      <c r="I13" s="661">
        <f>SUM(I8:I12)</f>
        <v>1.5</v>
      </c>
      <c r="J13" s="660"/>
      <c r="K13" s="661">
        <f>SUM(K8:K12)</f>
        <v>0</v>
      </c>
    </row>
    <row r="14" spans="1:11" x14ac:dyDescent="0.2">
      <c r="A14" s="466"/>
      <c r="B14" s="665"/>
      <c r="C14" s="666"/>
      <c r="D14" s="466"/>
      <c r="E14" s="667"/>
      <c r="F14" s="667"/>
      <c r="G14" s="1064"/>
      <c r="H14" s="465"/>
      <c r="I14" s="668"/>
      <c r="J14" s="465"/>
      <c r="K14" s="668"/>
    </row>
    <row r="15" spans="1:11" x14ac:dyDescent="0.2">
      <c r="A15" s="466"/>
      <c r="B15" s="665"/>
      <c r="C15" s="666"/>
      <c r="D15" s="466"/>
      <c r="E15" s="667"/>
      <c r="F15" s="667"/>
      <c r="G15" s="1064"/>
      <c r="H15" s="465"/>
      <c r="I15" s="668"/>
      <c r="J15" s="465"/>
      <c r="K15" s="668"/>
    </row>
    <row r="16" spans="1:11" x14ac:dyDescent="0.2">
      <c r="A16" s="652" t="s">
        <v>381</v>
      </c>
      <c r="B16" s="464" t="s">
        <v>1491</v>
      </c>
      <c r="C16" s="465" t="s">
        <v>1492</v>
      </c>
      <c r="D16" s="466"/>
      <c r="E16" s="653"/>
      <c r="F16" s="653"/>
      <c r="G16" s="1061"/>
      <c r="H16" s="654"/>
      <c r="I16" s="654"/>
      <c r="J16" s="654"/>
      <c r="K16" s="654"/>
    </row>
    <row r="17" spans="1:11" x14ac:dyDescent="0.2">
      <c r="A17" s="656">
        <v>8</v>
      </c>
      <c r="B17" s="467" t="s">
        <v>1501</v>
      </c>
      <c r="C17" s="468" t="s">
        <v>1502</v>
      </c>
      <c r="D17" s="469" t="s">
        <v>444</v>
      </c>
      <c r="E17" s="657">
        <v>28</v>
      </c>
      <c r="F17" s="672"/>
      <c r="G17" s="1062">
        <f>E17*F17</f>
        <v>0</v>
      </c>
      <c r="H17" s="658">
        <v>0</v>
      </c>
      <c r="I17" s="658">
        <f>E17*H17</f>
        <v>0</v>
      </c>
      <c r="J17" s="658">
        <v>0</v>
      </c>
      <c r="K17" s="658">
        <f>E17*J17</f>
        <v>0</v>
      </c>
    </row>
    <row r="18" spans="1:11" ht="25.5" x14ac:dyDescent="0.2">
      <c r="A18" s="656">
        <v>9</v>
      </c>
      <c r="B18" s="467" t="s">
        <v>383</v>
      </c>
      <c r="C18" s="468" t="s">
        <v>1503</v>
      </c>
      <c r="D18" s="469" t="s">
        <v>275</v>
      </c>
      <c r="E18" s="657">
        <v>28</v>
      </c>
      <c r="F18" s="672"/>
      <c r="G18" s="1062">
        <f>E18*F18</f>
        <v>0</v>
      </c>
      <c r="H18" s="658">
        <v>0</v>
      </c>
      <c r="I18" s="658">
        <f>E18*H18</f>
        <v>0</v>
      </c>
      <c r="J18" s="658">
        <v>0</v>
      </c>
      <c r="K18" s="658">
        <f>E18*J18</f>
        <v>0</v>
      </c>
    </row>
    <row r="19" spans="1:11" x14ac:dyDescent="0.2">
      <c r="A19" s="656">
        <v>10</v>
      </c>
      <c r="B19" s="467" t="s">
        <v>384</v>
      </c>
      <c r="C19" s="468" t="s">
        <v>1504</v>
      </c>
      <c r="D19" s="469" t="s">
        <v>275</v>
      </c>
      <c r="E19" s="657">
        <v>28</v>
      </c>
      <c r="F19" s="672"/>
      <c r="G19" s="1062">
        <f>E19*F19</f>
        <v>0</v>
      </c>
      <c r="H19" s="658">
        <v>0</v>
      </c>
      <c r="I19" s="658">
        <f>E19*H19</f>
        <v>0</v>
      </c>
      <c r="J19" s="658">
        <v>0</v>
      </c>
      <c r="K19" s="658">
        <f>E19*J19</f>
        <v>0</v>
      </c>
    </row>
    <row r="20" spans="1:11" x14ac:dyDescent="0.2">
      <c r="A20" s="656">
        <v>11</v>
      </c>
      <c r="B20" s="467" t="s">
        <v>1505</v>
      </c>
      <c r="C20" s="468" t="s">
        <v>1506</v>
      </c>
      <c r="D20" s="469" t="s">
        <v>444</v>
      </c>
      <c r="E20" s="657">
        <v>56</v>
      </c>
      <c r="F20" s="672"/>
      <c r="G20" s="1062">
        <f>E20*F20</f>
        <v>0</v>
      </c>
      <c r="H20" s="658">
        <v>0</v>
      </c>
      <c r="I20" s="658">
        <f>E20*H20</f>
        <v>0</v>
      </c>
      <c r="J20" s="658">
        <v>0</v>
      </c>
      <c r="K20" s="658">
        <f>E20*J20</f>
        <v>0</v>
      </c>
    </row>
    <row r="21" spans="1:11" x14ac:dyDescent="0.2">
      <c r="A21" s="656">
        <v>12</v>
      </c>
      <c r="B21" s="467" t="s">
        <v>1507</v>
      </c>
      <c r="C21" s="468" t="s">
        <v>1508</v>
      </c>
      <c r="D21" s="469" t="s">
        <v>436</v>
      </c>
      <c r="E21" s="657">
        <v>0.12</v>
      </c>
      <c r="F21" s="672"/>
      <c r="G21" s="1062">
        <f>E21*F21</f>
        <v>0</v>
      </c>
      <c r="H21" s="658">
        <v>0</v>
      </c>
      <c r="I21" s="658">
        <f>E21</f>
        <v>0.12</v>
      </c>
      <c r="J21" s="658">
        <v>0</v>
      </c>
      <c r="K21" s="658">
        <f>E21*J21</f>
        <v>0</v>
      </c>
    </row>
    <row r="22" spans="1:11" x14ac:dyDescent="0.2">
      <c r="A22" s="470"/>
      <c r="B22" s="471" t="s">
        <v>387</v>
      </c>
      <c r="C22" s="472" t="str">
        <f>CONCATENATE(B16," ",C16)</f>
        <v>734 Armatury</v>
      </c>
      <c r="D22" s="470"/>
      <c r="E22" s="659"/>
      <c r="F22" s="659"/>
      <c r="G22" s="1063">
        <f>SUM(G16:G21)</f>
        <v>0</v>
      </c>
      <c r="H22" s="660"/>
      <c r="I22" s="661">
        <f>SUM(I16:I21)</f>
        <v>0.12</v>
      </c>
      <c r="J22" s="660"/>
      <c r="K22" s="661">
        <f>SUM(K16:K21)</f>
        <v>0</v>
      </c>
    </row>
    <row r="23" spans="1:11" ht="4.5" customHeight="1" x14ac:dyDescent="0.2">
      <c r="A23" s="466"/>
      <c r="B23" s="665"/>
      <c r="C23" s="666"/>
      <c r="D23" s="466"/>
      <c r="E23" s="667"/>
      <c r="F23" s="667"/>
      <c r="G23" s="1064"/>
      <c r="H23" s="465"/>
      <c r="I23" s="668"/>
      <c r="J23" s="465"/>
      <c r="K23" s="668"/>
    </row>
    <row r="24" spans="1:11" x14ac:dyDescent="0.2">
      <c r="A24" s="466"/>
      <c r="B24" s="665"/>
      <c r="C24" s="666"/>
      <c r="D24" s="466"/>
      <c r="E24" s="667"/>
      <c r="F24" s="667"/>
      <c r="G24" s="1064"/>
      <c r="H24" s="465"/>
      <c r="I24" s="668"/>
      <c r="J24" s="465"/>
      <c r="K24" s="668"/>
    </row>
    <row r="25" spans="1:11" x14ac:dyDescent="0.2">
      <c r="A25" s="652" t="s">
        <v>381</v>
      </c>
      <c r="B25" s="464" t="s">
        <v>1493</v>
      </c>
      <c r="C25" s="465" t="s">
        <v>1494</v>
      </c>
      <c r="D25" s="466"/>
      <c r="E25" s="653"/>
      <c r="F25" s="653"/>
      <c r="G25" s="1061"/>
      <c r="H25" s="654"/>
      <c r="I25" s="654"/>
      <c r="J25" s="654"/>
      <c r="K25" s="654"/>
    </row>
    <row r="26" spans="1:11" x14ac:dyDescent="0.2">
      <c r="A26" s="656">
        <v>20</v>
      </c>
      <c r="B26" s="467" t="s">
        <v>1509</v>
      </c>
      <c r="C26" s="468" t="s">
        <v>1510</v>
      </c>
      <c r="D26" s="469" t="s">
        <v>441</v>
      </c>
      <c r="E26" s="657">
        <v>64</v>
      </c>
      <c r="F26" s="672"/>
      <c r="G26" s="1062">
        <f>E26*F26</f>
        <v>0</v>
      </c>
      <c r="H26" s="658">
        <v>0</v>
      </c>
      <c r="I26" s="658">
        <f>E26/4</f>
        <v>16</v>
      </c>
      <c r="J26" s="658">
        <v>0</v>
      </c>
      <c r="K26" s="658">
        <f>E26*J26</f>
        <v>0</v>
      </c>
    </row>
    <row r="27" spans="1:11" x14ac:dyDescent="0.2">
      <c r="A27" s="656">
        <v>21</v>
      </c>
      <c r="B27" s="467" t="s">
        <v>1511</v>
      </c>
      <c r="C27" s="468" t="s">
        <v>1512</v>
      </c>
      <c r="D27" s="469" t="s">
        <v>435</v>
      </c>
      <c r="E27" s="657">
        <v>56</v>
      </c>
      <c r="F27" s="672"/>
      <c r="G27" s="1062">
        <f>E27*F27</f>
        <v>0</v>
      </c>
      <c r="H27" s="658">
        <v>6.0000000000000002E-5</v>
      </c>
      <c r="I27" s="658">
        <f>E27*H27</f>
        <v>3.3600000000000001E-3</v>
      </c>
      <c r="J27" s="658">
        <v>0</v>
      </c>
      <c r="K27" s="658">
        <f>E27*J27</f>
        <v>0</v>
      </c>
    </row>
    <row r="28" spans="1:11" x14ac:dyDescent="0.2">
      <c r="A28" s="470"/>
      <c r="B28" s="471" t="s">
        <v>387</v>
      </c>
      <c r="C28" s="472" t="str">
        <f>CONCATENATE(B25," ",C25)</f>
        <v>783 Nátěry</v>
      </c>
      <c r="D28" s="470"/>
      <c r="E28" s="659"/>
      <c r="F28" s="659"/>
      <c r="G28" s="1063">
        <f>SUM(G25:G27)</f>
        <v>0</v>
      </c>
      <c r="H28" s="660"/>
      <c r="I28" s="661">
        <f>SUM(I25:I27)</f>
        <v>16.003360000000001</v>
      </c>
      <c r="J28" s="660"/>
      <c r="K28" s="661">
        <f>SUM(K25:K27)</f>
        <v>0</v>
      </c>
    </row>
    <row r="29" spans="1:11" x14ac:dyDescent="0.2">
      <c r="A29" s="466"/>
      <c r="B29" s="665"/>
      <c r="C29" s="666"/>
      <c r="D29" s="466"/>
      <c r="E29" s="667"/>
      <c r="F29" s="667"/>
      <c r="G29" s="1064"/>
      <c r="H29" s="465"/>
      <c r="I29" s="668"/>
      <c r="J29" s="465"/>
      <c r="K29" s="668"/>
    </row>
    <row r="30" spans="1:11" x14ac:dyDescent="0.2">
      <c r="A30" s="652" t="s">
        <v>381</v>
      </c>
      <c r="B30" s="464"/>
      <c r="C30" s="465" t="s">
        <v>1513</v>
      </c>
      <c r="D30" s="466"/>
      <c r="E30" s="653"/>
      <c r="F30" s="653"/>
      <c r="G30" s="1061"/>
      <c r="H30" s="654"/>
      <c r="I30" s="654"/>
      <c r="J30" s="654"/>
      <c r="K30" s="654"/>
    </row>
    <row r="31" spans="1:11" x14ac:dyDescent="0.2">
      <c r="A31" s="656">
        <v>22</v>
      </c>
      <c r="B31" s="467"/>
      <c r="C31" s="468" t="s">
        <v>1514</v>
      </c>
      <c r="D31" s="469" t="s">
        <v>200</v>
      </c>
      <c r="E31" s="657">
        <v>20</v>
      </c>
      <c r="F31" s="672"/>
      <c r="G31" s="1062">
        <f>E31*F31</f>
        <v>0</v>
      </c>
      <c r="H31" s="658">
        <v>0</v>
      </c>
      <c r="I31" s="658">
        <f>E31*1</f>
        <v>20</v>
      </c>
      <c r="J31" s="658">
        <v>0</v>
      </c>
      <c r="K31" s="658">
        <f>E31*J31</f>
        <v>0</v>
      </c>
    </row>
    <row r="32" spans="1:11" x14ac:dyDescent="0.2">
      <c r="A32" s="656">
        <v>23</v>
      </c>
      <c r="B32" s="467" t="s">
        <v>1517</v>
      </c>
      <c r="C32" s="468" t="s">
        <v>1515</v>
      </c>
      <c r="D32" s="469" t="s">
        <v>200</v>
      </c>
      <c r="E32" s="657">
        <v>16</v>
      </c>
      <c r="F32" s="672"/>
      <c r="G32" s="1062">
        <f>E32*F32</f>
        <v>0</v>
      </c>
      <c r="H32" s="658">
        <v>6.0000000000000002E-5</v>
      </c>
      <c r="I32" s="658">
        <f>E32*H32</f>
        <v>9.6000000000000002E-4</v>
      </c>
      <c r="J32" s="658">
        <v>0</v>
      </c>
      <c r="K32" s="658">
        <f>E32*J32</f>
        <v>0</v>
      </c>
    </row>
    <row r="33" spans="1:12" x14ac:dyDescent="0.2">
      <c r="A33" s="470"/>
      <c r="B33" s="471" t="s">
        <v>387</v>
      </c>
      <c r="C33" s="472" t="str">
        <f>CONCATENATE(B30," ",C30)</f>
        <v xml:space="preserve"> Pomocné práce </v>
      </c>
      <c r="D33" s="470"/>
      <c r="E33" s="659"/>
      <c r="F33" s="659"/>
      <c r="G33" s="1063">
        <f>SUM(G30:G32)</f>
        <v>0</v>
      </c>
      <c r="H33" s="660"/>
      <c r="I33" s="661">
        <f>SUM(I30:I32)</f>
        <v>20.000959999999999</v>
      </c>
      <c r="J33" s="660"/>
      <c r="K33" s="661">
        <f>SUM(K30:K32)</f>
        <v>0</v>
      </c>
    </row>
    <row r="34" spans="1:12" s="9" customFormat="1" x14ac:dyDescent="0.2">
      <c r="A34" s="473"/>
      <c r="B34" s="467"/>
      <c r="C34" s="468"/>
      <c r="D34" s="469"/>
      <c r="E34" s="515"/>
      <c r="F34" s="673"/>
      <c r="G34" s="1065"/>
      <c r="H34" s="516"/>
      <c r="I34" s="517"/>
    </row>
    <row r="35" spans="1:12" s="9" customFormat="1" x14ac:dyDescent="0.2">
      <c r="A35" s="473"/>
      <c r="B35" s="467"/>
      <c r="C35" s="468"/>
      <c r="D35" s="469"/>
      <c r="E35" s="515"/>
      <c r="F35" s="673"/>
      <c r="G35" s="602"/>
      <c r="H35" s="516"/>
      <c r="I35" s="517"/>
      <c r="L35" s="396"/>
    </row>
  </sheetData>
  <autoFilter ref="A7:I35"/>
  <customSheetViews>
    <customSheetView guid="{30B10D60-758F-4E0B-9F03-5879C6CAFDF6}" scale="145" showPageBreaks="1" printArea="1" showAutoFilter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landscape" r:id="rId1"/>
      <headerFooter>
        <oddFooter>&amp;Czdravotechnika&amp;Rstránka &amp;P z &amp;N</oddFooter>
      </headerFooter>
      <autoFilter ref="A7:I35"/>
    </customSheetView>
  </customSheetViews>
  <mergeCells count="1">
    <mergeCell ref="A4:I4"/>
  </mergeCells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>&amp;Czdravotechnika&amp;Rstránka &amp;P z &amp;N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50"/>
  <sheetViews>
    <sheetView view="pageBreakPreview" zoomScale="160" zoomScaleNormal="100" zoomScaleSheetLayoutView="160" workbookViewId="0">
      <selection activeCell="H12" sqref="H12"/>
    </sheetView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2.7109375" customWidth="1"/>
    <col min="7" max="7" width="20" customWidth="1"/>
    <col min="8" max="8" width="16.7109375" customWidth="1"/>
    <col min="9" max="9" width="3.570312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08" t="str">
        <f>'SO01 Krycí list'!C4:G4</f>
        <v>Rekonstrukce oddělení ortopedie</v>
      </c>
      <c r="D4" s="1209"/>
      <c r="E4" s="1209"/>
      <c r="F4" s="1209"/>
      <c r="G4" s="1210"/>
      <c r="H4" s="272" t="s">
        <v>318</v>
      </c>
      <c r="I4" s="84"/>
    </row>
    <row r="5" spans="1:59" ht="17.45" customHeight="1" x14ac:dyDescent="0.2">
      <c r="A5" s="85"/>
      <c r="B5" s="86"/>
      <c r="C5" s="1208" t="str">
        <f>'SO01 Krycí list'!C5:G5</f>
        <v>v pavilonu "B" nemocnice Šumperk</v>
      </c>
      <c r="D5" s="1209"/>
      <c r="E5" s="1209"/>
      <c r="F5" s="1209"/>
      <c r="G5" s="1210"/>
      <c r="H5" s="87"/>
      <c r="I5" s="88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92" t="s">
        <v>88</v>
      </c>
      <c r="I6" s="93"/>
    </row>
    <row r="7" spans="1:59" ht="18.75" customHeight="1" x14ac:dyDescent="0.2">
      <c r="A7" s="85"/>
      <c r="B7" s="86"/>
      <c r="C7" s="1208" t="str">
        <f>'SO01 Krycí list'!C7:G7</f>
        <v>SO 01 Vlastní objekt</v>
      </c>
      <c r="D7" s="1209"/>
      <c r="E7" s="1209"/>
      <c r="F7" s="1209"/>
      <c r="G7" s="1210"/>
      <c r="H7" s="94"/>
      <c r="I7" s="88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317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651" t="s">
        <v>619</v>
      </c>
      <c r="B10" s="91"/>
      <c r="C10" s="1156" t="str">
        <f>'SO01 Krycí list'!C10:E10</f>
        <v>Město Šumperk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156" t="str">
        <f>'SO01 Krycí list'!C11:E11</f>
        <v>Nemocnice Šumperk a.s.</v>
      </c>
      <c r="D11" s="1156"/>
      <c r="E11" s="1156"/>
      <c r="F11" s="100"/>
      <c r="G11" s="92" t="s">
        <v>96</v>
      </c>
      <c r="H11" s="91"/>
      <c r="I11" s="101">
        <f>IF(PocetMJ=0,,ROUND((H41+H43)/PocetMJ,1))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189"/>
      <c r="I13" s="1228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32"/>
      <c r="H14" s="1233"/>
      <c r="I14" s="1234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'03rek'!E19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'03rek'!F19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292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'03rek'!G19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'03rek'!H19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'03rek'!I19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128">
        <f>SUM(D21:D24)</f>
        <v>0</v>
      </c>
      <c r="E25" s="129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x14ac:dyDescent="0.2">
      <c r="A26" s="130" t="s">
        <v>123</v>
      </c>
      <c r="B26" s="131"/>
      <c r="C26" s="1181" t="s">
        <v>101</v>
      </c>
      <c r="D26" s="1182"/>
      <c r="E26" s="1183"/>
      <c r="F26" s="119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43" t="s">
        <v>857</v>
      </c>
      <c r="D27" s="1158"/>
      <c r="E27" s="1159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178"/>
      <c r="D34" s="1179"/>
      <c r="E34" s="1180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57"/>
      <c r="D35" s="1158"/>
      <c r="E35" s="1159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60"/>
      <c r="D36" s="1161"/>
      <c r="E36" s="1162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63"/>
      <c r="D37" s="1164"/>
      <c r="E37" s="1165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x14ac:dyDescent="0.2">
      <c r="A38" s="54" t="s">
        <v>137</v>
      </c>
      <c r="B38" s="29"/>
      <c r="C38" s="29"/>
      <c r="D38" s="29"/>
      <c r="E38" s="29"/>
      <c r="F38" s="91"/>
      <c r="G38" s="91"/>
      <c r="H38" s="91"/>
      <c r="I38" s="93"/>
    </row>
    <row r="39" spans="1:9" ht="0.75" customHeight="1" x14ac:dyDescent="0.2">
      <c r="A39" s="54"/>
      <c r="B39" s="1235" t="s">
        <v>319</v>
      </c>
      <c r="C39" s="1235"/>
      <c r="D39" s="1235"/>
      <c r="E39" s="1235"/>
      <c r="F39" s="1235"/>
      <c r="G39" s="1235"/>
      <c r="H39" s="1235"/>
      <c r="I39" s="84"/>
    </row>
    <row r="40" spans="1:9" ht="2.25" customHeight="1" x14ac:dyDescent="0.2">
      <c r="A40" s="54"/>
      <c r="B40" s="1235"/>
      <c r="C40" s="1235"/>
      <c r="D40" s="1235"/>
      <c r="E40" s="1235"/>
      <c r="F40" s="1235"/>
      <c r="G40" s="1235"/>
      <c r="H40" s="1235"/>
      <c r="I40" s="84"/>
    </row>
    <row r="41" spans="1:9" x14ac:dyDescent="0.2">
      <c r="A41" s="54"/>
      <c r="B41" s="1235"/>
      <c r="C41" s="1235"/>
      <c r="D41" s="1235"/>
      <c r="E41" s="1235"/>
      <c r="F41" s="1235"/>
      <c r="G41" s="1235"/>
      <c r="H41" s="1235"/>
      <c r="I41" s="84"/>
    </row>
    <row r="42" spans="1:9" x14ac:dyDescent="0.2">
      <c r="A42" s="54"/>
      <c r="B42" s="1235"/>
      <c r="C42" s="1235"/>
      <c r="D42" s="1235"/>
      <c r="E42" s="1235"/>
      <c r="F42" s="1235"/>
      <c r="G42" s="1235"/>
      <c r="H42" s="1235"/>
      <c r="I42" s="84"/>
    </row>
    <row r="43" spans="1:9" ht="61.5" customHeight="1" x14ac:dyDescent="0.2">
      <c r="A43" s="54"/>
      <c r="B43" s="1235"/>
      <c r="C43" s="1235"/>
      <c r="D43" s="1235"/>
      <c r="E43" s="1235"/>
      <c r="F43" s="1235"/>
      <c r="G43" s="1235"/>
      <c r="H43" s="1235"/>
      <c r="I43" s="84"/>
    </row>
    <row r="44" spans="1:9" ht="8.25" customHeight="1" thickBot="1" x14ac:dyDescent="0.25">
      <c r="A44" s="147"/>
      <c r="B44" s="148"/>
      <c r="C44" s="148"/>
      <c r="D44" s="148"/>
      <c r="E44" s="148"/>
      <c r="F44" s="148"/>
      <c r="G44" s="148"/>
      <c r="H44" s="148"/>
      <c r="I44" s="149"/>
    </row>
    <row r="47" spans="1:9" x14ac:dyDescent="0.2">
      <c r="B47" s="332"/>
    </row>
    <row r="48" spans="1:9" x14ac:dyDescent="0.2">
      <c r="B48" s="332"/>
    </row>
    <row r="49" spans="2:2" x14ac:dyDescent="0.2">
      <c r="B49" s="333"/>
    </row>
    <row r="50" spans="2:2" x14ac:dyDescent="0.2">
      <c r="B50" s="332"/>
    </row>
  </sheetData>
  <customSheetViews>
    <customSheetView guid="{30B10D60-758F-4E0B-9F03-5879C6CAFDF6}" scale="160" showPageBreak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27">
    <mergeCell ref="C4:G4"/>
    <mergeCell ref="C5:G5"/>
    <mergeCell ref="C7:G7"/>
    <mergeCell ref="C9:G9"/>
    <mergeCell ref="C10:E10"/>
    <mergeCell ref="D13:E13"/>
    <mergeCell ref="H13:I13"/>
    <mergeCell ref="B14:E14"/>
    <mergeCell ref="G14:I14"/>
    <mergeCell ref="A16:E16"/>
    <mergeCell ref="F16:I16"/>
    <mergeCell ref="C27:E27"/>
    <mergeCell ref="C11:E11"/>
    <mergeCell ref="B39:H43"/>
    <mergeCell ref="C31:E31"/>
    <mergeCell ref="C32:E32"/>
    <mergeCell ref="C33:E33"/>
    <mergeCell ref="C34:E34"/>
    <mergeCell ref="C35:E35"/>
    <mergeCell ref="C37:E37"/>
    <mergeCell ref="C36:E36"/>
    <mergeCell ref="C30:E30"/>
    <mergeCell ref="C26:E26"/>
    <mergeCell ref="C28:D28"/>
    <mergeCell ref="C29:E29"/>
    <mergeCell ref="F29:G29"/>
    <mergeCell ref="C12:E12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57345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7345" r:id="rId5"/>
      </mc:Fallback>
    </mc:AlternateContent>
    <mc:AlternateContent xmlns:mc="http://schemas.openxmlformats.org/markup-compatibility/2006">
      <mc:Choice Requires="x14">
        <oleObject progId="Word.Picture.6" shapeId="57346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7346" r:id="rId7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9"/>
  <sheetViews>
    <sheetView view="pageBreakPreview" zoomScale="175" zoomScaleNormal="100" zoomScaleSheetLayoutView="175" workbookViewId="0"/>
  </sheetViews>
  <sheetFormatPr defaultRowHeight="12.75" x14ac:dyDescent="0.2"/>
  <cols>
    <col min="1" max="1" width="4.28515625" customWidth="1"/>
    <col min="2" max="2" width="6.140625" customWidth="1"/>
    <col min="3" max="3" width="11.42578125" customWidth="1"/>
    <col min="4" max="4" width="7.42578125" customWidth="1"/>
    <col min="5" max="9" width="11.7109375" customWidth="1"/>
    <col min="11" max="50" width="0" hidden="1" customWidth="1"/>
  </cols>
  <sheetData>
    <row r="1" spans="1:55" s="11" customFormat="1" ht="16.5" customHeight="1" thickTop="1" x14ac:dyDescent="0.25">
      <c r="A1" s="367" t="s">
        <v>49</v>
      </c>
      <c r="B1" s="368"/>
      <c r="C1" s="1236" t="str">
        <f>'SO01 Krycí list'!C4:G4</f>
        <v>Rekonstrukce oddělení ortopedie</v>
      </c>
      <c r="D1" s="1237"/>
      <c r="E1" s="1237"/>
      <c r="F1" s="1237"/>
      <c r="G1" s="1237"/>
      <c r="H1" s="1237"/>
      <c r="I1" s="1238"/>
    </row>
    <row r="2" spans="1:55" s="11" customFormat="1" ht="16.5" customHeight="1" x14ac:dyDescent="0.25">
      <c r="A2" s="334"/>
      <c r="B2" s="335"/>
      <c r="C2" s="1239" t="str">
        <f>'SO01 Krycí list'!C5:G5</f>
        <v>v pavilonu "B" nemocnice Šumperk</v>
      </c>
      <c r="D2" s="1240"/>
      <c r="E2" s="1240"/>
      <c r="F2" s="1240"/>
      <c r="G2" s="1240"/>
      <c r="H2" s="1240"/>
      <c r="I2" s="1241"/>
    </row>
    <row r="3" spans="1:55" ht="12.75" customHeight="1" x14ac:dyDescent="0.2">
      <c r="A3" s="275" t="s">
        <v>50</v>
      </c>
      <c r="B3" s="276"/>
      <c r="C3" s="282" t="str">
        <f>'SO01 Krycí list'!C7:G7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">
        <v>317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x14ac:dyDescent="0.2">
      <c r="A9" s="369">
        <v>1</v>
      </c>
      <c r="B9" s="1049" t="s">
        <v>718</v>
      </c>
      <c r="C9" s="267"/>
      <c r="D9" s="263"/>
      <c r="E9" s="34" t="s">
        <v>63</v>
      </c>
      <c r="F9" s="34" t="s">
        <v>63</v>
      </c>
      <c r="G9" s="35">
        <f>'03pol'!G26</f>
        <v>0</v>
      </c>
      <c r="H9" s="35">
        <f>'03pol'!I26</f>
        <v>0</v>
      </c>
      <c r="I9" s="35" t="s">
        <v>63</v>
      </c>
      <c r="BC9" s="269"/>
    </row>
    <row r="10" spans="1:55" s="268" customFormat="1" x14ac:dyDescent="0.2">
      <c r="A10" s="370">
        <v>2</v>
      </c>
      <c r="B10" s="1050" t="s">
        <v>756</v>
      </c>
      <c r="C10" s="270"/>
      <c r="D10" s="264"/>
      <c r="E10" s="34" t="s">
        <v>63</v>
      </c>
      <c r="F10" s="34" t="s">
        <v>63</v>
      </c>
      <c r="G10" s="34">
        <f>'03pol'!G58</f>
        <v>0</v>
      </c>
      <c r="H10" s="34">
        <f>'03pol'!I58</f>
        <v>0</v>
      </c>
      <c r="I10" s="38" t="s">
        <v>63</v>
      </c>
    </row>
    <row r="11" spans="1:55" s="268" customFormat="1" x14ac:dyDescent="0.2">
      <c r="A11" s="370">
        <v>3</v>
      </c>
      <c r="B11" s="347" t="s">
        <v>802</v>
      </c>
      <c r="C11" s="270"/>
      <c r="D11" s="264"/>
      <c r="E11" s="34" t="s">
        <v>63</v>
      </c>
      <c r="F11" s="34" t="s">
        <v>63</v>
      </c>
      <c r="G11" s="34">
        <f>'03pol'!G90</f>
        <v>0</v>
      </c>
      <c r="H11" s="34">
        <f>'03pol'!I90</f>
        <v>0</v>
      </c>
      <c r="I11" s="38" t="s">
        <v>63</v>
      </c>
    </row>
    <row r="12" spans="1:55" s="268" customFormat="1" x14ac:dyDescent="0.2">
      <c r="A12" s="370"/>
      <c r="B12" s="36"/>
      <c r="C12" s="270"/>
      <c r="D12" s="264"/>
      <c r="E12" s="34" t="s">
        <v>63</v>
      </c>
      <c r="F12" s="34" t="s">
        <v>63</v>
      </c>
      <c r="G12" s="34" t="s">
        <v>63</v>
      </c>
      <c r="H12" s="34" t="s">
        <v>63</v>
      </c>
      <c r="I12" s="38" t="s">
        <v>63</v>
      </c>
    </row>
    <row r="13" spans="1:55" s="268" customFormat="1" x14ac:dyDescent="0.2">
      <c r="A13" s="370"/>
      <c r="B13" s="36"/>
      <c r="C13" s="270"/>
      <c r="D13" s="264"/>
      <c r="E13" s="34" t="s">
        <v>63</v>
      </c>
      <c r="F13" s="34" t="s">
        <v>63</v>
      </c>
      <c r="G13" s="34" t="s">
        <v>63</v>
      </c>
      <c r="H13" s="34" t="s">
        <v>63</v>
      </c>
      <c r="I13" s="38" t="s">
        <v>63</v>
      </c>
    </row>
    <row r="14" spans="1:55" s="268" customFormat="1" x14ac:dyDescent="0.2">
      <c r="A14" s="370"/>
      <c r="B14" s="36"/>
      <c r="C14" s="270"/>
      <c r="D14" s="264"/>
      <c r="E14" s="34" t="s">
        <v>63</v>
      </c>
      <c r="F14" s="34" t="s">
        <v>63</v>
      </c>
      <c r="G14" s="34" t="s">
        <v>63</v>
      </c>
      <c r="H14" s="34" t="s">
        <v>63</v>
      </c>
      <c r="I14" s="38" t="s">
        <v>63</v>
      </c>
    </row>
    <row r="15" spans="1:55" s="268" customFormat="1" x14ac:dyDescent="0.2">
      <c r="A15" s="370"/>
      <c r="B15" s="36"/>
      <c r="C15" s="270"/>
      <c r="D15" s="264"/>
      <c r="E15" s="34" t="s">
        <v>63</v>
      </c>
      <c r="F15" s="34" t="s">
        <v>63</v>
      </c>
      <c r="G15" s="34" t="s">
        <v>63</v>
      </c>
      <c r="H15" s="34" t="s">
        <v>63</v>
      </c>
      <c r="I15" s="38" t="s">
        <v>63</v>
      </c>
    </row>
    <row r="16" spans="1:55" s="268" customFormat="1" x14ac:dyDescent="0.2">
      <c r="A16" s="329"/>
      <c r="B16" s="36"/>
      <c r="C16" s="270"/>
      <c r="D16" s="264"/>
      <c r="E16" s="34" t="s">
        <v>63</v>
      </c>
      <c r="F16" s="34" t="s">
        <v>63</v>
      </c>
      <c r="G16" s="34" t="s">
        <v>63</v>
      </c>
      <c r="H16" s="34" t="s">
        <v>63</v>
      </c>
      <c r="I16" s="38" t="s">
        <v>63</v>
      </c>
    </row>
    <row r="17" spans="1:9" s="268" customFormat="1" x14ac:dyDescent="0.2">
      <c r="A17" s="329"/>
      <c r="B17" s="36"/>
      <c r="C17" s="270"/>
      <c r="D17" s="264"/>
      <c r="E17" s="34" t="s">
        <v>63</v>
      </c>
      <c r="F17" s="34" t="s">
        <v>63</v>
      </c>
      <c r="G17" s="34" t="s">
        <v>63</v>
      </c>
      <c r="H17" s="34" t="s">
        <v>63</v>
      </c>
      <c r="I17" s="38" t="s">
        <v>63</v>
      </c>
    </row>
    <row r="18" spans="1:9" s="268" customFormat="1" ht="13.5" thickBot="1" x14ac:dyDescent="0.25">
      <c r="A18" s="329"/>
      <c r="B18" s="36"/>
      <c r="C18" s="270"/>
      <c r="D18" s="264"/>
      <c r="E18" s="34" t="s">
        <v>63</v>
      </c>
      <c r="F18" s="34" t="s">
        <v>63</v>
      </c>
      <c r="G18" s="34" t="s">
        <v>63</v>
      </c>
      <c r="H18" s="34" t="s">
        <v>63</v>
      </c>
      <c r="I18" s="38" t="s">
        <v>63</v>
      </c>
    </row>
    <row r="19" spans="1:9" s="44" customFormat="1" ht="13.5" thickBot="1" x14ac:dyDescent="0.25">
      <c r="A19" s="39"/>
      <c r="B19" s="40" t="s">
        <v>70</v>
      </c>
      <c r="C19" s="40"/>
      <c r="D19" s="41"/>
      <c r="E19" s="42" t="str">
        <f>IF(SUM(E9:E18)&gt;0,SUM(E9:E18),"--------------")</f>
        <v>--------------</v>
      </c>
      <c r="F19" s="42" t="str">
        <f>IF(SUM(F9:F18)&gt;0,SUM(F9:F18),"--------------")</f>
        <v>--------------</v>
      </c>
      <c r="G19" s="42" t="str">
        <f>IF(SUM(G9:G18)&gt;0,SUM(G9:G18),"--------------")</f>
        <v>--------------</v>
      </c>
      <c r="H19" s="42" t="str">
        <f>IF(SUM(H9:H18)&gt;0,SUM(H9:H18),"--------------")</f>
        <v>--------------</v>
      </c>
      <c r="I19" s="43" t="str">
        <f>IF(SUM(I9:I18)&gt;0,SUM(I9:I18),"--------------")</f>
        <v>--------------</v>
      </c>
    </row>
    <row r="20" spans="1:9" x14ac:dyDescent="0.2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2">
      <c r="F22" s="74"/>
      <c r="G22" s="75"/>
      <c r="H22" s="75"/>
      <c r="I22" s="76"/>
    </row>
    <row r="23" spans="1:9" x14ac:dyDescent="0.2">
      <c r="F23" s="74"/>
      <c r="G23" s="75"/>
      <c r="H23" s="75"/>
      <c r="I23" s="76"/>
    </row>
    <row r="24" spans="1:9" x14ac:dyDescent="0.2">
      <c r="F24" s="74"/>
      <c r="G24" s="75"/>
      <c r="H24" s="75"/>
      <c r="I24" s="76"/>
    </row>
    <row r="25" spans="1:9" x14ac:dyDescent="0.2">
      <c r="F25" s="74"/>
      <c r="G25" s="75"/>
      <c r="H25" s="75"/>
      <c r="I25" s="76"/>
    </row>
    <row r="26" spans="1:9" x14ac:dyDescent="0.2">
      <c r="F26" s="74"/>
      <c r="G26" s="75"/>
      <c r="H26" s="75"/>
      <c r="I26" s="76"/>
    </row>
    <row r="27" spans="1:9" x14ac:dyDescent="0.2">
      <c r="F27" s="74"/>
      <c r="G27" s="75"/>
      <c r="H27" s="75"/>
      <c r="I27" s="76"/>
    </row>
    <row r="28" spans="1:9" x14ac:dyDescent="0.2">
      <c r="F28" s="74"/>
      <c r="G28" s="75"/>
      <c r="H28" s="75"/>
      <c r="I28" s="76"/>
    </row>
    <row r="29" spans="1:9" x14ac:dyDescent="0.2">
      <c r="F29" s="74"/>
      <c r="G29" s="75"/>
      <c r="H29" s="75"/>
      <c r="I29" s="76"/>
    </row>
  </sheetData>
  <customSheetViews>
    <customSheetView guid="{30B10D60-758F-4E0B-9F03-5879C6CAFDF6}" scale="175" showPageBreaks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2">
    <mergeCell ref="C1:I1"/>
    <mergeCell ref="C2:I2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91"/>
  <sheetViews>
    <sheetView view="pageBreakPreview" zoomScale="130" zoomScaleNormal="70" zoomScaleSheetLayoutView="130" workbookViewId="0">
      <pane ySplit="7" topLeftCell="A8" activePane="bottomLeft" state="frozen"/>
      <selection activeCell="M16" sqref="M16"/>
      <selection pane="bottomLeft" activeCell="A8" sqref="A8"/>
    </sheetView>
  </sheetViews>
  <sheetFormatPr defaultColWidth="9.140625" defaultRowHeight="12.75" x14ac:dyDescent="0.2"/>
  <cols>
    <col min="1" max="1" width="6.42578125" style="461" customWidth="1"/>
    <col min="2" max="2" width="12.28515625" style="1" customWidth="1"/>
    <col min="3" max="3" width="56.7109375" style="686" customWidth="1"/>
    <col min="4" max="4" width="5.5703125" style="1" customWidth="1"/>
    <col min="5" max="5" width="5" style="10" customWidth="1"/>
    <col min="6" max="6" width="9.28515625" style="1" customWidth="1"/>
    <col min="7" max="7" width="10.28515625" style="539" customWidth="1"/>
    <col min="8" max="8" width="9.28515625" style="1" customWidth="1"/>
    <col min="9" max="9" width="10.42578125" style="1" customWidth="1"/>
    <col min="10" max="10" width="9.140625" style="1"/>
    <col min="11" max="11" width="11.28515625" style="9" customWidth="1"/>
    <col min="12" max="16384" width="9.140625" style="1"/>
  </cols>
  <sheetData>
    <row r="1" spans="1:11" customFormat="1" ht="31.15" customHeight="1" thickTop="1" x14ac:dyDescent="0.25">
      <c r="A1" s="458" t="s">
        <v>49</v>
      </c>
      <c r="B1" s="286"/>
      <c r="C1" s="680" t="str">
        <f>'SO01 Krycí list'!$C$4&amp;" "&amp;'SO01 Krycí list'!$C$5</f>
        <v>Rekonstrukce oddělení ortopedie v pavilonu "B" nemocnice Šumperk</v>
      </c>
      <c r="D1" s="289"/>
      <c r="E1" s="286"/>
      <c r="F1" s="286"/>
      <c r="G1" s="555"/>
      <c r="H1" s="555"/>
      <c r="I1" s="150"/>
      <c r="J1" s="151"/>
      <c r="K1" s="398"/>
    </row>
    <row r="2" spans="1:11" customFormat="1" x14ac:dyDescent="0.2">
      <c r="A2" s="459" t="s">
        <v>50</v>
      </c>
      <c r="B2" s="287"/>
      <c r="C2" s="681" t="str">
        <f>'SO01 Krycí list'!$C$7</f>
        <v>SO 01 Vlastní objekt</v>
      </c>
      <c r="D2" s="290"/>
      <c r="E2" s="287"/>
      <c r="F2" s="287"/>
      <c r="G2" s="530"/>
      <c r="H2" s="530"/>
      <c r="I2" s="12" t="s">
        <v>52</v>
      </c>
      <c r="J2" s="13">
        <f>'03rek'!I3</f>
        <v>2016021</v>
      </c>
      <c r="K2" s="398"/>
    </row>
    <row r="3" spans="1:11" customFormat="1" ht="13.5" thickBot="1" x14ac:dyDescent="0.25">
      <c r="A3" s="460" t="s">
        <v>53</v>
      </c>
      <c r="B3" s="288"/>
      <c r="C3" s="682" t="str">
        <f>'03rek'!C4</f>
        <v>Vzduchotechnika</v>
      </c>
      <c r="D3" s="291"/>
      <c r="E3" s="288"/>
      <c r="F3" s="288"/>
      <c r="G3" s="531"/>
      <c r="H3" s="531"/>
      <c r="I3" s="14" t="s">
        <v>54</v>
      </c>
      <c r="J3" s="15">
        <f>'03rek'!I4</f>
        <v>42635</v>
      </c>
      <c r="K3" s="398"/>
    </row>
    <row r="4" spans="1:11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11" x14ac:dyDescent="0.2">
      <c r="B5" s="2"/>
      <c r="C5" s="683"/>
      <c r="D5" s="3"/>
      <c r="E5" s="4"/>
      <c r="F5" s="3"/>
      <c r="G5" s="532"/>
      <c r="K5" s="399"/>
    </row>
    <row r="6" spans="1:11" ht="13.5" thickBot="1" x14ac:dyDescent="0.25">
      <c r="A6" s="462"/>
      <c r="B6" s="6"/>
      <c r="C6" s="684"/>
      <c r="D6" s="7"/>
      <c r="E6" s="8"/>
      <c r="F6" s="7"/>
      <c r="G6" s="533"/>
      <c r="H6" s="7"/>
      <c r="I6" s="7"/>
      <c r="K6" s="400"/>
    </row>
    <row r="7" spans="1:11" ht="30.75" thickBot="1" x14ac:dyDescent="0.3">
      <c r="A7" s="463" t="s">
        <v>292</v>
      </c>
      <c r="B7" s="301" t="s">
        <v>293</v>
      </c>
      <c r="C7" s="685" t="s">
        <v>294</v>
      </c>
      <c r="D7" s="302" t="s">
        <v>295</v>
      </c>
      <c r="E7" s="675" t="s">
        <v>51</v>
      </c>
      <c r="F7" s="676" t="s">
        <v>830</v>
      </c>
      <c r="G7" s="677" t="s">
        <v>831</v>
      </c>
      <c r="H7" s="679" t="s">
        <v>833</v>
      </c>
      <c r="I7" s="687" t="s">
        <v>832</v>
      </c>
      <c r="J7" s="678" t="s">
        <v>834</v>
      </c>
      <c r="K7" s="401"/>
    </row>
    <row r="8" spans="1:11" s="674" customFormat="1" x14ac:dyDescent="0.2">
      <c r="A8" s="1045">
        <v>1</v>
      </c>
      <c r="B8" s="1045"/>
      <c r="C8" s="1045" t="s">
        <v>718</v>
      </c>
      <c r="D8" s="1045"/>
      <c r="E8" s="1045"/>
      <c r="F8" s="1045"/>
      <c r="G8" s="1045"/>
      <c r="H8" s="1045"/>
      <c r="I8" s="1045"/>
      <c r="J8" s="1045"/>
    </row>
    <row r="9" spans="1:11" customFormat="1" x14ac:dyDescent="0.2">
      <c r="A9" s="947" t="s">
        <v>719</v>
      </c>
      <c r="B9" s="947" t="s">
        <v>720</v>
      </c>
      <c r="C9" s="947" t="s">
        <v>1420</v>
      </c>
      <c r="D9" s="947">
        <v>1</v>
      </c>
      <c r="E9" s="947" t="s">
        <v>275</v>
      </c>
      <c r="F9" s="1048"/>
      <c r="G9" s="947">
        <f t="shared" ref="G9:G16" si="0">D9*F9</f>
        <v>0</v>
      </c>
      <c r="H9" s="1048"/>
      <c r="I9" s="947">
        <f t="shared" ref="I9:I16" si="1">D9*H9</f>
        <v>0</v>
      </c>
      <c r="J9" s="947">
        <v>2.7</v>
      </c>
    </row>
    <row r="10" spans="1:11" customFormat="1" x14ac:dyDescent="0.2">
      <c r="A10" s="947"/>
      <c r="B10" s="947"/>
      <c r="C10" s="947" t="s">
        <v>1421</v>
      </c>
      <c r="D10" s="947"/>
      <c r="E10" s="947"/>
      <c r="F10" s="947"/>
      <c r="G10" s="947">
        <f t="shared" si="0"/>
        <v>0</v>
      </c>
      <c r="H10" s="947"/>
      <c r="I10" s="947">
        <f t="shared" si="1"/>
        <v>0</v>
      </c>
      <c r="J10" s="947"/>
    </row>
    <row r="11" spans="1:11" customFormat="1" x14ac:dyDescent="0.2">
      <c r="A11" s="947" t="s">
        <v>719</v>
      </c>
      <c r="B11" s="947" t="s">
        <v>720</v>
      </c>
      <c r="C11" s="947" t="s">
        <v>721</v>
      </c>
      <c r="D11" s="947">
        <v>1</v>
      </c>
      <c r="E11" s="947" t="s">
        <v>275</v>
      </c>
      <c r="F11" s="1048"/>
      <c r="G11" s="947">
        <f t="shared" si="0"/>
        <v>0</v>
      </c>
      <c r="H11" s="1048"/>
      <c r="I11" s="947">
        <f t="shared" si="1"/>
        <v>0</v>
      </c>
      <c r="J11" s="947">
        <v>1</v>
      </c>
    </row>
    <row r="12" spans="1:11" customFormat="1" x14ac:dyDescent="0.2">
      <c r="A12" s="947" t="s">
        <v>722</v>
      </c>
      <c r="B12" s="947"/>
      <c r="C12" s="947" t="s">
        <v>723</v>
      </c>
      <c r="D12" s="947">
        <v>2</v>
      </c>
      <c r="E12" s="947" t="s">
        <v>275</v>
      </c>
      <c r="F12" s="1048"/>
      <c r="G12" s="947">
        <f t="shared" si="0"/>
        <v>0</v>
      </c>
      <c r="H12" s="1048"/>
      <c r="I12" s="947">
        <f t="shared" si="1"/>
        <v>0</v>
      </c>
      <c r="J12" s="947">
        <v>2</v>
      </c>
    </row>
    <row r="13" spans="1:11" customFormat="1" x14ac:dyDescent="0.2">
      <c r="A13" s="947" t="s">
        <v>724</v>
      </c>
      <c r="B13" s="947" t="s">
        <v>725</v>
      </c>
      <c r="C13" s="947" t="s">
        <v>726</v>
      </c>
      <c r="D13" s="947">
        <v>2</v>
      </c>
      <c r="E13" s="947" t="s">
        <v>275</v>
      </c>
      <c r="F13" s="1048"/>
      <c r="G13" s="947">
        <f t="shared" si="0"/>
        <v>0</v>
      </c>
      <c r="H13" s="1048"/>
      <c r="I13" s="947">
        <f t="shared" si="1"/>
        <v>0</v>
      </c>
      <c r="J13" s="947">
        <v>10</v>
      </c>
    </row>
    <row r="14" spans="1:11" customFormat="1" x14ac:dyDescent="0.2">
      <c r="A14" s="947" t="s">
        <v>727</v>
      </c>
      <c r="B14" s="947" t="s">
        <v>728</v>
      </c>
      <c r="C14" s="947" t="s">
        <v>729</v>
      </c>
      <c r="D14" s="947">
        <v>4.5</v>
      </c>
      <c r="E14" s="947" t="s">
        <v>275</v>
      </c>
      <c r="F14" s="1048"/>
      <c r="G14" s="947">
        <f t="shared" si="0"/>
        <v>0</v>
      </c>
      <c r="H14" s="1048"/>
      <c r="I14" s="947">
        <f t="shared" si="1"/>
        <v>0</v>
      </c>
      <c r="J14" s="947">
        <v>15</v>
      </c>
    </row>
    <row r="15" spans="1:11" customFormat="1" x14ac:dyDescent="0.2">
      <c r="A15" s="947" t="s">
        <v>730</v>
      </c>
      <c r="B15" s="947" t="s">
        <v>731</v>
      </c>
      <c r="C15" s="947" t="s">
        <v>732</v>
      </c>
      <c r="D15" s="947">
        <v>5</v>
      </c>
      <c r="E15" s="947" t="s">
        <v>275</v>
      </c>
      <c r="F15" s="1048"/>
      <c r="G15" s="947">
        <f t="shared" si="0"/>
        <v>0</v>
      </c>
      <c r="H15" s="1048"/>
      <c r="I15" s="947">
        <f t="shared" si="1"/>
        <v>0</v>
      </c>
      <c r="J15" s="947">
        <v>3</v>
      </c>
    </row>
    <row r="16" spans="1:11" customFormat="1" x14ac:dyDescent="0.2">
      <c r="A16" s="947" t="s">
        <v>733</v>
      </c>
      <c r="B16" s="947" t="s">
        <v>734</v>
      </c>
      <c r="C16" s="947" t="s">
        <v>735</v>
      </c>
      <c r="D16" s="947">
        <v>2</v>
      </c>
      <c r="E16" s="947" t="s">
        <v>275</v>
      </c>
      <c r="F16" s="1048"/>
      <c r="G16" s="947">
        <f t="shared" si="0"/>
        <v>0</v>
      </c>
      <c r="H16" s="1048"/>
      <c r="I16" s="947">
        <f t="shared" si="1"/>
        <v>0</v>
      </c>
      <c r="J16" s="947">
        <v>4</v>
      </c>
    </row>
    <row r="17" spans="1:13" customFormat="1" x14ac:dyDescent="0.2">
      <c r="A17" s="947" t="s">
        <v>736</v>
      </c>
      <c r="B17" s="947" t="s">
        <v>737</v>
      </c>
      <c r="C17" s="947" t="s">
        <v>738</v>
      </c>
      <c r="D17" s="947">
        <v>1</v>
      </c>
      <c r="E17" s="947" t="s">
        <v>275</v>
      </c>
      <c r="F17" s="1048"/>
      <c r="G17" s="947">
        <f>D17*F17</f>
        <v>0</v>
      </c>
      <c r="H17" s="1048"/>
      <c r="I17" s="947">
        <f>D17*H17</f>
        <v>0</v>
      </c>
      <c r="J17" s="947">
        <v>1</v>
      </c>
    </row>
    <row r="18" spans="1:13" customFormat="1" x14ac:dyDescent="0.2">
      <c r="A18" s="947" t="s">
        <v>739</v>
      </c>
      <c r="B18" s="947" t="s">
        <v>740</v>
      </c>
      <c r="C18" s="947" t="s">
        <v>741</v>
      </c>
      <c r="D18" s="947">
        <v>2</v>
      </c>
      <c r="E18" s="947" t="s">
        <v>275</v>
      </c>
      <c r="F18" s="1048"/>
      <c r="G18" s="947">
        <f>D18*F18</f>
        <v>0</v>
      </c>
      <c r="H18" s="1048"/>
      <c r="I18" s="947">
        <f>D18*H18</f>
        <v>0</v>
      </c>
      <c r="J18" s="947">
        <v>1.5</v>
      </c>
    </row>
    <row r="19" spans="1:13" customFormat="1" x14ac:dyDescent="0.2">
      <c r="A19" s="947" t="s">
        <v>742</v>
      </c>
      <c r="B19" s="947" t="s">
        <v>740</v>
      </c>
      <c r="C19" s="947" t="s">
        <v>743</v>
      </c>
      <c r="D19" s="947">
        <v>2</v>
      </c>
      <c r="E19" s="947" t="s">
        <v>275</v>
      </c>
      <c r="F19" s="1048"/>
      <c r="G19" s="947">
        <f t="shared" ref="G19:G24" si="2">D19*F19</f>
        <v>0</v>
      </c>
      <c r="H19" s="1048"/>
      <c r="I19" s="947">
        <f t="shared" ref="I19:I24" si="3">D19*H19</f>
        <v>0</v>
      </c>
      <c r="J19" s="947">
        <v>1.5</v>
      </c>
    </row>
    <row r="20" spans="1:13" customFormat="1" x14ac:dyDescent="0.2">
      <c r="A20" s="947" t="s">
        <v>744</v>
      </c>
      <c r="B20" s="947" t="s">
        <v>728</v>
      </c>
      <c r="C20" s="947" t="s">
        <v>745</v>
      </c>
      <c r="D20" s="947">
        <v>1.5</v>
      </c>
      <c r="E20" s="947" t="s">
        <v>275</v>
      </c>
      <c r="F20" s="1048"/>
      <c r="G20" s="947">
        <f t="shared" si="2"/>
        <v>0</v>
      </c>
      <c r="H20" s="1048"/>
      <c r="I20" s="947">
        <f t="shared" si="3"/>
        <v>0</v>
      </c>
      <c r="J20" s="947">
        <v>15</v>
      </c>
    </row>
    <row r="21" spans="1:13" customFormat="1" x14ac:dyDescent="0.2">
      <c r="A21" s="947" t="s">
        <v>746</v>
      </c>
      <c r="B21" s="947" t="s">
        <v>731</v>
      </c>
      <c r="C21" s="947" t="s">
        <v>747</v>
      </c>
      <c r="D21" s="947">
        <v>3</v>
      </c>
      <c r="E21" s="947" t="s">
        <v>275</v>
      </c>
      <c r="F21" s="1048"/>
      <c r="G21" s="947">
        <f t="shared" si="2"/>
        <v>0</v>
      </c>
      <c r="H21" s="1048"/>
      <c r="I21" s="947">
        <f t="shared" si="3"/>
        <v>0</v>
      </c>
      <c r="J21" s="947">
        <v>2</v>
      </c>
    </row>
    <row r="22" spans="1:13" customFormat="1" x14ac:dyDescent="0.2">
      <c r="A22" s="947" t="s">
        <v>748</v>
      </c>
      <c r="B22" s="947"/>
      <c r="C22" s="947" t="s">
        <v>749</v>
      </c>
      <c r="D22" s="947">
        <v>45</v>
      </c>
      <c r="E22" s="947" t="s">
        <v>353</v>
      </c>
      <c r="F22" s="1048"/>
      <c r="G22" s="947">
        <f t="shared" si="2"/>
        <v>0</v>
      </c>
      <c r="H22" s="1048"/>
      <c r="I22" s="947">
        <f t="shared" si="3"/>
        <v>0</v>
      </c>
      <c r="J22" s="947">
        <v>45</v>
      </c>
    </row>
    <row r="23" spans="1:13" s="674" customFormat="1" x14ac:dyDescent="0.2">
      <c r="A23" s="947" t="s">
        <v>750</v>
      </c>
      <c r="B23" s="947"/>
      <c r="C23" s="947" t="s">
        <v>751</v>
      </c>
      <c r="D23" s="947">
        <v>15</v>
      </c>
      <c r="E23" s="947" t="s">
        <v>353</v>
      </c>
      <c r="F23" s="1048"/>
      <c r="G23" s="947">
        <f t="shared" si="2"/>
        <v>0</v>
      </c>
      <c r="H23" s="1048"/>
      <c r="I23" s="947">
        <f t="shared" si="3"/>
        <v>0</v>
      </c>
      <c r="J23" s="947">
        <v>15</v>
      </c>
      <c r="K23"/>
      <c r="L23"/>
      <c r="M23"/>
    </row>
    <row r="24" spans="1:13" customFormat="1" x14ac:dyDescent="0.2">
      <c r="A24" s="1047" t="s">
        <v>752</v>
      </c>
      <c r="B24" s="947" t="s">
        <v>753</v>
      </c>
      <c r="C24" s="947" t="s">
        <v>754</v>
      </c>
      <c r="D24" s="947">
        <v>5</v>
      </c>
      <c r="E24" s="947" t="s">
        <v>441</v>
      </c>
      <c r="F24" s="1048"/>
      <c r="G24" s="947">
        <f t="shared" si="2"/>
        <v>0</v>
      </c>
      <c r="H24" s="1048"/>
      <c r="I24" s="947">
        <f t="shared" si="3"/>
        <v>0</v>
      </c>
      <c r="J24" s="947">
        <v>30</v>
      </c>
      <c r="K24" s="674"/>
      <c r="L24" s="674"/>
      <c r="M24" s="674"/>
    </row>
    <row r="25" spans="1:13" customFormat="1" x14ac:dyDescent="0.2">
      <c r="A25" s="1047" t="s">
        <v>1422</v>
      </c>
      <c r="B25" s="947"/>
      <c r="C25" s="947" t="s">
        <v>1423</v>
      </c>
      <c r="D25" s="947">
        <v>4</v>
      </c>
      <c r="E25" s="947" t="s">
        <v>1424</v>
      </c>
      <c r="F25" s="947"/>
      <c r="G25" s="947">
        <f>D25*F25</f>
        <v>0</v>
      </c>
      <c r="H25" s="1048"/>
      <c r="I25" s="947">
        <f>D25*H25</f>
        <v>0</v>
      </c>
      <c r="J25" s="947">
        <v>0</v>
      </c>
      <c r="K25" s="674"/>
      <c r="L25" s="674"/>
      <c r="M25" s="674"/>
    </row>
    <row r="26" spans="1:13" customFormat="1" x14ac:dyDescent="0.2">
      <c r="A26" s="947"/>
      <c r="B26" s="947"/>
      <c r="C26" s="1045" t="s">
        <v>755</v>
      </c>
      <c r="D26" s="1045"/>
      <c r="E26" s="1045"/>
      <c r="F26" s="1045"/>
      <c r="G26" s="1045">
        <f>SUM(G9:G25)</f>
        <v>0</v>
      </c>
      <c r="H26" s="1045"/>
      <c r="I26" s="1045">
        <f>SUM(I9:I25)</f>
        <v>0</v>
      </c>
      <c r="J26" s="1045">
        <f>SUM(J9:J25)</f>
        <v>148.69999999999999</v>
      </c>
      <c r="K26" s="674"/>
      <c r="L26" s="674"/>
      <c r="M26" s="674"/>
    </row>
    <row r="27" spans="1:13" customFormat="1" x14ac:dyDescent="0.2">
      <c r="A27" s="947"/>
      <c r="B27" s="947"/>
      <c r="C27" s="1045"/>
      <c r="D27" s="1045"/>
      <c r="E27" s="1045"/>
      <c r="F27" s="1045"/>
      <c r="G27" s="1045"/>
      <c r="H27" s="1045"/>
      <c r="I27" s="1045"/>
      <c r="J27" s="1045"/>
    </row>
    <row r="28" spans="1:13" customFormat="1" x14ac:dyDescent="0.2">
      <c r="A28" s="1045">
        <v>2</v>
      </c>
      <c r="B28" s="947"/>
      <c r="C28" s="1045" t="s">
        <v>756</v>
      </c>
      <c r="D28" s="1045"/>
      <c r="E28" s="1045"/>
      <c r="F28" s="1045"/>
      <c r="G28" s="1045"/>
      <c r="H28" s="1045"/>
      <c r="I28" s="1045"/>
      <c r="J28" s="1045"/>
    </row>
    <row r="29" spans="1:13" customFormat="1" x14ac:dyDescent="0.2">
      <c r="A29" s="947" t="s">
        <v>757</v>
      </c>
      <c r="B29" s="947" t="s">
        <v>720</v>
      </c>
      <c r="C29" s="947" t="s">
        <v>1425</v>
      </c>
      <c r="D29" s="947">
        <v>1</v>
      </c>
      <c r="E29" s="947" t="s">
        <v>275</v>
      </c>
      <c r="F29" s="1048"/>
      <c r="G29" s="947">
        <f t="shared" ref="G29:G52" si="4">D29*F29</f>
        <v>0</v>
      </c>
      <c r="H29" s="1048"/>
      <c r="I29" s="947">
        <f t="shared" ref="I29:I52" si="5">D29*H29</f>
        <v>0</v>
      </c>
      <c r="J29" s="947">
        <v>5.7</v>
      </c>
    </row>
    <row r="30" spans="1:13" customFormat="1" x14ac:dyDescent="0.2">
      <c r="A30" s="947"/>
      <c r="B30" s="947"/>
      <c r="C30" s="947" t="s">
        <v>1426</v>
      </c>
      <c r="D30" s="947"/>
      <c r="E30" s="947"/>
      <c r="F30" s="947"/>
      <c r="G30" s="947"/>
      <c r="H30" s="947"/>
      <c r="I30" s="947"/>
      <c r="J30" s="947"/>
    </row>
    <row r="31" spans="1:13" customFormat="1" x14ac:dyDescent="0.2">
      <c r="A31" s="947" t="s">
        <v>757</v>
      </c>
      <c r="B31" s="947" t="s">
        <v>720</v>
      </c>
      <c r="C31" s="947" t="s">
        <v>721</v>
      </c>
      <c r="D31" s="947">
        <v>1</v>
      </c>
      <c r="E31" s="947" t="s">
        <v>275</v>
      </c>
      <c r="F31" s="1048"/>
      <c r="G31" s="947">
        <f t="shared" si="4"/>
        <v>0</v>
      </c>
      <c r="H31" s="1048"/>
      <c r="I31" s="947">
        <f t="shared" si="5"/>
        <v>0</v>
      </c>
      <c r="J31" s="947">
        <v>1</v>
      </c>
    </row>
    <row r="32" spans="1:13" customFormat="1" x14ac:dyDescent="0.2">
      <c r="A32" s="947" t="s">
        <v>758</v>
      </c>
      <c r="B32" s="947"/>
      <c r="C32" s="947" t="s">
        <v>759</v>
      </c>
      <c r="D32" s="947">
        <v>2</v>
      </c>
      <c r="E32" s="947" t="s">
        <v>275</v>
      </c>
      <c r="F32" s="1048"/>
      <c r="G32" s="947">
        <f t="shared" si="4"/>
        <v>0</v>
      </c>
      <c r="H32" s="1048"/>
      <c r="I32" s="947">
        <f t="shared" si="5"/>
        <v>0</v>
      </c>
      <c r="J32" s="947">
        <v>2</v>
      </c>
    </row>
    <row r="33" spans="1:10" customFormat="1" x14ac:dyDescent="0.2">
      <c r="A33" s="947" t="s">
        <v>760</v>
      </c>
      <c r="B33" s="947" t="s">
        <v>725</v>
      </c>
      <c r="C33" s="947" t="s">
        <v>761</v>
      </c>
      <c r="D33" s="947">
        <v>2</v>
      </c>
      <c r="E33" s="947" t="s">
        <v>275</v>
      </c>
      <c r="F33" s="1048"/>
      <c r="G33" s="947">
        <f t="shared" si="4"/>
        <v>0</v>
      </c>
      <c r="H33" s="1048"/>
      <c r="I33" s="947">
        <f t="shared" si="5"/>
        <v>0</v>
      </c>
      <c r="J33" s="947">
        <v>16</v>
      </c>
    </row>
    <row r="34" spans="1:10" customFormat="1" x14ac:dyDescent="0.2">
      <c r="A34" s="947" t="s">
        <v>762</v>
      </c>
      <c r="B34" s="947" t="s">
        <v>728</v>
      </c>
      <c r="C34" s="947" t="s">
        <v>763</v>
      </c>
      <c r="D34" s="947">
        <v>1</v>
      </c>
      <c r="E34" s="947" t="s">
        <v>275</v>
      </c>
      <c r="F34" s="1048"/>
      <c r="G34" s="947">
        <f t="shared" si="4"/>
        <v>0</v>
      </c>
      <c r="H34" s="1048"/>
      <c r="I34" s="947">
        <f t="shared" si="5"/>
        <v>0</v>
      </c>
      <c r="J34" s="947">
        <v>6.4</v>
      </c>
    </row>
    <row r="35" spans="1:10" customFormat="1" x14ac:dyDescent="0.2">
      <c r="A35" s="947" t="s">
        <v>764</v>
      </c>
      <c r="B35" s="947" t="s">
        <v>731</v>
      </c>
      <c r="C35" s="947" t="s">
        <v>765</v>
      </c>
      <c r="D35" s="947">
        <v>3</v>
      </c>
      <c r="E35" s="947" t="s">
        <v>275</v>
      </c>
      <c r="F35" s="1048"/>
      <c r="G35" s="947">
        <f t="shared" si="4"/>
        <v>0</v>
      </c>
      <c r="H35" s="1048"/>
      <c r="I35" s="947">
        <f t="shared" si="5"/>
        <v>0</v>
      </c>
      <c r="J35" s="947">
        <v>3.3</v>
      </c>
    </row>
    <row r="36" spans="1:10" customFormat="1" x14ac:dyDescent="0.2">
      <c r="A36" s="947" t="s">
        <v>766</v>
      </c>
      <c r="B36" s="947" t="s">
        <v>737</v>
      </c>
      <c r="C36" s="947" t="s">
        <v>767</v>
      </c>
      <c r="D36" s="947">
        <v>1</v>
      </c>
      <c r="E36" s="947" t="s">
        <v>275</v>
      </c>
      <c r="F36" s="1048"/>
      <c r="G36" s="947">
        <f t="shared" si="4"/>
        <v>0</v>
      </c>
      <c r="H36" s="1048"/>
      <c r="I36" s="947">
        <f t="shared" si="5"/>
        <v>0</v>
      </c>
      <c r="J36" s="947">
        <v>2</v>
      </c>
    </row>
    <row r="37" spans="1:10" customFormat="1" x14ac:dyDescent="0.2">
      <c r="A37" s="947" t="s">
        <v>768</v>
      </c>
      <c r="B37" s="947" t="s">
        <v>731</v>
      </c>
      <c r="C37" s="947" t="s">
        <v>1427</v>
      </c>
      <c r="D37" s="947">
        <v>4</v>
      </c>
      <c r="E37" s="947" t="s">
        <v>275</v>
      </c>
      <c r="F37" s="1048"/>
      <c r="G37" s="947">
        <f t="shared" si="4"/>
        <v>0</v>
      </c>
      <c r="H37" s="1048"/>
      <c r="I37" s="947">
        <f t="shared" si="5"/>
        <v>0</v>
      </c>
      <c r="J37" s="947">
        <v>2.2000000000000002</v>
      </c>
    </row>
    <row r="38" spans="1:10" customFormat="1" x14ac:dyDescent="0.2">
      <c r="A38" s="947" t="s">
        <v>769</v>
      </c>
      <c r="B38" s="947" t="s">
        <v>770</v>
      </c>
      <c r="C38" s="1047" t="s">
        <v>1428</v>
      </c>
      <c r="D38" s="947">
        <v>1</v>
      </c>
      <c r="E38" s="947" t="s">
        <v>275</v>
      </c>
      <c r="F38" s="1048"/>
      <c r="G38" s="947">
        <f t="shared" si="4"/>
        <v>0</v>
      </c>
      <c r="H38" s="1048"/>
      <c r="I38" s="947">
        <f t="shared" si="5"/>
        <v>0</v>
      </c>
      <c r="J38" s="947">
        <v>4</v>
      </c>
    </row>
    <row r="39" spans="1:10" customFormat="1" x14ac:dyDescent="0.2">
      <c r="A39" s="947" t="s">
        <v>771</v>
      </c>
      <c r="B39" s="947" t="s">
        <v>728</v>
      </c>
      <c r="C39" s="947" t="s">
        <v>772</v>
      </c>
      <c r="D39" s="947">
        <v>1</v>
      </c>
      <c r="E39" s="947" t="s">
        <v>275</v>
      </c>
      <c r="F39" s="1048"/>
      <c r="G39" s="947">
        <f t="shared" si="4"/>
        <v>0</v>
      </c>
      <c r="H39" s="1048"/>
      <c r="I39" s="947">
        <f t="shared" si="5"/>
        <v>0</v>
      </c>
      <c r="J39" s="947">
        <v>5.2</v>
      </c>
    </row>
    <row r="40" spans="1:10" customFormat="1" x14ac:dyDescent="0.2">
      <c r="A40" s="947" t="s">
        <v>773</v>
      </c>
      <c r="B40" s="947" t="s">
        <v>774</v>
      </c>
      <c r="C40" s="947" t="s">
        <v>775</v>
      </c>
      <c r="D40" s="947">
        <v>14</v>
      </c>
      <c r="E40" s="947" t="s">
        <v>776</v>
      </c>
      <c r="F40" s="1048"/>
      <c r="G40" s="947">
        <f t="shared" si="4"/>
        <v>0</v>
      </c>
      <c r="H40" s="1048"/>
      <c r="I40" s="947">
        <f t="shared" si="5"/>
        <v>0</v>
      </c>
      <c r="J40" s="947">
        <v>127.4</v>
      </c>
    </row>
    <row r="41" spans="1:10" customFormat="1" x14ac:dyDescent="0.2">
      <c r="A41" s="947" t="s">
        <v>777</v>
      </c>
      <c r="B41" s="947" t="s">
        <v>774</v>
      </c>
      <c r="C41" s="947" t="s">
        <v>778</v>
      </c>
      <c r="D41" s="947">
        <v>2</v>
      </c>
      <c r="E41" s="947" t="s">
        <v>776</v>
      </c>
      <c r="F41" s="1048"/>
      <c r="G41" s="947">
        <f t="shared" si="4"/>
        <v>0</v>
      </c>
      <c r="H41" s="1048"/>
      <c r="I41" s="947">
        <f t="shared" si="5"/>
        <v>0</v>
      </c>
      <c r="J41" s="947">
        <v>18.2</v>
      </c>
    </row>
    <row r="42" spans="1:10" customFormat="1" x14ac:dyDescent="0.2">
      <c r="A42" s="947" t="s">
        <v>779</v>
      </c>
      <c r="B42" s="947" t="s">
        <v>774</v>
      </c>
      <c r="C42" s="947" t="s">
        <v>780</v>
      </c>
      <c r="D42" s="947">
        <v>3</v>
      </c>
      <c r="E42" s="947" t="s">
        <v>776</v>
      </c>
      <c r="F42" s="1048"/>
      <c r="G42" s="947">
        <f t="shared" si="4"/>
        <v>0</v>
      </c>
      <c r="H42" s="1048"/>
      <c r="I42" s="947">
        <f t="shared" si="5"/>
        <v>0</v>
      </c>
      <c r="J42" s="947">
        <v>18.2</v>
      </c>
    </row>
    <row r="43" spans="1:10" customFormat="1" x14ac:dyDescent="0.2">
      <c r="A43" s="947" t="s">
        <v>781</v>
      </c>
      <c r="B43" s="947" t="s">
        <v>774</v>
      </c>
      <c r="C43" s="947" t="s">
        <v>782</v>
      </c>
      <c r="D43" s="947">
        <v>0.5</v>
      </c>
      <c r="E43" s="947" t="s">
        <v>776</v>
      </c>
      <c r="F43" s="1048"/>
      <c r="G43" s="947">
        <f t="shared" si="4"/>
        <v>0</v>
      </c>
      <c r="H43" s="1048"/>
      <c r="I43" s="947">
        <f t="shared" si="5"/>
        <v>0</v>
      </c>
      <c r="J43" s="947">
        <v>4.5999999999999996</v>
      </c>
    </row>
    <row r="44" spans="1:10" customFormat="1" x14ac:dyDescent="0.2">
      <c r="A44" s="947" t="s">
        <v>783</v>
      </c>
      <c r="B44" s="947" t="s">
        <v>784</v>
      </c>
      <c r="C44" s="947" t="s">
        <v>785</v>
      </c>
      <c r="D44" s="947">
        <v>16</v>
      </c>
      <c r="E44" s="947" t="s">
        <v>776</v>
      </c>
      <c r="F44" s="1048"/>
      <c r="G44" s="947">
        <f t="shared" si="4"/>
        <v>0</v>
      </c>
      <c r="H44" s="1048"/>
      <c r="I44" s="947">
        <f t="shared" si="5"/>
        <v>0</v>
      </c>
      <c r="J44" s="947">
        <v>112</v>
      </c>
    </row>
    <row r="45" spans="1:10" customFormat="1" x14ac:dyDescent="0.2">
      <c r="A45" s="947" t="s">
        <v>786</v>
      </c>
      <c r="B45" s="947" t="s">
        <v>784</v>
      </c>
      <c r="C45" s="947" t="s">
        <v>787</v>
      </c>
      <c r="D45" s="947">
        <v>1.5</v>
      </c>
      <c r="E45" s="947" t="s">
        <v>776</v>
      </c>
      <c r="F45" s="1048"/>
      <c r="G45" s="947">
        <f t="shared" si="4"/>
        <v>0</v>
      </c>
      <c r="H45" s="1048"/>
      <c r="I45" s="947">
        <f t="shared" si="5"/>
        <v>0</v>
      </c>
      <c r="J45" s="947">
        <v>10.5</v>
      </c>
    </row>
    <row r="46" spans="1:10" customFormat="1" x14ac:dyDescent="0.2">
      <c r="A46" s="947" t="s">
        <v>788</v>
      </c>
      <c r="B46" s="947" t="s">
        <v>784</v>
      </c>
      <c r="C46" s="947" t="s">
        <v>789</v>
      </c>
      <c r="D46" s="947">
        <v>0.5</v>
      </c>
      <c r="E46" s="947" t="s">
        <v>776</v>
      </c>
      <c r="F46" s="1048"/>
      <c r="G46" s="947">
        <f t="shared" si="4"/>
        <v>0</v>
      </c>
      <c r="H46" s="1048"/>
      <c r="I46" s="947">
        <f t="shared" si="5"/>
        <v>0</v>
      </c>
      <c r="J46" s="947">
        <v>5.5</v>
      </c>
    </row>
    <row r="47" spans="1:10" customFormat="1" x14ac:dyDescent="0.2">
      <c r="A47" s="947" t="s">
        <v>790</v>
      </c>
      <c r="B47" s="947" t="s">
        <v>728</v>
      </c>
      <c r="C47" s="947" t="s">
        <v>729</v>
      </c>
      <c r="D47" s="947">
        <v>6</v>
      </c>
      <c r="E47" s="947" t="s">
        <v>275</v>
      </c>
      <c r="F47" s="1048"/>
      <c r="G47" s="947">
        <f t="shared" si="4"/>
        <v>0</v>
      </c>
      <c r="H47" s="1048"/>
      <c r="I47" s="947">
        <f t="shared" si="5"/>
        <v>0</v>
      </c>
      <c r="J47" s="947">
        <v>18</v>
      </c>
    </row>
    <row r="48" spans="1:10" customFormat="1" x14ac:dyDescent="0.2">
      <c r="A48" s="947" t="s">
        <v>791</v>
      </c>
      <c r="B48" s="947" t="s">
        <v>731</v>
      </c>
      <c r="C48" s="947" t="s">
        <v>732</v>
      </c>
      <c r="D48" s="947">
        <v>8</v>
      </c>
      <c r="E48" s="947" t="s">
        <v>275</v>
      </c>
      <c r="F48" s="1048"/>
      <c r="G48" s="947">
        <f t="shared" si="4"/>
        <v>0</v>
      </c>
      <c r="H48" s="1048"/>
      <c r="I48" s="947">
        <f t="shared" si="5"/>
        <v>0</v>
      </c>
      <c r="J48" s="947">
        <v>2.4</v>
      </c>
    </row>
    <row r="49" spans="1:13" customFormat="1" x14ac:dyDescent="0.2">
      <c r="A49" s="947" t="s">
        <v>792</v>
      </c>
      <c r="B49" s="947" t="s">
        <v>740</v>
      </c>
      <c r="C49" s="947" t="s">
        <v>741</v>
      </c>
      <c r="D49" s="947">
        <v>8</v>
      </c>
      <c r="E49" s="947" t="s">
        <v>275</v>
      </c>
      <c r="F49" s="1048"/>
      <c r="G49" s="947">
        <f t="shared" si="4"/>
        <v>0</v>
      </c>
      <c r="H49" s="1048"/>
      <c r="I49" s="947">
        <f t="shared" si="5"/>
        <v>0</v>
      </c>
      <c r="J49" s="947">
        <v>4</v>
      </c>
    </row>
    <row r="50" spans="1:13" customFormat="1" x14ac:dyDescent="0.2">
      <c r="A50" s="947" t="s">
        <v>793</v>
      </c>
      <c r="B50" s="947" t="s">
        <v>728</v>
      </c>
      <c r="C50" s="947" t="s">
        <v>794</v>
      </c>
      <c r="D50" s="947">
        <v>8</v>
      </c>
      <c r="E50" s="947" t="s">
        <v>275</v>
      </c>
      <c r="F50" s="1048"/>
      <c r="G50" s="947">
        <f t="shared" si="4"/>
        <v>0</v>
      </c>
      <c r="H50" s="1048"/>
      <c r="I50" s="947">
        <f t="shared" si="5"/>
        <v>0</v>
      </c>
      <c r="J50" s="947">
        <v>16</v>
      </c>
    </row>
    <row r="51" spans="1:13" customFormat="1" x14ac:dyDescent="0.2">
      <c r="A51" s="947" t="s">
        <v>795</v>
      </c>
      <c r="B51" s="947" t="s">
        <v>731</v>
      </c>
      <c r="C51" s="947" t="s">
        <v>747</v>
      </c>
      <c r="D51" s="947">
        <v>4</v>
      </c>
      <c r="E51" s="947" t="s">
        <v>275</v>
      </c>
      <c r="F51" s="1048"/>
      <c r="G51" s="947">
        <f t="shared" si="4"/>
        <v>0</v>
      </c>
      <c r="H51" s="1048"/>
      <c r="I51" s="947">
        <f t="shared" si="5"/>
        <v>0</v>
      </c>
      <c r="J51" s="947">
        <v>0.8</v>
      </c>
    </row>
    <row r="52" spans="1:13" customFormat="1" x14ac:dyDescent="0.2">
      <c r="A52" s="947" t="s">
        <v>796</v>
      </c>
      <c r="B52" s="947" t="s">
        <v>740</v>
      </c>
      <c r="C52" s="947" t="s">
        <v>743</v>
      </c>
      <c r="D52" s="947">
        <v>4</v>
      </c>
      <c r="E52" s="947" t="s">
        <v>275</v>
      </c>
      <c r="F52" s="1048"/>
      <c r="G52" s="947">
        <f t="shared" si="4"/>
        <v>0</v>
      </c>
      <c r="H52" s="1048"/>
      <c r="I52" s="947">
        <f t="shared" si="5"/>
        <v>0</v>
      </c>
      <c r="J52" s="947">
        <v>2</v>
      </c>
    </row>
    <row r="53" spans="1:13" s="674" customFormat="1" x14ac:dyDescent="0.2">
      <c r="A53" s="947" t="s">
        <v>797</v>
      </c>
      <c r="B53" s="947" t="s">
        <v>737</v>
      </c>
      <c r="C53" s="947" t="s">
        <v>798</v>
      </c>
      <c r="D53" s="947">
        <v>4</v>
      </c>
      <c r="E53" s="947" t="s">
        <v>275</v>
      </c>
      <c r="F53" s="1048"/>
      <c r="G53" s="947">
        <f>D53*F53</f>
        <v>0</v>
      </c>
      <c r="H53" s="1048"/>
      <c r="I53" s="947">
        <f>D53*H53</f>
        <v>0</v>
      </c>
      <c r="J53" s="947">
        <v>4</v>
      </c>
      <c r="K53"/>
      <c r="L53"/>
      <c r="M53"/>
    </row>
    <row r="54" spans="1:13" customFormat="1" x14ac:dyDescent="0.2">
      <c r="A54" s="947" t="s">
        <v>799</v>
      </c>
      <c r="B54" s="947"/>
      <c r="C54" s="947" t="s">
        <v>749</v>
      </c>
      <c r="D54" s="947">
        <v>145</v>
      </c>
      <c r="E54" s="947" t="s">
        <v>353</v>
      </c>
      <c r="F54" s="1048"/>
      <c r="G54" s="947">
        <f>D54*F54</f>
        <v>0</v>
      </c>
      <c r="H54" s="1048"/>
      <c r="I54" s="947">
        <f>D54*H54</f>
        <v>0</v>
      </c>
      <c r="J54" s="947">
        <v>145</v>
      </c>
      <c r="K54" s="674"/>
      <c r="L54" s="674"/>
      <c r="M54" s="674"/>
    </row>
    <row r="55" spans="1:13" customFormat="1" x14ac:dyDescent="0.2">
      <c r="A55" s="947" t="s">
        <v>800</v>
      </c>
      <c r="B55" s="947"/>
      <c r="C55" s="947" t="s">
        <v>751</v>
      </c>
      <c r="D55" s="947">
        <v>45</v>
      </c>
      <c r="E55" s="947" t="s">
        <v>353</v>
      </c>
      <c r="F55" s="1048"/>
      <c r="G55" s="947">
        <f>D55*F55</f>
        <v>0</v>
      </c>
      <c r="H55" s="1048"/>
      <c r="I55" s="947">
        <f>D55*H55</f>
        <v>0</v>
      </c>
      <c r="J55" s="947">
        <v>45</v>
      </c>
    </row>
    <row r="56" spans="1:13" customFormat="1" x14ac:dyDescent="0.2">
      <c r="A56" s="1047" t="s">
        <v>801</v>
      </c>
      <c r="B56" s="947" t="s">
        <v>753</v>
      </c>
      <c r="C56" s="947" t="s">
        <v>754</v>
      </c>
      <c r="D56" s="947">
        <v>7</v>
      </c>
      <c r="E56" s="947" t="s">
        <v>441</v>
      </c>
      <c r="F56" s="1048"/>
      <c r="G56" s="947">
        <f>D56*F56</f>
        <v>0</v>
      </c>
      <c r="H56" s="1048"/>
      <c r="I56" s="947">
        <f>D56*H56</f>
        <v>0</v>
      </c>
      <c r="J56" s="947">
        <v>30</v>
      </c>
      <c r="K56" s="674"/>
      <c r="L56" s="674"/>
      <c r="M56" s="674"/>
    </row>
    <row r="57" spans="1:13" customFormat="1" x14ac:dyDescent="0.2">
      <c r="A57" s="1047" t="s">
        <v>1429</v>
      </c>
      <c r="B57" s="947"/>
      <c r="C57" s="947" t="s">
        <v>1423</v>
      </c>
      <c r="D57" s="947">
        <v>8</v>
      </c>
      <c r="E57" s="947" t="s">
        <v>1424</v>
      </c>
      <c r="F57" s="1048"/>
      <c r="G57" s="947">
        <f>D57*F57</f>
        <v>0</v>
      </c>
      <c r="H57" s="1048"/>
      <c r="I57" s="947">
        <f>D57*H57</f>
        <v>0</v>
      </c>
      <c r="J57" s="947">
        <v>0</v>
      </c>
    </row>
    <row r="58" spans="1:13" customFormat="1" x14ac:dyDescent="0.2">
      <c r="A58" s="947"/>
      <c r="B58" s="947"/>
      <c r="C58" s="1045" t="s">
        <v>755</v>
      </c>
      <c r="D58" s="1045"/>
      <c r="E58" s="1045"/>
      <c r="F58" s="1045"/>
      <c r="G58" s="1046">
        <f>SUM(G29:G57)</f>
        <v>0</v>
      </c>
      <c r="H58" s="1045"/>
      <c r="I58" s="1046">
        <f>SUM(I29:I57)</f>
        <v>0</v>
      </c>
      <c r="J58" s="1046">
        <f>SUM(J29:J57)</f>
        <v>611.4</v>
      </c>
    </row>
    <row r="59" spans="1:13" customFormat="1" x14ac:dyDescent="0.2">
      <c r="A59" s="947"/>
      <c r="B59" s="947"/>
      <c r="C59" s="947"/>
      <c r="D59" s="947"/>
      <c r="E59" s="947"/>
      <c r="F59" s="947"/>
      <c r="G59" s="947"/>
      <c r="H59" s="947"/>
      <c r="I59" s="947"/>
      <c r="J59" s="947"/>
    </row>
    <row r="60" spans="1:13" customFormat="1" x14ac:dyDescent="0.2">
      <c r="A60" s="1045">
        <v>3</v>
      </c>
      <c r="B60" s="947"/>
      <c r="C60" s="1045" t="s">
        <v>802</v>
      </c>
      <c r="D60" s="1045"/>
      <c r="E60" s="1045"/>
      <c r="F60" s="1045"/>
      <c r="G60" s="1045"/>
      <c r="H60" s="1045"/>
      <c r="I60" s="1045"/>
      <c r="J60" s="1045"/>
    </row>
    <row r="61" spans="1:13" customFormat="1" x14ac:dyDescent="0.2">
      <c r="A61" s="947" t="s">
        <v>803</v>
      </c>
      <c r="B61" s="947" t="s">
        <v>720</v>
      </c>
      <c r="C61" s="947" t="s">
        <v>1425</v>
      </c>
      <c r="D61" s="947">
        <v>1</v>
      </c>
      <c r="E61" s="947" t="s">
        <v>275</v>
      </c>
      <c r="F61" s="1048"/>
      <c r="G61" s="947">
        <f t="shared" ref="G61:G84" si="6">D61*F61</f>
        <v>0</v>
      </c>
      <c r="H61" s="1048"/>
      <c r="I61" s="947">
        <f t="shared" ref="I61:I84" si="7">D61*H61</f>
        <v>0</v>
      </c>
      <c r="J61" s="947">
        <v>5.7</v>
      </c>
    </row>
    <row r="62" spans="1:13" customFormat="1" x14ac:dyDescent="0.2">
      <c r="A62" s="947"/>
      <c r="B62" s="947"/>
      <c r="C62" s="947" t="s">
        <v>1426</v>
      </c>
      <c r="D62" s="947"/>
      <c r="E62" s="947"/>
      <c r="F62" s="947"/>
      <c r="G62" s="947">
        <f t="shared" si="6"/>
        <v>0</v>
      </c>
      <c r="H62" s="947"/>
      <c r="I62" s="947">
        <f t="shared" si="7"/>
        <v>0</v>
      </c>
      <c r="J62" s="947"/>
    </row>
    <row r="63" spans="1:13" customFormat="1" x14ac:dyDescent="0.2">
      <c r="A63" s="947" t="s">
        <v>803</v>
      </c>
      <c r="B63" s="947" t="s">
        <v>720</v>
      </c>
      <c r="C63" s="947" t="s">
        <v>721</v>
      </c>
      <c r="D63" s="947">
        <v>1</v>
      </c>
      <c r="E63" s="947" t="s">
        <v>275</v>
      </c>
      <c r="F63" s="1048"/>
      <c r="G63" s="947">
        <f t="shared" si="6"/>
        <v>0</v>
      </c>
      <c r="H63" s="1048"/>
      <c r="I63" s="947">
        <f t="shared" si="7"/>
        <v>0</v>
      </c>
      <c r="J63" s="947">
        <v>1</v>
      </c>
    </row>
    <row r="64" spans="1:13" customFormat="1" x14ac:dyDescent="0.2">
      <c r="A64" s="947" t="s">
        <v>804</v>
      </c>
      <c r="B64" s="947"/>
      <c r="C64" s="947" t="s">
        <v>759</v>
      </c>
      <c r="D64" s="947">
        <v>2</v>
      </c>
      <c r="E64" s="947" t="s">
        <v>275</v>
      </c>
      <c r="F64" s="1048"/>
      <c r="G64" s="947">
        <f t="shared" si="6"/>
        <v>0</v>
      </c>
      <c r="H64" s="1048"/>
      <c r="I64" s="947">
        <f t="shared" si="7"/>
        <v>0</v>
      </c>
      <c r="J64" s="947">
        <v>2</v>
      </c>
    </row>
    <row r="65" spans="1:10" customFormat="1" x14ac:dyDescent="0.2">
      <c r="A65" s="947" t="s">
        <v>805</v>
      </c>
      <c r="B65" s="947" t="s">
        <v>725</v>
      </c>
      <c r="C65" s="947" t="s">
        <v>761</v>
      </c>
      <c r="D65" s="947">
        <v>2</v>
      </c>
      <c r="E65" s="947" t="s">
        <v>275</v>
      </c>
      <c r="F65" s="1048"/>
      <c r="G65" s="947">
        <f t="shared" si="6"/>
        <v>0</v>
      </c>
      <c r="H65" s="1048"/>
      <c r="I65" s="947">
        <f t="shared" si="7"/>
        <v>0</v>
      </c>
      <c r="J65" s="947">
        <v>16</v>
      </c>
    </row>
    <row r="66" spans="1:10" customFormat="1" x14ac:dyDescent="0.2">
      <c r="A66" s="947" t="s">
        <v>806</v>
      </c>
      <c r="B66" s="947" t="s">
        <v>728</v>
      </c>
      <c r="C66" s="947" t="s">
        <v>763</v>
      </c>
      <c r="D66" s="947">
        <v>1</v>
      </c>
      <c r="E66" s="947" t="s">
        <v>275</v>
      </c>
      <c r="F66" s="1048"/>
      <c r="G66" s="947">
        <f t="shared" si="6"/>
        <v>0</v>
      </c>
      <c r="H66" s="1048"/>
      <c r="I66" s="947">
        <f t="shared" si="7"/>
        <v>0</v>
      </c>
      <c r="J66" s="947">
        <v>3.2</v>
      </c>
    </row>
    <row r="67" spans="1:10" customFormat="1" x14ac:dyDescent="0.2">
      <c r="A67" s="947" t="s">
        <v>807</v>
      </c>
      <c r="B67" s="947" t="s">
        <v>737</v>
      </c>
      <c r="C67" s="947" t="s">
        <v>767</v>
      </c>
      <c r="D67" s="947">
        <v>1</v>
      </c>
      <c r="E67" s="947" t="s">
        <v>275</v>
      </c>
      <c r="F67" s="1048"/>
      <c r="G67" s="947">
        <f>D67*F67</f>
        <v>0</v>
      </c>
      <c r="H67" s="1048"/>
      <c r="I67" s="947">
        <f>D67*H67</f>
        <v>0</v>
      </c>
      <c r="J67" s="947">
        <v>2</v>
      </c>
    </row>
    <row r="68" spans="1:10" customFormat="1" x14ac:dyDescent="0.2">
      <c r="A68" s="947" t="s">
        <v>808</v>
      </c>
      <c r="B68" s="947" t="s">
        <v>731</v>
      </c>
      <c r="C68" s="947" t="s">
        <v>765</v>
      </c>
      <c r="D68" s="947">
        <v>3</v>
      </c>
      <c r="E68" s="947" t="s">
        <v>275</v>
      </c>
      <c r="F68" s="1048"/>
      <c r="G68" s="947">
        <f t="shared" si="6"/>
        <v>0</v>
      </c>
      <c r="H68" s="1048"/>
      <c r="I68" s="947">
        <f t="shared" si="7"/>
        <v>0</v>
      </c>
      <c r="J68" s="947">
        <v>3.3</v>
      </c>
    </row>
    <row r="69" spans="1:10" customFormat="1" x14ac:dyDescent="0.2">
      <c r="A69" s="947" t="s">
        <v>809</v>
      </c>
      <c r="B69" s="947" t="s">
        <v>731</v>
      </c>
      <c r="C69" s="1047" t="s">
        <v>1427</v>
      </c>
      <c r="D69" s="947">
        <v>4</v>
      </c>
      <c r="E69" s="947" t="s">
        <v>275</v>
      </c>
      <c r="F69" s="1048"/>
      <c r="G69" s="947">
        <f t="shared" si="6"/>
        <v>0</v>
      </c>
      <c r="H69" s="1048"/>
      <c r="I69" s="947">
        <f t="shared" si="7"/>
        <v>0</v>
      </c>
      <c r="J69" s="947">
        <v>2.2000000000000002</v>
      </c>
    </row>
    <row r="70" spans="1:10" customFormat="1" x14ac:dyDescent="0.2">
      <c r="A70" s="947" t="s">
        <v>810</v>
      </c>
      <c r="B70" s="947" t="s">
        <v>770</v>
      </c>
      <c r="C70" s="1047" t="s">
        <v>1428</v>
      </c>
      <c r="D70" s="947">
        <v>1</v>
      </c>
      <c r="E70" s="947" t="s">
        <v>275</v>
      </c>
      <c r="F70" s="1048"/>
      <c r="G70" s="947">
        <f t="shared" si="6"/>
        <v>0</v>
      </c>
      <c r="H70" s="1048"/>
      <c r="I70" s="947">
        <f t="shared" si="7"/>
        <v>0</v>
      </c>
      <c r="J70" s="947">
        <v>4</v>
      </c>
    </row>
    <row r="71" spans="1:10" customFormat="1" x14ac:dyDescent="0.2">
      <c r="A71" s="947" t="s">
        <v>811</v>
      </c>
      <c r="B71" s="947" t="s">
        <v>728</v>
      </c>
      <c r="C71" s="947" t="s">
        <v>772</v>
      </c>
      <c r="D71" s="947">
        <v>1</v>
      </c>
      <c r="E71" s="947" t="s">
        <v>275</v>
      </c>
      <c r="F71" s="1048"/>
      <c r="G71" s="947">
        <f t="shared" si="6"/>
        <v>0</v>
      </c>
      <c r="H71" s="1048"/>
      <c r="I71" s="947">
        <f t="shared" si="7"/>
        <v>0</v>
      </c>
      <c r="J71" s="947">
        <v>5.2</v>
      </c>
    </row>
    <row r="72" spans="1:10" customFormat="1" x14ac:dyDescent="0.2">
      <c r="A72" s="947" t="s">
        <v>812</v>
      </c>
      <c r="B72" s="947" t="s">
        <v>774</v>
      </c>
      <c r="C72" s="947" t="s">
        <v>775</v>
      </c>
      <c r="D72" s="947">
        <v>8</v>
      </c>
      <c r="E72" s="947" t="s">
        <v>776</v>
      </c>
      <c r="F72" s="1048"/>
      <c r="G72" s="947">
        <f t="shared" si="6"/>
        <v>0</v>
      </c>
      <c r="H72" s="1048"/>
      <c r="I72" s="947">
        <f t="shared" si="7"/>
        <v>0</v>
      </c>
      <c r="J72" s="947">
        <v>118.3</v>
      </c>
    </row>
    <row r="73" spans="1:10" customFormat="1" x14ac:dyDescent="0.2">
      <c r="A73" s="947" t="s">
        <v>813</v>
      </c>
      <c r="B73" s="947" t="s">
        <v>774</v>
      </c>
      <c r="C73" s="947" t="s">
        <v>778</v>
      </c>
      <c r="D73" s="947">
        <v>2</v>
      </c>
      <c r="E73" s="947" t="s">
        <v>776</v>
      </c>
      <c r="F73" s="1048"/>
      <c r="G73" s="947">
        <f t="shared" si="6"/>
        <v>0</v>
      </c>
      <c r="H73" s="1048"/>
      <c r="I73" s="947">
        <f t="shared" si="7"/>
        <v>0</v>
      </c>
      <c r="J73" s="947">
        <v>18.2</v>
      </c>
    </row>
    <row r="74" spans="1:10" customFormat="1" x14ac:dyDescent="0.2">
      <c r="A74" s="947" t="s">
        <v>814</v>
      </c>
      <c r="B74" s="947" t="s">
        <v>774</v>
      </c>
      <c r="C74" s="947" t="s">
        <v>780</v>
      </c>
      <c r="D74" s="947">
        <v>1</v>
      </c>
      <c r="E74" s="947" t="s">
        <v>776</v>
      </c>
      <c r="F74" s="1048"/>
      <c r="G74" s="947">
        <f t="shared" si="6"/>
        <v>0</v>
      </c>
      <c r="H74" s="1048"/>
      <c r="I74" s="947">
        <f t="shared" si="7"/>
        <v>0</v>
      </c>
      <c r="J74" s="947">
        <v>18.2</v>
      </c>
    </row>
    <row r="75" spans="1:10" customFormat="1" x14ac:dyDescent="0.2">
      <c r="A75" s="947" t="s">
        <v>815</v>
      </c>
      <c r="B75" s="947" t="s">
        <v>774</v>
      </c>
      <c r="C75" s="947" t="s">
        <v>782</v>
      </c>
      <c r="D75" s="947">
        <v>0.5</v>
      </c>
      <c r="E75" s="947" t="s">
        <v>776</v>
      </c>
      <c r="F75" s="1048"/>
      <c r="G75" s="947">
        <f t="shared" si="6"/>
        <v>0</v>
      </c>
      <c r="H75" s="1048"/>
      <c r="I75" s="947">
        <f t="shared" si="7"/>
        <v>0</v>
      </c>
      <c r="J75" s="947">
        <v>4.5999999999999996</v>
      </c>
    </row>
    <row r="76" spans="1:10" customFormat="1" x14ac:dyDescent="0.2">
      <c r="A76" s="947" t="s">
        <v>816</v>
      </c>
      <c r="B76" s="947" t="s">
        <v>784</v>
      </c>
      <c r="C76" s="947" t="s">
        <v>785</v>
      </c>
      <c r="D76" s="947">
        <v>20</v>
      </c>
      <c r="E76" s="947" t="s">
        <v>776</v>
      </c>
      <c r="F76" s="1048"/>
      <c r="G76" s="947">
        <f t="shared" si="6"/>
        <v>0</v>
      </c>
      <c r="H76" s="1048"/>
      <c r="I76" s="947">
        <f t="shared" si="7"/>
        <v>0</v>
      </c>
      <c r="J76" s="947">
        <v>112</v>
      </c>
    </row>
    <row r="77" spans="1:10" customFormat="1" x14ac:dyDescent="0.2">
      <c r="A77" s="947" t="s">
        <v>817</v>
      </c>
      <c r="B77" s="947" t="s">
        <v>784</v>
      </c>
      <c r="C77" s="947" t="s">
        <v>787</v>
      </c>
      <c r="D77" s="947">
        <v>1.5</v>
      </c>
      <c r="E77" s="947" t="s">
        <v>776</v>
      </c>
      <c r="F77" s="1048"/>
      <c r="G77" s="947">
        <f t="shared" si="6"/>
        <v>0</v>
      </c>
      <c r="H77" s="1048"/>
      <c r="I77" s="947">
        <f t="shared" si="7"/>
        <v>0</v>
      </c>
      <c r="J77" s="947">
        <v>10.5</v>
      </c>
    </row>
    <row r="78" spans="1:10" customFormat="1" x14ac:dyDescent="0.2">
      <c r="A78" s="947" t="s">
        <v>818</v>
      </c>
      <c r="B78" s="947" t="s">
        <v>784</v>
      </c>
      <c r="C78" s="947" t="s">
        <v>789</v>
      </c>
      <c r="D78" s="947">
        <v>0.5</v>
      </c>
      <c r="E78" s="947" t="s">
        <v>776</v>
      </c>
      <c r="F78" s="1048"/>
      <c r="G78" s="947">
        <f t="shared" si="6"/>
        <v>0</v>
      </c>
      <c r="H78" s="1048"/>
      <c r="I78" s="947">
        <f t="shared" si="7"/>
        <v>0</v>
      </c>
      <c r="J78" s="947">
        <v>5.5</v>
      </c>
    </row>
    <row r="79" spans="1:10" customFormat="1" x14ac:dyDescent="0.2">
      <c r="A79" s="947" t="s">
        <v>819</v>
      </c>
      <c r="B79" s="947" t="s">
        <v>728</v>
      </c>
      <c r="C79" s="947" t="s">
        <v>729</v>
      </c>
      <c r="D79" s="947">
        <v>4</v>
      </c>
      <c r="E79" s="947" t="s">
        <v>275</v>
      </c>
      <c r="F79" s="1048"/>
      <c r="G79" s="947">
        <f t="shared" si="6"/>
        <v>0</v>
      </c>
      <c r="H79" s="1048"/>
      <c r="I79" s="947">
        <f t="shared" si="7"/>
        <v>0</v>
      </c>
      <c r="J79" s="947">
        <v>24</v>
      </c>
    </row>
    <row r="80" spans="1:10" customFormat="1" x14ac:dyDescent="0.2">
      <c r="A80" s="947" t="s">
        <v>820</v>
      </c>
      <c r="B80" s="947" t="s">
        <v>731</v>
      </c>
      <c r="C80" s="947" t="s">
        <v>821</v>
      </c>
      <c r="D80" s="947">
        <v>7</v>
      </c>
      <c r="E80" s="947" t="s">
        <v>275</v>
      </c>
      <c r="F80" s="1048"/>
      <c r="G80" s="947">
        <f t="shared" si="6"/>
        <v>0</v>
      </c>
      <c r="H80" s="1048"/>
      <c r="I80" s="947">
        <f t="shared" si="7"/>
        <v>0</v>
      </c>
      <c r="J80" s="947">
        <v>2.8</v>
      </c>
    </row>
    <row r="81" spans="1:13" customFormat="1" x14ac:dyDescent="0.2">
      <c r="A81" s="947" t="s">
        <v>822</v>
      </c>
      <c r="B81" s="947" t="s">
        <v>740</v>
      </c>
      <c r="C81" s="947" t="s">
        <v>741</v>
      </c>
      <c r="D81" s="947">
        <v>7</v>
      </c>
      <c r="E81" s="947" t="s">
        <v>275</v>
      </c>
      <c r="F81" s="1048"/>
      <c r="G81" s="947">
        <f t="shared" si="6"/>
        <v>0</v>
      </c>
      <c r="H81" s="1048"/>
      <c r="I81" s="947">
        <f t="shared" si="7"/>
        <v>0</v>
      </c>
      <c r="J81" s="947">
        <v>3</v>
      </c>
    </row>
    <row r="82" spans="1:13" customFormat="1" x14ac:dyDescent="0.2">
      <c r="A82" s="947" t="s">
        <v>823</v>
      </c>
      <c r="B82" s="947" t="s">
        <v>728</v>
      </c>
      <c r="C82" s="947" t="s">
        <v>745</v>
      </c>
      <c r="D82" s="947">
        <v>2</v>
      </c>
      <c r="E82" s="947" t="s">
        <v>275</v>
      </c>
      <c r="F82" s="1048"/>
      <c r="G82" s="947">
        <f t="shared" si="6"/>
        <v>0</v>
      </c>
      <c r="H82" s="1048"/>
      <c r="I82" s="947">
        <f t="shared" si="7"/>
        <v>0</v>
      </c>
      <c r="J82" s="947">
        <v>7.5</v>
      </c>
    </row>
    <row r="83" spans="1:13" s="674" customFormat="1" x14ac:dyDescent="0.2">
      <c r="A83" s="947" t="s">
        <v>824</v>
      </c>
      <c r="B83" s="947" t="s">
        <v>731</v>
      </c>
      <c r="C83" s="947" t="s">
        <v>747</v>
      </c>
      <c r="D83" s="947">
        <v>4</v>
      </c>
      <c r="E83" s="947" t="s">
        <v>275</v>
      </c>
      <c r="F83" s="1048"/>
      <c r="G83" s="947">
        <f t="shared" si="6"/>
        <v>0</v>
      </c>
      <c r="H83" s="1048"/>
      <c r="I83" s="947">
        <f t="shared" si="7"/>
        <v>0</v>
      </c>
      <c r="J83" s="947">
        <v>2</v>
      </c>
      <c r="K83"/>
      <c r="L83"/>
      <c r="M83"/>
    </row>
    <row r="84" spans="1:13" customFormat="1" x14ac:dyDescent="0.2">
      <c r="A84" s="947" t="s">
        <v>825</v>
      </c>
      <c r="B84" s="947" t="s">
        <v>740</v>
      </c>
      <c r="C84" s="947" t="s">
        <v>743</v>
      </c>
      <c r="D84" s="947">
        <v>2</v>
      </c>
      <c r="E84" s="947" t="s">
        <v>275</v>
      </c>
      <c r="F84" s="1048"/>
      <c r="G84" s="947">
        <f t="shared" si="6"/>
        <v>0</v>
      </c>
      <c r="H84" s="1048"/>
      <c r="I84" s="947">
        <f t="shared" si="7"/>
        <v>0</v>
      </c>
      <c r="J84" s="947">
        <v>1</v>
      </c>
      <c r="K84" s="674"/>
      <c r="L84" s="674"/>
      <c r="M84" s="674"/>
    </row>
    <row r="85" spans="1:13" x14ac:dyDescent="0.2">
      <c r="A85" s="947" t="s">
        <v>826</v>
      </c>
      <c r="B85" s="947" t="s">
        <v>737</v>
      </c>
      <c r="C85" s="947" t="s">
        <v>798</v>
      </c>
      <c r="D85" s="947">
        <v>1</v>
      </c>
      <c r="E85" s="947" t="s">
        <v>275</v>
      </c>
      <c r="F85" s="1048"/>
      <c r="G85" s="947">
        <f>D85*F85</f>
        <v>0</v>
      </c>
      <c r="H85" s="1048"/>
      <c r="I85" s="947">
        <f>D85*H85</f>
        <v>0</v>
      </c>
      <c r="J85" s="947">
        <v>1</v>
      </c>
    </row>
    <row r="86" spans="1:13" x14ac:dyDescent="0.2">
      <c r="A86" s="947" t="s">
        <v>827</v>
      </c>
      <c r="B86" s="947"/>
      <c r="C86" s="947" t="s">
        <v>749</v>
      </c>
      <c r="D86" s="947">
        <v>170</v>
      </c>
      <c r="E86" s="947" t="s">
        <v>353</v>
      </c>
      <c r="F86" s="1048"/>
      <c r="G86" s="947">
        <f>D86*F86</f>
        <v>0</v>
      </c>
      <c r="H86" s="1048"/>
      <c r="I86" s="947">
        <f>D86*H86</f>
        <v>0</v>
      </c>
      <c r="J86" s="947">
        <v>170</v>
      </c>
    </row>
    <row r="87" spans="1:13" x14ac:dyDescent="0.2">
      <c r="A87" s="947" t="s">
        <v>828</v>
      </c>
      <c r="B87" s="947"/>
      <c r="C87" s="947" t="s">
        <v>751</v>
      </c>
      <c r="D87" s="947">
        <v>55</v>
      </c>
      <c r="E87" s="947" t="s">
        <v>353</v>
      </c>
      <c r="F87" s="1048"/>
      <c r="G87" s="947">
        <f>D87*F87</f>
        <v>0</v>
      </c>
      <c r="H87" s="1048"/>
      <c r="I87" s="947">
        <f>D87*H87</f>
        <v>0</v>
      </c>
      <c r="J87" s="947">
        <v>55</v>
      </c>
    </row>
    <row r="88" spans="1:13" x14ac:dyDescent="0.2">
      <c r="A88" s="1047" t="s">
        <v>829</v>
      </c>
      <c r="B88" s="947" t="s">
        <v>753</v>
      </c>
      <c r="C88" s="947" t="s">
        <v>754</v>
      </c>
      <c r="D88" s="947">
        <v>9</v>
      </c>
      <c r="E88" s="947" t="s">
        <v>441</v>
      </c>
      <c r="F88" s="1048"/>
      <c r="G88" s="947">
        <f>D88*F88</f>
        <v>0</v>
      </c>
      <c r="H88" s="1048"/>
      <c r="I88" s="947">
        <f>D88*H88</f>
        <v>0</v>
      </c>
      <c r="J88" s="947">
        <v>39</v>
      </c>
    </row>
    <row r="89" spans="1:13" x14ac:dyDescent="0.2">
      <c r="A89" s="1047" t="s">
        <v>1430</v>
      </c>
      <c r="B89" s="947"/>
      <c r="C89" s="947" t="s">
        <v>1423</v>
      </c>
      <c r="D89" s="947">
        <v>6</v>
      </c>
      <c r="E89" s="947" t="s">
        <v>1424</v>
      </c>
      <c r="F89" s="1048"/>
      <c r="G89" s="947">
        <f>D89*F89</f>
        <v>0</v>
      </c>
      <c r="H89" s="1048"/>
      <c r="I89" s="947">
        <f>D89*H89</f>
        <v>0</v>
      </c>
      <c r="J89" s="947">
        <v>0</v>
      </c>
    </row>
    <row r="90" spans="1:13" x14ac:dyDescent="0.2">
      <c r="A90" s="947"/>
      <c r="B90" s="947"/>
      <c r="C90" s="1045" t="s">
        <v>755</v>
      </c>
      <c r="D90" s="1045"/>
      <c r="E90" s="1045"/>
      <c r="F90" s="1045"/>
      <c r="G90" s="1046">
        <f>SUM(G61:G89)</f>
        <v>0</v>
      </c>
      <c r="H90" s="1045"/>
      <c r="I90" s="1046">
        <f>SUM(I61:I89)</f>
        <v>0</v>
      </c>
      <c r="J90" s="1046">
        <f>SUM(J61:J89)</f>
        <v>637.20000000000005</v>
      </c>
    </row>
    <row r="91" spans="1:13" x14ac:dyDescent="0.2">
      <c r="A91" s="947"/>
      <c r="B91" s="947"/>
      <c r="C91" s="947"/>
      <c r="D91" s="947"/>
      <c r="E91" s="947"/>
      <c r="F91" s="947"/>
      <c r="G91" s="947"/>
      <c r="H91" s="947"/>
      <c r="I91" s="947"/>
      <c r="J91" s="947"/>
    </row>
  </sheetData>
  <autoFilter ref="A7:J91"/>
  <customSheetViews>
    <customSheetView guid="{30B10D60-758F-4E0B-9F03-5879C6CAFDF6}" scale="130" showPageBreaks="1" printArea="1" showAutoFilter="1" view="pageBreakPreview">
      <pane ySplit="7" topLeftCell="A8" activePane="bottomLeft" state="frozen"/>
      <selection pane="bottomLeft" activeCell="M16" sqref="M16"/>
      <pageMargins left="0.51181102362204722" right="0.51181102362204722" top="0.59055118110236227" bottom="0.59055118110236227" header="0.31496062992125984" footer="0.31496062992125984"/>
      <pageSetup paperSize="9" orientation="landscape" r:id="rId1"/>
      <headerFooter>
        <oddFooter>&amp;Cvzduchotechnika&amp;Rstranka &amp;P z &amp;N</oddFooter>
      </headerFooter>
      <autoFilter ref="A7:J91"/>
    </customSheetView>
  </customSheetViews>
  <mergeCells count="1">
    <mergeCell ref="A4:I4"/>
  </mergeCells>
  <phoneticPr fontId="73" type="noConversion"/>
  <pageMargins left="0.51181102362204722" right="0.51181102362204722" top="0.59055118110236227" bottom="0.59055118110236227" header="0.31496062992125984" footer="0.31496062992125984"/>
  <pageSetup paperSize="9" orientation="landscape" r:id="rId2"/>
  <headerFooter>
    <oddFooter>&amp;Cvzduchotechnika&amp;Rstranka &amp;P z 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G50"/>
  <sheetViews>
    <sheetView view="pageBreakPreview" zoomScale="160" zoomScaleNormal="100" zoomScaleSheetLayoutView="160" workbookViewId="0"/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7109375" customWidth="1"/>
    <col min="7" max="7" width="19.85546875" customWidth="1"/>
    <col min="8" max="8" width="16.7109375" customWidth="1"/>
    <col min="9" max="9" width="3.570312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08" t="str">
        <f>'SO01 Krycí list'!C4:G4</f>
        <v>Rekonstrukce oddělení ortopedie</v>
      </c>
      <c r="D4" s="1209"/>
      <c r="E4" s="1209"/>
      <c r="F4" s="1209"/>
      <c r="G4" s="1210"/>
      <c r="H4" s="938" t="s">
        <v>621</v>
      </c>
      <c r="I4" s="84"/>
    </row>
    <row r="5" spans="1:59" ht="17.45" customHeight="1" x14ac:dyDescent="0.2">
      <c r="A5" s="85"/>
      <c r="B5" s="86"/>
      <c r="C5" s="1208" t="str">
        <f>'SO01 Krycí list'!C5:G5</f>
        <v>v pavilonu "B" nemocnice Šumperk</v>
      </c>
      <c r="D5" s="1209"/>
      <c r="E5" s="1209"/>
      <c r="F5" s="1209"/>
      <c r="G5" s="1210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208" t="str">
        <f>'SO01 Krycí list'!C7:G7</f>
        <v>SO 01 Vlastní objekt</v>
      </c>
      <c r="D7" s="1209"/>
      <c r="E7" s="1209"/>
      <c r="F7" s="1209"/>
      <c r="G7" s="1210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324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651" t="s">
        <v>619</v>
      </c>
      <c r="B10" s="91"/>
      <c r="C10" s="1156" t="str">
        <f>'SO01 Krycí list'!C10:E10</f>
        <v>Město Šumperk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156" t="str">
        <f>'SO01 Krycí list'!C11:E11</f>
        <v>Nemocnice Šumperk a.s.</v>
      </c>
      <c r="D11" s="1156"/>
      <c r="E11" s="1156"/>
      <c r="F11" s="100"/>
      <c r="G11" s="92" t="s">
        <v>96</v>
      </c>
      <c r="H11" s="91"/>
      <c r="I11" s="101">
        <f>IF(PocetMJ=0,,ROUND((H41+H43)/PocetMJ,1))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189"/>
      <c r="I13" s="1228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32"/>
      <c r="H14" s="1233"/>
      <c r="I14" s="1234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'05rek'!E23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'05rek'!F23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397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'05rek'!G23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'05rek'!H23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'05rek'!I23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128">
        <f>SUM(D21:D24)</f>
        <v>0</v>
      </c>
      <c r="E25" s="129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x14ac:dyDescent="0.2">
      <c r="A26" s="130" t="s">
        <v>123</v>
      </c>
      <c r="B26" s="131"/>
      <c r="C26" s="1181" t="s">
        <v>101</v>
      </c>
      <c r="D26" s="1182"/>
      <c r="E26" s="1183"/>
      <c r="F26" s="119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44" t="s">
        <v>370</v>
      </c>
      <c r="D27" s="1158"/>
      <c r="E27" s="1159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222"/>
      <c r="D34" s="1167"/>
      <c r="E34" s="1168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69"/>
      <c r="D35" s="1170"/>
      <c r="E35" s="1171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75"/>
      <c r="D36" s="1176"/>
      <c r="E36" s="1177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72"/>
      <c r="D37" s="1173"/>
      <c r="E37" s="1174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x14ac:dyDescent="0.2">
      <c r="A38" s="54" t="s">
        <v>137</v>
      </c>
      <c r="B38" s="29"/>
      <c r="C38" s="29"/>
      <c r="D38" s="29"/>
      <c r="E38" s="29"/>
      <c r="F38" s="91"/>
      <c r="G38" s="91"/>
      <c r="H38" s="91"/>
      <c r="I38" s="93"/>
    </row>
    <row r="39" spans="1:9" x14ac:dyDescent="0.2">
      <c r="A39" s="54"/>
      <c r="B39" s="1235" t="s">
        <v>319</v>
      </c>
      <c r="C39" s="1235"/>
      <c r="D39" s="1235"/>
      <c r="E39" s="1235"/>
      <c r="F39" s="1235"/>
      <c r="G39" s="1235"/>
      <c r="H39" s="1235"/>
      <c r="I39" s="84"/>
    </row>
    <row r="40" spans="1:9" x14ac:dyDescent="0.2">
      <c r="A40" s="54"/>
      <c r="B40" s="1235"/>
      <c r="C40" s="1235"/>
      <c r="D40" s="1235"/>
      <c r="E40" s="1235"/>
      <c r="F40" s="1235"/>
      <c r="G40" s="1235"/>
      <c r="H40" s="1235"/>
      <c r="I40" s="84"/>
    </row>
    <row r="41" spans="1:9" x14ac:dyDescent="0.2">
      <c r="A41" s="54"/>
      <c r="B41" s="1235"/>
      <c r="C41" s="1235"/>
      <c r="D41" s="1235"/>
      <c r="E41" s="1235"/>
      <c r="F41" s="1235"/>
      <c r="G41" s="1235"/>
      <c r="H41" s="1235"/>
      <c r="I41" s="84"/>
    </row>
    <row r="42" spans="1:9" x14ac:dyDescent="0.2">
      <c r="A42" s="54"/>
      <c r="B42" s="1235"/>
      <c r="C42" s="1235"/>
      <c r="D42" s="1235"/>
      <c r="E42" s="1235"/>
      <c r="F42" s="1235"/>
      <c r="G42" s="1235"/>
      <c r="H42" s="1235"/>
      <c r="I42" s="84"/>
    </row>
    <row r="43" spans="1:9" ht="39.75" customHeight="1" x14ac:dyDescent="0.2">
      <c r="A43" s="54"/>
      <c r="B43" s="1235"/>
      <c r="C43" s="1235"/>
      <c r="D43" s="1235"/>
      <c r="E43" s="1235"/>
      <c r="F43" s="1235"/>
      <c r="G43" s="1235"/>
      <c r="H43" s="1235"/>
      <c r="I43" s="84"/>
    </row>
    <row r="44" spans="1:9" ht="8.25" customHeight="1" thickBot="1" x14ac:dyDescent="0.25">
      <c r="A44" s="147"/>
      <c r="B44" s="148"/>
      <c r="C44" s="148"/>
      <c r="D44" s="148"/>
      <c r="E44" s="148"/>
      <c r="F44" s="148"/>
      <c r="G44" s="148"/>
      <c r="H44" s="148"/>
      <c r="I44" s="149"/>
    </row>
    <row r="47" spans="1:9" x14ac:dyDescent="0.2">
      <c r="B47" s="332"/>
    </row>
    <row r="48" spans="1:9" x14ac:dyDescent="0.2">
      <c r="B48" s="332"/>
    </row>
    <row r="49" spans="2:2" x14ac:dyDescent="0.2">
      <c r="B49" s="333"/>
    </row>
    <row r="50" spans="2:2" x14ac:dyDescent="0.2">
      <c r="B50" s="332"/>
    </row>
  </sheetData>
  <customSheetViews>
    <customSheetView guid="{30B10D60-758F-4E0B-9F03-5879C6CAFDF6}" scale="160" showPageBreak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0">
    <mergeCell ref="C4:G4"/>
    <mergeCell ref="C5:G5"/>
    <mergeCell ref="C7:G7"/>
    <mergeCell ref="C9:G9"/>
    <mergeCell ref="C10:E10"/>
    <mergeCell ref="C30:E30"/>
    <mergeCell ref="C26:E26"/>
    <mergeCell ref="C28:D28"/>
    <mergeCell ref="C29:E29"/>
    <mergeCell ref="F29:G29"/>
    <mergeCell ref="B39:H43"/>
    <mergeCell ref="C31:E31"/>
    <mergeCell ref="C32:E32"/>
    <mergeCell ref="C33:E33"/>
    <mergeCell ref="C34:E34"/>
    <mergeCell ref="C35:E35"/>
    <mergeCell ref="C37:E37"/>
    <mergeCell ref="C36:E36"/>
    <mergeCell ref="H5:I5"/>
    <mergeCell ref="H6:I6"/>
    <mergeCell ref="H7:I7"/>
    <mergeCell ref="C27:E27"/>
    <mergeCell ref="C11:E11"/>
    <mergeCell ref="C12:E12"/>
    <mergeCell ref="D13:E13"/>
    <mergeCell ref="H13:I13"/>
    <mergeCell ref="B14:E14"/>
    <mergeCell ref="G14:I14"/>
    <mergeCell ref="A16:E16"/>
    <mergeCell ref="F16:I16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59393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9393" r:id="rId5"/>
      </mc:Fallback>
    </mc:AlternateContent>
    <mc:AlternateContent xmlns:mc="http://schemas.openxmlformats.org/markup-compatibility/2006">
      <mc:Choice Requires="x14">
        <oleObject progId="Word.Picture.6" shapeId="59394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59394" r:id="rId7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C33"/>
  <sheetViews>
    <sheetView view="pageBreakPreview" zoomScale="160" zoomScaleNormal="100" zoomScaleSheetLayoutView="160" workbookViewId="0"/>
  </sheetViews>
  <sheetFormatPr defaultRowHeight="12.75" x14ac:dyDescent="0.2"/>
  <cols>
    <col min="1" max="1" width="4.28515625" customWidth="1"/>
    <col min="2" max="2" width="6.140625" customWidth="1"/>
    <col min="3" max="3" width="11.42578125" customWidth="1"/>
    <col min="4" max="4" width="7.42578125" customWidth="1"/>
    <col min="5" max="9" width="11.7109375" customWidth="1"/>
    <col min="11" max="50" width="0" hidden="1" customWidth="1"/>
  </cols>
  <sheetData>
    <row r="1" spans="1:55" s="11" customFormat="1" ht="16.5" customHeight="1" thickTop="1" x14ac:dyDescent="0.25">
      <c r="A1" s="367" t="s">
        <v>49</v>
      </c>
      <c r="B1" s="368"/>
      <c r="C1" s="1236" t="str">
        <f>'SO01 Krycí list'!C4:G4</f>
        <v>Rekonstrukce oddělení ortopedie</v>
      </c>
      <c r="D1" s="1237"/>
      <c r="E1" s="1237"/>
      <c r="F1" s="1237"/>
      <c r="G1" s="1237"/>
      <c r="H1" s="1237"/>
      <c r="I1" s="1238"/>
    </row>
    <row r="2" spans="1:55" s="11" customFormat="1" ht="16.5" customHeight="1" x14ac:dyDescent="0.25">
      <c r="A2" s="334"/>
      <c r="B2" s="335"/>
      <c r="C2" s="1239" t="str">
        <f>'SO01 Krycí list'!C5:G5</f>
        <v>v pavilonu "B" nemocnice Šumperk</v>
      </c>
      <c r="D2" s="1240"/>
      <c r="E2" s="1240"/>
      <c r="F2" s="1240"/>
      <c r="G2" s="1240"/>
      <c r="H2" s="1240"/>
      <c r="I2" s="1241"/>
    </row>
    <row r="3" spans="1:55" ht="12.75" customHeight="1" x14ac:dyDescent="0.2">
      <c r="A3" s="275" t="s">
        <v>50</v>
      </c>
      <c r="B3" s="276"/>
      <c r="C3" s="282" t="str">
        <f>'SO01 Krycí list'!C7:G7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">
        <v>324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x14ac:dyDescent="0.2">
      <c r="A9" s="369" t="s">
        <v>371</v>
      </c>
      <c r="B9" s="31" t="s">
        <v>372</v>
      </c>
      <c r="C9" s="267"/>
      <c r="D9" s="263"/>
      <c r="E9" s="34" t="s">
        <v>63</v>
      </c>
      <c r="F9" s="34">
        <f>'05pol'!G26</f>
        <v>0</v>
      </c>
      <c r="G9" s="35" t="s">
        <v>63</v>
      </c>
      <c r="H9" s="35" t="s">
        <v>63</v>
      </c>
      <c r="I9" s="35" t="s">
        <v>63</v>
      </c>
      <c r="BC9" s="269"/>
    </row>
    <row r="10" spans="1:55" s="268" customFormat="1" x14ac:dyDescent="0.2">
      <c r="A10" s="370" t="s">
        <v>373</v>
      </c>
      <c r="B10" s="36" t="s">
        <v>374</v>
      </c>
      <c r="C10" s="270"/>
      <c r="D10" s="264"/>
      <c r="E10" s="34" t="s">
        <v>63</v>
      </c>
      <c r="F10" s="34">
        <f>'05pol'!G52</f>
        <v>0</v>
      </c>
      <c r="G10" s="34" t="s">
        <v>63</v>
      </c>
      <c r="H10" s="34" t="s">
        <v>63</v>
      </c>
      <c r="I10" s="38" t="s">
        <v>63</v>
      </c>
      <c r="BC10" s="269"/>
    </row>
    <row r="11" spans="1:55" s="268" customFormat="1" x14ac:dyDescent="0.2">
      <c r="A11" s="370" t="s">
        <v>375</v>
      </c>
      <c r="B11" s="36" t="s">
        <v>376</v>
      </c>
      <c r="C11" s="270"/>
      <c r="D11" s="264"/>
      <c r="E11" s="34" t="s">
        <v>63</v>
      </c>
      <c r="F11" s="34">
        <f>'05pol'!G95</f>
        <v>0</v>
      </c>
      <c r="G11" s="34" t="s">
        <v>63</v>
      </c>
      <c r="H11" s="34" t="s">
        <v>63</v>
      </c>
      <c r="I11" s="38" t="s">
        <v>63</v>
      </c>
      <c r="BC11" s="269"/>
    </row>
    <row r="12" spans="1:55" s="268" customFormat="1" x14ac:dyDescent="0.2">
      <c r="A12" s="370" t="s">
        <v>377</v>
      </c>
      <c r="B12" s="36" t="s">
        <v>378</v>
      </c>
      <c r="C12" s="270"/>
      <c r="D12" s="264"/>
      <c r="E12" s="34" t="s">
        <v>63</v>
      </c>
      <c r="F12" s="34">
        <f>'05pol'!G140</f>
        <v>0</v>
      </c>
      <c r="G12" s="34" t="s">
        <v>63</v>
      </c>
      <c r="H12" s="34" t="s">
        <v>63</v>
      </c>
      <c r="I12" s="38" t="s">
        <v>63</v>
      </c>
    </row>
    <row r="13" spans="1:55" s="268" customFormat="1" x14ac:dyDescent="0.2">
      <c r="A13" s="370" t="s">
        <v>379</v>
      </c>
      <c r="B13" s="36" t="s">
        <v>380</v>
      </c>
      <c r="C13" s="270"/>
      <c r="D13" s="264"/>
      <c r="E13" s="34" t="s">
        <v>63</v>
      </c>
      <c r="F13" s="34">
        <f>'05pol'!G145</f>
        <v>0</v>
      </c>
      <c r="G13" s="34" t="s">
        <v>63</v>
      </c>
      <c r="H13" s="34" t="s">
        <v>63</v>
      </c>
      <c r="I13" s="38" t="s">
        <v>63</v>
      </c>
    </row>
    <row r="14" spans="1:55" s="268" customFormat="1" x14ac:dyDescent="0.2">
      <c r="A14" s="329"/>
      <c r="B14" s="36"/>
      <c r="C14" s="270"/>
      <c r="D14" s="264"/>
      <c r="E14" s="34" t="s">
        <v>63</v>
      </c>
      <c r="F14" s="34" t="s">
        <v>63</v>
      </c>
      <c r="G14" s="34" t="s">
        <v>63</v>
      </c>
      <c r="H14" s="34" t="s">
        <v>63</v>
      </c>
      <c r="I14" s="38" t="s">
        <v>63</v>
      </c>
    </row>
    <row r="15" spans="1:55" s="268" customFormat="1" x14ac:dyDescent="0.2">
      <c r="A15" s="370"/>
      <c r="B15" s="36"/>
      <c r="C15" s="270"/>
      <c r="D15" s="264"/>
      <c r="E15" s="34" t="s">
        <v>63</v>
      </c>
      <c r="F15" s="34" t="s">
        <v>63</v>
      </c>
      <c r="G15" s="34" t="s">
        <v>63</v>
      </c>
      <c r="H15" s="34" t="s">
        <v>63</v>
      </c>
      <c r="I15" s="38" t="s">
        <v>63</v>
      </c>
    </row>
    <row r="16" spans="1:55" s="268" customFormat="1" x14ac:dyDescent="0.2">
      <c r="A16" s="370"/>
      <c r="B16" s="36"/>
      <c r="C16" s="270"/>
      <c r="D16" s="264"/>
      <c r="E16" s="34" t="s">
        <v>63</v>
      </c>
      <c r="F16" s="34" t="s">
        <v>63</v>
      </c>
      <c r="G16" s="34" t="s">
        <v>63</v>
      </c>
      <c r="H16" s="34" t="s">
        <v>63</v>
      </c>
      <c r="I16" s="38" t="s">
        <v>63</v>
      </c>
    </row>
    <row r="17" spans="1:9" s="268" customFormat="1" x14ac:dyDescent="0.2">
      <c r="A17" s="370"/>
      <c r="B17" s="36"/>
      <c r="C17" s="270"/>
      <c r="D17" s="264"/>
      <c r="E17" s="34" t="s">
        <v>63</v>
      </c>
      <c r="F17" s="34" t="s">
        <v>63</v>
      </c>
      <c r="G17" s="34" t="s">
        <v>63</v>
      </c>
      <c r="H17" s="34" t="s">
        <v>63</v>
      </c>
      <c r="I17" s="38" t="s">
        <v>63</v>
      </c>
    </row>
    <row r="18" spans="1:9" s="268" customFormat="1" x14ac:dyDescent="0.2">
      <c r="A18" s="370"/>
      <c r="B18" s="36"/>
      <c r="C18" s="270"/>
      <c r="D18" s="264"/>
      <c r="E18" s="34" t="s">
        <v>63</v>
      </c>
      <c r="F18" s="34" t="s">
        <v>63</v>
      </c>
      <c r="G18" s="34" t="s">
        <v>63</v>
      </c>
      <c r="H18" s="34" t="s">
        <v>63</v>
      </c>
      <c r="I18" s="38" t="s">
        <v>63</v>
      </c>
    </row>
    <row r="19" spans="1:9" s="268" customFormat="1" x14ac:dyDescent="0.2">
      <c r="A19" s="370"/>
      <c r="B19" s="36"/>
      <c r="C19" s="270"/>
      <c r="D19" s="264"/>
      <c r="E19" s="34" t="s">
        <v>63</v>
      </c>
      <c r="F19" s="34" t="s">
        <v>63</v>
      </c>
      <c r="G19" s="34" t="s">
        <v>63</v>
      </c>
      <c r="H19" s="34" t="s">
        <v>63</v>
      </c>
      <c r="I19" s="38" t="s">
        <v>63</v>
      </c>
    </row>
    <row r="20" spans="1:9" s="268" customFormat="1" x14ac:dyDescent="0.2">
      <c r="A20" s="329"/>
      <c r="B20" s="36"/>
      <c r="C20" s="270"/>
      <c r="D20" s="264"/>
      <c r="E20" s="34" t="s">
        <v>63</v>
      </c>
      <c r="F20" s="34" t="s">
        <v>63</v>
      </c>
      <c r="G20" s="34" t="s">
        <v>63</v>
      </c>
      <c r="H20" s="34" t="s">
        <v>63</v>
      </c>
      <c r="I20" s="38" t="s">
        <v>63</v>
      </c>
    </row>
    <row r="21" spans="1:9" s="268" customFormat="1" x14ac:dyDescent="0.2">
      <c r="A21" s="329"/>
      <c r="B21" s="36"/>
      <c r="C21" s="270"/>
      <c r="D21" s="264"/>
      <c r="E21" s="34" t="s">
        <v>63</v>
      </c>
      <c r="F21" s="34" t="s">
        <v>63</v>
      </c>
      <c r="G21" s="34" t="s">
        <v>63</v>
      </c>
      <c r="H21" s="34" t="s">
        <v>63</v>
      </c>
      <c r="I21" s="38" t="s">
        <v>63</v>
      </c>
    </row>
    <row r="22" spans="1:9" s="268" customFormat="1" ht="13.5" thickBot="1" x14ac:dyDescent="0.25">
      <c r="A22" s="329"/>
      <c r="B22" s="36"/>
      <c r="C22" s="270"/>
      <c r="D22" s="264"/>
      <c r="E22" s="34" t="s">
        <v>63</v>
      </c>
      <c r="F22" s="34" t="s">
        <v>63</v>
      </c>
      <c r="G22" s="34" t="s">
        <v>63</v>
      </c>
      <c r="H22" s="34" t="s">
        <v>63</v>
      </c>
      <c r="I22" s="38" t="s">
        <v>63</v>
      </c>
    </row>
    <row r="23" spans="1:9" s="44" customFormat="1" ht="13.5" thickBot="1" x14ac:dyDescent="0.25">
      <c r="A23" s="39"/>
      <c r="B23" s="40" t="s">
        <v>70</v>
      </c>
      <c r="C23" s="40"/>
      <c r="D23" s="41"/>
      <c r="E23" s="42" t="str">
        <f>IF(SUM(E9:E22)&gt;0,SUM(E9:E22),"--------------")</f>
        <v>--------------</v>
      </c>
      <c r="F23" s="42" t="str">
        <f>IF(SUBTOTAL(9,F9:F22)&gt;0,SUBTOTAL(9,F9:F22),"--------------")</f>
        <v>--------------</v>
      </c>
      <c r="G23" s="42" t="str">
        <f>IF(SUM(G9:G22)&gt;0,SUM(G9:G22),"--------------")</f>
        <v>--------------</v>
      </c>
      <c r="H23" s="42" t="str">
        <f>IF(SUM(H9:H22)&gt;0,SUM(H9:H22),"--------------")</f>
        <v>--------------</v>
      </c>
      <c r="I23" s="43" t="str">
        <f>IF(SUM(I9:I22)&gt;0,SUM(I9:I22),"--------------")</f>
        <v>--------------</v>
      </c>
    </row>
    <row r="24" spans="1:9" x14ac:dyDescent="0.2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">
      <c r="F26" s="74"/>
      <c r="G26" s="75"/>
      <c r="H26" s="75"/>
      <c r="I26" s="76"/>
    </row>
    <row r="27" spans="1:9" x14ac:dyDescent="0.2">
      <c r="F27" s="74"/>
      <c r="G27" s="75"/>
      <c r="H27" s="75"/>
      <c r="I27" s="76"/>
    </row>
    <row r="28" spans="1:9" x14ac:dyDescent="0.2">
      <c r="F28" s="74"/>
      <c r="G28" s="75"/>
      <c r="H28" s="75"/>
      <c r="I28" s="76"/>
    </row>
    <row r="29" spans="1:9" x14ac:dyDescent="0.2">
      <c r="F29" s="74"/>
      <c r="G29" s="75"/>
      <c r="H29" s="75"/>
      <c r="I29" s="76"/>
    </row>
    <row r="30" spans="1:9" x14ac:dyDescent="0.2">
      <c r="F30" s="74"/>
      <c r="G30" s="75"/>
      <c r="H30" s="75"/>
      <c r="I30" s="76"/>
    </row>
    <row r="31" spans="1:9" x14ac:dyDescent="0.2">
      <c r="F31" s="74"/>
      <c r="G31" s="75"/>
      <c r="H31" s="75"/>
      <c r="I31" s="76"/>
    </row>
    <row r="32" spans="1:9" x14ac:dyDescent="0.2">
      <c r="F32" s="74"/>
      <c r="G32" s="75"/>
      <c r="H32" s="75"/>
      <c r="I32" s="76"/>
    </row>
    <row r="33" spans="6:9" x14ac:dyDescent="0.2">
      <c r="F33" s="74"/>
      <c r="G33" s="75"/>
      <c r="H33" s="75"/>
      <c r="I33" s="76"/>
    </row>
  </sheetData>
  <customSheetViews>
    <customSheetView guid="{30B10D60-758F-4E0B-9F03-5879C6CAFDF6}" scale="160" showPageBreaks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2">
    <mergeCell ref="C1:I1"/>
    <mergeCell ref="C2:I2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G146"/>
  <sheetViews>
    <sheetView view="pageBreakPreview" zoomScale="130" zoomScaleNormal="100" zoomScaleSheetLayoutView="130" workbookViewId="0">
      <pane ySplit="7" topLeftCell="A8" activePane="bottomLeft" state="frozen"/>
      <selection activeCell="M16" sqref="M16"/>
      <selection pane="bottomLeft" activeCell="A8" sqref="A8"/>
    </sheetView>
  </sheetViews>
  <sheetFormatPr defaultColWidth="9.140625" defaultRowHeight="12.75" x14ac:dyDescent="0.2"/>
  <cols>
    <col min="1" max="1" width="4.42578125" style="1" customWidth="1"/>
    <col min="2" max="2" width="15" style="1" customWidth="1"/>
    <col min="3" max="3" width="47.5703125" style="1" customWidth="1"/>
    <col min="4" max="4" width="5.5703125" style="1" customWidth="1"/>
    <col min="5" max="5" width="8.7109375" style="514" customWidth="1"/>
    <col min="6" max="6" width="10.140625" style="596" customWidth="1"/>
    <col min="7" max="7" width="13" style="603" customWidth="1"/>
    <col min="8" max="8" width="12" style="1" customWidth="1"/>
    <col min="9" max="9" width="12.42578125" style="1" customWidth="1"/>
    <col min="10" max="29" width="0" style="1" hidden="1" customWidth="1"/>
    <col min="30" max="46" width="9.140625" style="1"/>
    <col min="47" max="47" width="6.28515625" style="1" hidden="1" customWidth="1"/>
    <col min="48" max="58" width="0" style="1" hidden="1" customWidth="1"/>
    <col min="59" max="16384" width="9.140625" style="1"/>
  </cols>
  <sheetData>
    <row r="1" spans="1:59" customFormat="1" ht="16.5" thickTop="1" x14ac:dyDescent="0.25">
      <c r="A1" s="273" t="s">
        <v>49</v>
      </c>
      <c r="B1" s="286"/>
      <c r="C1" s="279" t="str">
        <f>'SO01 Krycí list'!$C$4&amp;" "&amp;'SO01 Krycí list'!$C$5</f>
        <v>Rekonstrukce oddělení ortopedie v pavilonu "B" nemocnice Šumperk</v>
      </c>
      <c r="D1" s="289"/>
      <c r="E1" s="388"/>
      <c r="F1" s="590"/>
      <c r="G1" s="597"/>
      <c r="H1" s="150"/>
      <c r="I1" s="151"/>
    </row>
    <row r="2" spans="1:59" customFormat="1" x14ac:dyDescent="0.2">
      <c r="A2" s="275" t="s">
        <v>50</v>
      </c>
      <c r="B2" s="287"/>
      <c r="C2" s="282" t="str">
        <f>'SO01 Krycí list'!$C$7</f>
        <v>SO 01 Vlastní objekt</v>
      </c>
      <c r="D2" s="290"/>
      <c r="E2" s="453"/>
      <c r="F2" s="591"/>
      <c r="G2" s="598"/>
      <c r="H2" s="12" t="s">
        <v>52</v>
      </c>
      <c r="I2" s="769">
        <f>'SO01 Krycí list'!H12</f>
        <v>2016021</v>
      </c>
    </row>
    <row r="3" spans="1:59" customFormat="1" ht="13.5" thickBot="1" x14ac:dyDescent="0.25">
      <c r="A3" s="277" t="s">
        <v>53</v>
      </c>
      <c r="B3" s="288"/>
      <c r="C3" s="285" t="str">
        <f>'05rek'!C4</f>
        <v>Zdravotechnika</v>
      </c>
      <c r="D3" s="291"/>
      <c r="E3" s="510"/>
      <c r="F3" s="592"/>
      <c r="G3" s="599"/>
      <c r="H3" s="14" t="s">
        <v>54</v>
      </c>
      <c r="I3" s="770">
        <f>'SO01 Krycí list'!C28</f>
        <v>42635</v>
      </c>
    </row>
    <row r="4" spans="1:59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59" ht="6" customHeight="1" x14ac:dyDescent="0.2">
      <c r="B5" s="2"/>
      <c r="C5" s="3"/>
      <c r="D5" s="3"/>
      <c r="E5" s="511"/>
      <c r="F5" s="593"/>
      <c r="G5" s="600"/>
    </row>
    <row r="6" spans="1:59" ht="6" customHeight="1" thickBot="1" x14ac:dyDescent="0.25">
      <c r="A6" s="5"/>
      <c r="B6" s="6"/>
      <c r="C6" s="6"/>
      <c r="D6" s="7"/>
      <c r="E6" s="512"/>
      <c r="F6" s="594"/>
      <c r="G6" s="533"/>
      <c r="H6" s="7"/>
      <c r="I6" s="7"/>
    </row>
    <row r="7" spans="1:59" ht="34.5" customHeight="1" thickBot="1" x14ac:dyDescent="0.3">
      <c r="A7" s="474" t="s">
        <v>292</v>
      </c>
      <c r="B7" s="475" t="s">
        <v>293</v>
      </c>
      <c r="C7" s="476" t="s">
        <v>294</v>
      </c>
      <c r="D7" s="476" t="s">
        <v>295</v>
      </c>
      <c r="E7" s="513" t="s">
        <v>51</v>
      </c>
      <c r="F7" s="595" t="s">
        <v>296</v>
      </c>
      <c r="G7" s="601" t="s">
        <v>297</v>
      </c>
      <c r="H7" s="478" t="s">
        <v>35</v>
      </c>
      <c r="I7" s="518" t="s">
        <v>36</v>
      </c>
    </row>
    <row r="8" spans="1:59" x14ac:dyDescent="0.2">
      <c r="A8" s="652" t="s">
        <v>381</v>
      </c>
      <c r="B8" s="464" t="s">
        <v>371</v>
      </c>
      <c r="C8" s="465" t="s">
        <v>372</v>
      </c>
      <c r="D8" s="466"/>
      <c r="E8" s="653"/>
      <c r="F8" s="653"/>
      <c r="G8" s="1051"/>
      <c r="H8" s="654"/>
      <c r="I8" s="654"/>
      <c r="J8" s="654"/>
      <c r="K8" s="654"/>
      <c r="Q8" s="655">
        <v>1</v>
      </c>
    </row>
    <row r="9" spans="1:59" x14ac:dyDescent="0.2">
      <c r="A9" s="656">
        <v>1</v>
      </c>
      <c r="B9" s="467" t="s">
        <v>382</v>
      </c>
      <c r="C9" s="468" t="s">
        <v>623</v>
      </c>
      <c r="D9" s="469" t="s">
        <v>441</v>
      </c>
      <c r="E9" s="657">
        <v>96.25</v>
      </c>
      <c r="F9" s="1069"/>
      <c r="G9" s="1052">
        <f>E9*F9</f>
        <v>0</v>
      </c>
      <c r="H9" s="658">
        <v>5.1000000000000004E-4</v>
      </c>
      <c r="I9" s="658">
        <f>E9*H9</f>
        <v>4.9087500000000006E-2</v>
      </c>
      <c r="J9" s="658">
        <v>0</v>
      </c>
      <c r="K9" s="658">
        <f>E9*J9</f>
        <v>0</v>
      </c>
      <c r="Q9" s="655">
        <v>2</v>
      </c>
      <c r="AA9" s="1">
        <v>12</v>
      </c>
      <c r="AB9" s="1">
        <v>0</v>
      </c>
      <c r="AC9" s="1">
        <v>1</v>
      </c>
      <c r="BB9" s="1">
        <v>2</v>
      </c>
      <c r="BC9" s="1">
        <f>IF(BB9=1,G9,0)</f>
        <v>0</v>
      </c>
      <c r="BD9" s="1">
        <f>IF(BB9=2,G9,0)</f>
        <v>0</v>
      </c>
      <c r="BE9" s="1">
        <f>IF(BB9=3,G9,0)</f>
        <v>0</v>
      </c>
      <c r="BF9" s="1">
        <f>IF(BB9=4,G9,0)</f>
        <v>0</v>
      </c>
      <c r="BG9" s="1">
        <f>IF(BB9=5,G9,0)</f>
        <v>0</v>
      </c>
    </row>
    <row r="10" spans="1:59" s="1059" customFormat="1" x14ac:dyDescent="0.2">
      <c r="A10" s="1053"/>
      <c r="B10" s="1054"/>
      <c r="C10" s="663" t="s">
        <v>1431</v>
      </c>
      <c r="D10" s="1055"/>
      <c r="E10" s="1056"/>
      <c r="F10" s="1056"/>
      <c r="G10" s="1057"/>
      <c r="H10" s="1058"/>
      <c r="I10" s="1058"/>
      <c r="J10" s="1058"/>
      <c r="K10" s="1058"/>
    </row>
    <row r="11" spans="1:59" x14ac:dyDescent="0.2">
      <c r="A11" s="656"/>
      <c r="B11" s="467"/>
      <c r="C11" s="663" t="s">
        <v>1432</v>
      </c>
      <c r="D11" s="469"/>
      <c r="E11" s="657"/>
      <c r="F11" s="657"/>
      <c r="G11" s="1052"/>
      <c r="H11" s="658"/>
      <c r="I11" s="658"/>
      <c r="J11" s="658"/>
      <c r="K11" s="658"/>
      <c r="Q11" s="655"/>
    </row>
    <row r="12" spans="1:59" x14ac:dyDescent="0.2">
      <c r="A12" s="656"/>
      <c r="B12" s="467"/>
      <c r="C12" s="663" t="s">
        <v>1433</v>
      </c>
      <c r="D12" s="469"/>
      <c r="E12" s="657"/>
      <c r="F12" s="657"/>
      <c r="G12" s="1052"/>
      <c r="H12" s="658"/>
      <c r="I12" s="658"/>
      <c r="J12" s="658"/>
      <c r="K12" s="658"/>
      <c r="Q12" s="655"/>
    </row>
    <row r="13" spans="1:59" x14ac:dyDescent="0.2">
      <c r="A13" s="656"/>
      <c r="B13" s="467"/>
      <c r="C13" s="663" t="s">
        <v>1434</v>
      </c>
      <c r="D13" s="469"/>
      <c r="E13" s="657"/>
      <c r="F13" s="657"/>
      <c r="G13" s="1052"/>
      <c r="H13" s="658"/>
      <c r="I13" s="658"/>
      <c r="J13" s="658"/>
      <c r="K13" s="658"/>
      <c r="Q13" s="655"/>
    </row>
    <row r="14" spans="1:59" x14ac:dyDescent="0.2">
      <c r="A14" s="656"/>
      <c r="B14" s="467"/>
      <c r="C14" s="663" t="s">
        <v>1435</v>
      </c>
      <c r="D14" s="469"/>
      <c r="E14" s="657"/>
      <c r="F14" s="657"/>
      <c r="G14" s="1052"/>
      <c r="H14" s="658"/>
      <c r="I14" s="658"/>
      <c r="J14" s="658"/>
      <c r="K14" s="658"/>
      <c r="Q14" s="655"/>
    </row>
    <row r="15" spans="1:59" x14ac:dyDescent="0.2">
      <c r="A15" s="656"/>
      <c r="B15" s="467"/>
      <c r="C15" s="663" t="s">
        <v>1436</v>
      </c>
      <c r="D15" s="469"/>
      <c r="E15" s="657"/>
      <c r="F15" s="657"/>
      <c r="G15" s="1052"/>
      <c r="H15" s="658"/>
      <c r="I15" s="658"/>
      <c r="J15" s="658"/>
      <c r="K15" s="658"/>
      <c r="Q15" s="655"/>
    </row>
    <row r="16" spans="1:59" x14ac:dyDescent="0.2">
      <c r="A16" s="656"/>
      <c r="B16" s="467"/>
      <c r="C16" s="663" t="s">
        <v>1437</v>
      </c>
      <c r="D16" s="469"/>
      <c r="E16" s="657"/>
      <c r="F16" s="657"/>
      <c r="G16" s="1052"/>
      <c r="H16" s="658"/>
      <c r="I16" s="658"/>
      <c r="J16" s="658"/>
      <c r="K16" s="658"/>
      <c r="Q16" s="655"/>
    </row>
    <row r="17" spans="1:59" x14ac:dyDescent="0.2">
      <c r="A17" s="656"/>
      <c r="B17" s="467"/>
      <c r="C17" s="663" t="s">
        <v>1438</v>
      </c>
      <c r="D17" s="469"/>
      <c r="E17" s="657"/>
      <c r="F17" s="657"/>
      <c r="G17" s="1052"/>
      <c r="H17" s="658"/>
      <c r="I17" s="658"/>
      <c r="J17" s="658"/>
      <c r="K17" s="658"/>
      <c r="Q17" s="655"/>
    </row>
    <row r="18" spans="1:59" x14ac:dyDescent="0.2">
      <c r="A18" s="656"/>
      <c r="B18" s="467"/>
      <c r="C18" s="663" t="s">
        <v>0</v>
      </c>
      <c r="D18" s="469"/>
      <c r="E18" s="657"/>
      <c r="F18" s="657"/>
      <c r="G18" s="1052"/>
      <c r="H18" s="658"/>
      <c r="I18" s="658"/>
      <c r="J18" s="658"/>
      <c r="K18" s="658"/>
      <c r="Q18" s="655"/>
    </row>
    <row r="19" spans="1:59" x14ac:dyDescent="0.2">
      <c r="A19" s="656">
        <v>2</v>
      </c>
      <c r="B19" s="467" t="s">
        <v>383</v>
      </c>
      <c r="C19" s="468" t="s">
        <v>624</v>
      </c>
      <c r="D19" s="469" t="s">
        <v>435</v>
      </c>
      <c r="E19" s="657">
        <v>182</v>
      </c>
      <c r="F19" s="1069"/>
      <c r="G19" s="1052">
        <f>E19*F19</f>
        <v>0</v>
      </c>
      <c r="H19" s="658">
        <v>4.6999999999999999E-4</v>
      </c>
      <c r="I19" s="658">
        <f>E19*H19</f>
        <v>8.5539999999999991E-2</v>
      </c>
      <c r="J19" s="658">
        <v>0</v>
      </c>
      <c r="K19" s="658">
        <f>E19*J19</f>
        <v>0</v>
      </c>
      <c r="Q19" s="655">
        <v>2</v>
      </c>
      <c r="AA19" s="1">
        <v>12</v>
      </c>
      <c r="AB19" s="1">
        <v>0</v>
      </c>
      <c r="AC19" s="1">
        <v>2</v>
      </c>
      <c r="BB19" s="1">
        <v>2</v>
      </c>
      <c r="BC19" s="1">
        <f>IF(BB19=1,G19,0)</f>
        <v>0</v>
      </c>
      <c r="BD19" s="1">
        <f>IF(BB19=2,G19,0)</f>
        <v>0</v>
      </c>
      <c r="BE19" s="1">
        <f>IF(BB19=3,G19,0)</f>
        <v>0</v>
      </c>
      <c r="BF19" s="1">
        <f>IF(BB19=4,G19,0)</f>
        <v>0</v>
      </c>
      <c r="BG19" s="1">
        <f>IF(BB19=5,G19,0)</f>
        <v>0</v>
      </c>
    </row>
    <row r="20" spans="1:59" x14ac:dyDescent="0.2">
      <c r="A20" s="656"/>
      <c r="B20" s="467"/>
      <c r="C20" s="468" t="s">
        <v>1</v>
      </c>
      <c r="D20" s="469"/>
      <c r="E20" s="657"/>
      <c r="F20" s="657"/>
      <c r="G20" s="1052"/>
      <c r="H20" s="658"/>
      <c r="I20" s="658"/>
      <c r="J20" s="658"/>
      <c r="K20" s="658"/>
      <c r="Q20" s="655"/>
    </row>
    <row r="21" spans="1:59" x14ac:dyDescent="0.2">
      <c r="A21" s="656">
        <v>3</v>
      </c>
      <c r="B21" s="467" t="s">
        <v>384</v>
      </c>
      <c r="C21" s="468" t="s">
        <v>1439</v>
      </c>
      <c r="D21" s="469" t="s">
        <v>435</v>
      </c>
      <c r="E21" s="657">
        <v>171</v>
      </c>
      <c r="F21" s="1069"/>
      <c r="G21" s="1052">
        <f>E21*F21</f>
        <v>0</v>
      </c>
      <c r="H21" s="658">
        <v>1E-4</v>
      </c>
      <c r="I21" s="658">
        <f>E21*H21</f>
        <v>1.7100000000000001E-2</v>
      </c>
      <c r="J21" s="658">
        <v>0</v>
      </c>
      <c r="K21" s="658">
        <f>E21*J21</f>
        <v>0</v>
      </c>
      <c r="Q21" s="655">
        <v>2</v>
      </c>
      <c r="AA21" s="1">
        <v>12</v>
      </c>
      <c r="AB21" s="1">
        <v>0</v>
      </c>
      <c r="AC21" s="1">
        <v>3</v>
      </c>
      <c r="BB21" s="1">
        <v>2</v>
      </c>
      <c r="BC21" s="1">
        <f>IF(BB21=1,G21,0)</f>
        <v>0</v>
      </c>
      <c r="BD21" s="1">
        <f>IF(BB21=2,G21,0)</f>
        <v>0</v>
      </c>
      <c r="BE21" s="1">
        <f>IF(BB21=3,G21,0)</f>
        <v>0</v>
      </c>
      <c r="BF21" s="1">
        <f>IF(BB21=4,G21,0)</f>
        <v>0</v>
      </c>
      <c r="BG21" s="1">
        <f>IF(BB21=5,G21,0)</f>
        <v>0</v>
      </c>
    </row>
    <row r="22" spans="1:59" x14ac:dyDescent="0.2">
      <c r="A22" s="656">
        <v>4</v>
      </c>
      <c r="B22" s="467" t="s">
        <v>401</v>
      </c>
      <c r="C22" s="468" t="s">
        <v>1440</v>
      </c>
      <c r="D22" s="469" t="s">
        <v>435</v>
      </c>
      <c r="E22" s="657">
        <v>54</v>
      </c>
      <c r="F22" s="1069"/>
      <c r="G22" s="1052">
        <f>E22*F22</f>
        <v>0</v>
      </c>
      <c r="H22" s="658">
        <v>2.9999999999999997E-4</v>
      </c>
      <c r="I22" s="658">
        <f>E22*H22</f>
        <v>1.6199999999999999E-2</v>
      </c>
      <c r="J22" s="658">
        <v>0</v>
      </c>
      <c r="K22" s="658">
        <f>E22*J22</f>
        <v>0</v>
      </c>
      <c r="Q22" s="655">
        <v>2</v>
      </c>
      <c r="AA22" s="1">
        <v>12</v>
      </c>
      <c r="AB22" s="1">
        <v>0</v>
      </c>
      <c r="AC22" s="1">
        <v>4</v>
      </c>
      <c r="BB22" s="1">
        <v>2</v>
      </c>
      <c r="BC22" s="1">
        <f>IF(BB22=1,G22,0)</f>
        <v>0</v>
      </c>
      <c r="BD22" s="1">
        <f>IF(BB22=2,G22,0)</f>
        <v>0</v>
      </c>
      <c r="BE22" s="1">
        <f>IF(BB22=3,G22,0)</f>
        <v>0</v>
      </c>
      <c r="BF22" s="1">
        <f>IF(BB22=4,G22,0)</f>
        <v>0</v>
      </c>
      <c r="BG22" s="1">
        <f>IF(BB22=5,G22,0)</f>
        <v>0</v>
      </c>
    </row>
    <row r="23" spans="1:59" x14ac:dyDescent="0.2">
      <c r="A23" s="656">
        <v>5</v>
      </c>
      <c r="B23" s="467" t="s">
        <v>351</v>
      </c>
      <c r="C23" s="468" t="s">
        <v>1441</v>
      </c>
      <c r="D23" s="469" t="s">
        <v>435</v>
      </c>
      <c r="E23" s="657">
        <v>75</v>
      </c>
      <c r="F23" s="1069"/>
      <c r="G23" s="1052">
        <f>E23*F23</f>
        <v>0</v>
      </c>
      <c r="H23" s="658">
        <v>5.0000000000000001E-4</v>
      </c>
      <c r="I23" s="658">
        <f>E23*H23</f>
        <v>3.7499999999999999E-2</v>
      </c>
      <c r="J23" s="658">
        <v>0</v>
      </c>
      <c r="K23" s="658">
        <f>E23*J23</f>
        <v>0</v>
      </c>
      <c r="Q23" s="655">
        <v>2</v>
      </c>
      <c r="AA23" s="1">
        <v>12</v>
      </c>
      <c r="AB23" s="1">
        <v>0</v>
      </c>
      <c r="AC23" s="1">
        <v>5</v>
      </c>
      <c r="BB23" s="1">
        <v>2</v>
      </c>
      <c r="BC23" s="1">
        <f>IF(BB23=1,G23,0)</f>
        <v>0</v>
      </c>
      <c r="BD23" s="1">
        <f>IF(BB23=2,G23,0)</f>
        <v>0</v>
      </c>
      <c r="BE23" s="1">
        <f>IF(BB23=3,G23,0)</f>
        <v>0</v>
      </c>
      <c r="BF23" s="1">
        <f>IF(BB23=4,G23,0)</f>
        <v>0</v>
      </c>
      <c r="BG23" s="1">
        <f>IF(BB23=5,G23,0)</f>
        <v>0</v>
      </c>
    </row>
    <row r="24" spans="1:59" x14ac:dyDescent="0.2">
      <c r="A24" s="656">
        <v>6</v>
      </c>
      <c r="B24" s="467" t="s">
        <v>385</v>
      </c>
      <c r="C24" s="468" t="s">
        <v>1442</v>
      </c>
      <c r="D24" s="469" t="s">
        <v>435</v>
      </c>
      <c r="E24" s="657">
        <v>18</v>
      </c>
      <c r="F24" s="1069"/>
      <c r="G24" s="1052">
        <f>E24*F24</f>
        <v>0</v>
      </c>
      <c r="H24" s="658">
        <v>5.9999999999999995E-4</v>
      </c>
      <c r="I24" s="658">
        <f>E24*H24</f>
        <v>1.0799999999999999E-2</v>
      </c>
      <c r="J24" s="658">
        <v>0</v>
      </c>
      <c r="K24" s="658">
        <f>E24*J24</f>
        <v>0</v>
      </c>
      <c r="Q24" s="655">
        <v>2</v>
      </c>
      <c r="AA24" s="1">
        <v>12</v>
      </c>
      <c r="AB24" s="1">
        <v>0</v>
      </c>
      <c r="AC24" s="1">
        <v>6</v>
      </c>
      <c r="BB24" s="1">
        <v>2</v>
      </c>
      <c r="BC24" s="1">
        <f>IF(BB24=1,G24,0)</f>
        <v>0</v>
      </c>
      <c r="BD24" s="1">
        <f>IF(BB24=2,G24,0)</f>
        <v>0</v>
      </c>
      <c r="BE24" s="1">
        <f>IF(BB24=3,G24,0)</f>
        <v>0</v>
      </c>
      <c r="BF24" s="1">
        <f>IF(BB24=4,G24,0)</f>
        <v>0</v>
      </c>
      <c r="BG24" s="1">
        <f>IF(BB24=5,G24,0)</f>
        <v>0</v>
      </c>
    </row>
    <row r="25" spans="1:59" x14ac:dyDescent="0.2">
      <c r="A25" s="656">
        <v>7</v>
      </c>
      <c r="B25" s="467" t="s">
        <v>386</v>
      </c>
      <c r="C25" s="468" t="s">
        <v>2</v>
      </c>
      <c r="D25" s="469" t="s">
        <v>436</v>
      </c>
      <c r="E25" s="657">
        <v>0.2162</v>
      </c>
      <c r="F25" s="1069"/>
      <c r="G25" s="1052">
        <f>E25*F25</f>
        <v>0</v>
      </c>
      <c r="H25" s="658">
        <v>0</v>
      </c>
      <c r="I25" s="658">
        <f>E25*H25</f>
        <v>0</v>
      </c>
      <c r="J25" s="658">
        <v>0</v>
      </c>
      <c r="K25" s="658">
        <f>E25*J25</f>
        <v>0</v>
      </c>
      <c r="Q25" s="655">
        <v>2</v>
      </c>
      <c r="AA25" s="1">
        <v>12</v>
      </c>
      <c r="AB25" s="1">
        <v>0</v>
      </c>
      <c r="AC25" s="1">
        <v>7</v>
      </c>
      <c r="BB25" s="1">
        <v>2</v>
      </c>
      <c r="BC25" s="1">
        <f>IF(BB25=1,G25,0)</f>
        <v>0</v>
      </c>
      <c r="BD25" s="1">
        <f>IF(BB25=2,G25,0)</f>
        <v>0</v>
      </c>
      <c r="BE25" s="1">
        <f>IF(BB25=3,G25,0)</f>
        <v>0</v>
      </c>
      <c r="BF25" s="1">
        <f>IF(BB25=4,G25,0)</f>
        <v>0</v>
      </c>
      <c r="BG25" s="1">
        <f>IF(BB25=5,G25,0)</f>
        <v>0</v>
      </c>
    </row>
    <row r="26" spans="1:59" x14ac:dyDescent="0.2">
      <c r="A26" s="470"/>
      <c r="B26" s="471" t="s">
        <v>387</v>
      </c>
      <c r="C26" s="472" t="str">
        <f>CONCATENATE(B8," ",C8)</f>
        <v>713 Izolace tepelné</v>
      </c>
      <c r="D26" s="470"/>
      <c r="E26" s="659"/>
      <c r="F26" s="659"/>
      <c r="G26" s="1060">
        <f>SUM(G8:G25)</f>
        <v>0</v>
      </c>
      <c r="H26" s="660"/>
      <c r="I26" s="661">
        <f>SUM(I8:I25)</f>
        <v>0.21622750000000002</v>
      </c>
      <c r="J26" s="660"/>
      <c r="K26" s="661">
        <f>SUM(K8:K25)</f>
        <v>0</v>
      </c>
      <c r="Q26" s="655">
        <v>4</v>
      </c>
      <c r="BC26" s="662">
        <f>SUM(BC8:BC25)</f>
        <v>0</v>
      </c>
      <c r="BD26" s="662">
        <f>SUM(BD8:BD25)</f>
        <v>0</v>
      </c>
      <c r="BE26" s="662">
        <f>SUM(BE8:BE25)</f>
        <v>0</v>
      </c>
      <c r="BF26" s="662">
        <f>SUM(BF8:BF25)</f>
        <v>0</v>
      </c>
      <c r="BG26" s="662">
        <f>SUM(BG8:BG25)</f>
        <v>0</v>
      </c>
    </row>
    <row r="27" spans="1:59" x14ac:dyDescent="0.2">
      <c r="A27" s="652" t="s">
        <v>381</v>
      </c>
      <c r="B27" s="464" t="s">
        <v>373</v>
      </c>
      <c r="C27" s="465" t="s">
        <v>374</v>
      </c>
      <c r="D27" s="466"/>
      <c r="E27" s="653"/>
      <c r="F27" s="653"/>
      <c r="G27" s="1051"/>
      <c r="H27" s="654"/>
      <c r="I27" s="654"/>
      <c r="J27" s="654"/>
      <c r="K27" s="654"/>
      <c r="Q27" s="655">
        <v>1</v>
      </c>
    </row>
    <row r="28" spans="1:59" x14ac:dyDescent="0.2">
      <c r="A28" s="652"/>
      <c r="B28" s="464"/>
      <c r="C28" s="671" t="s">
        <v>1443</v>
      </c>
      <c r="D28" s="466"/>
      <c r="E28" s="653"/>
      <c r="F28" s="653"/>
      <c r="G28" s="1051"/>
      <c r="H28" s="664"/>
      <c r="I28" s="664"/>
      <c r="J28" s="664"/>
      <c r="K28" s="664"/>
      <c r="Q28" s="655"/>
    </row>
    <row r="29" spans="1:59" x14ac:dyDescent="0.2">
      <c r="A29" s="652"/>
      <c r="B29" s="464"/>
      <c r="C29" s="671" t="s">
        <v>1444</v>
      </c>
      <c r="D29" s="466"/>
      <c r="E29" s="653"/>
      <c r="F29" s="653"/>
      <c r="G29" s="1051"/>
      <c r="H29" s="664"/>
      <c r="I29" s="664"/>
      <c r="J29" s="664"/>
      <c r="K29" s="664"/>
      <c r="Q29" s="655"/>
    </row>
    <row r="30" spans="1:59" x14ac:dyDescent="0.2">
      <c r="A30" s="652"/>
      <c r="B30" s="464"/>
      <c r="C30" s="671" t="s">
        <v>1445</v>
      </c>
      <c r="D30" s="466"/>
      <c r="E30" s="653"/>
      <c r="F30" s="653"/>
      <c r="G30" s="1051"/>
      <c r="H30" s="664"/>
      <c r="I30" s="664"/>
      <c r="J30" s="664"/>
      <c r="K30" s="664"/>
      <c r="Q30" s="655"/>
    </row>
    <row r="31" spans="1:59" x14ac:dyDescent="0.2">
      <c r="A31" s="656">
        <v>8</v>
      </c>
      <c r="B31" s="467" t="s">
        <v>632</v>
      </c>
      <c r="C31" s="468" t="s">
        <v>633</v>
      </c>
      <c r="D31" s="469" t="s">
        <v>435</v>
      </c>
      <c r="E31" s="657">
        <v>32</v>
      </c>
      <c r="F31" s="1069"/>
      <c r="G31" s="1052">
        <f t="shared" ref="G31:G51" si="0">E31*F31</f>
        <v>0</v>
      </c>
      <c r="H31" s="658">
        <v>3.4000000000000002E-4</v>
      </c>
      <c r="I31" s="658">
        <f t="shared" ref="I31:I51" si="1">E31*H31</f>
        <v>1.0880000000000001E-2</v>
      </c>
      <c r="J31" s="658">
        <v>0</v>
      </c>
      <c r="K31" s="658">
        <f t="shared" ref="K31:K51" si="2">E31*J31</f>
        <v>0</v>
      </c>
      <c r="Q31" s="655">
        <v>2</v>
      </c>
      <c r="AA31" s="1">
        <v>12</v>
      </c>
      <c r="AB31" s="1">
        <v>0</v>
      </c>
      <c r="AC31" s="1">
        <v>8</v>
      </c>
      <c r="BB31" s="1">
        <v>2</v>
      </c>
      <c r="BC31" s="1">
        <f t="shared" ref="BC31:BC51" si="3">IF(BB31=1,G31,0)</f>
        <v>0</v>
      </c>
      <c r="BD31" s="1">
        <f t="shared" ref="BD31:BD51" si="4">IF(BB31=2,G31,0)</f>
        <v>0</v>
      </c>
      <c r="BE31" s="1">
        <f t="shared" ref="BE31:BE51" si="5">IF(BB31=3,G31,0)</f>
        <v>0</v>
      </c>
      <c r="BF31" s="1">
        <f t="shared" ref="BF31:BF51" si="6">IF(BB31=4,G31,0)</f>
        <v>0</v>
      </c>
      <c r="BG31" s="1">
        <f t="shared" ref="BG31:BG51" si="7">IF(BB31=5,G31,0)</f>
        <v>0</v>
      </c>
    </row>
    <row r="32" spans="1:59" x14ac:dyDescent="0.2">
      <c r="A32" s="656">
        <v>9</v>
      </c>
      <c r="B32" s="467" t="s">
        <v>634</v>
      </c>
      <c r="C32" s="468" t="s">
        <v>635</v>
      </c>
      <c r="D32" s="469" t="s">
        <v>435</v>
      </c>
      <c r="E32" s="657">
        <v>29</v>
      </c>
      <c r="F32" s="1069"/>
      <c r="G32" s="1052">
        <f t="shared" si="0"/>
        <v>0</v>
      </c>
      <c r="H32" s="658">
        <v>4.8999999999999998E-4</v>
      </c>
      <c r="I32" s="658">
        <f t="shared" si="1"/>
        <v>1.421E-2</v>
      </c>
      <c r="J32" s="658">
        <v>0</v>
      </c>
      <c r="K32" s="658">
        <f t="shared" si="2"/>
        <v>0</v>
      </c>
      <c r="Q32" s="655">
        <v>2</v>
      </c>
      <c r="AA32" s="1">
        <v>12</v>
      </c>
      <c r="AB32" s="1">
        <v>0</v>
      </c>
      <c r="AC32" s="1">
        <v>9</v>
      </c>
      <c r="BB32" s="1">
        <v>2</v>
      </c>
      <c r="BC32" s="1">
        <f t="shared" si="3"/>
        <v>0</v>
      </c>
      <c r="BD32" s="1">
        <f t="shared" si="4"/>
        <v>0</v>
      </c>
      <c r="BE32" s="1">
        <f t="shared" si="5"/>
        <v>0</v>
      </c>
      <c r="BF32" s="1">
        <f t="shared" si="6"/>
        <v>0</v>
      </c>
      <c r="BG32" s="1">
        <f t="shared" si="7"/>
        <v>0</v>
      </c>
    </row>
    <row r="33" spans="1:59" x14ac:dyDescent="0.2">
      <c r="A33" s="656">
        <v>10</v>
      </c>
      <c r="B33" s="467" t="s">
        <v>388</v>
      </c>
      <c r="C33" s="468" t="s">
        <v>5</v>
      </c>
      <c r="D33" s="469" t="s">
        <v>435</v>
      </c>
      <c r="E33" s="657">
        <v>21</v>
      </c>
      <c r="F33" s="1069"/>
      <c r="G33" s="1052">
        <f t="shared" si="0"/>
        <v>0</v>
      </c>
      <c r="H33" s="658">
        <v>1.5200000000000001E-3</v>
      </c>
      <c r="I33" s="658">
        <f t="shared" si="1"/>
        <v>3.1920000000000004E-2</v>
      </c>
      <c r="J33" s="658">
        <v>0</v>
      </c>
      <c r="K33" s="658">
        <f t="shared" si="2"/>
        <v>0</v>
      </c>
      <c r="Q33" s="655">
        <v>2</v>
      </c>
      <c r="AA33" s="1">
        <v>12</v>
      </c>
      <c r="AB33" s="1">
        <v>0</v>
      </c>
      <c r="AC33" s="1">
        <v>10</v>
      </c>
      <c r="BB33" s="1">
        <v>2</v>
      </c>
      <c r="BC33" s="1">
        <f t="shared" si="3"/>
        <v>0</v>
      </c>
      <c r="BD33" s="1">
        <f t="shared" si="4"/>
        <v>0</v>
      </c>
      <c r="BE33" s="1">
        <f t="shared" si="5"/>
        <v>0</v>
      </c>
      <c r="BF33" s="1">
        <f t="shared" si="6"/>
        <v>0</v>
      </c>
      <c r="BG33" s="1">
        <f t="shared" si="7"/>
        <v>0</v>
      </c>
    </row>
    <row r="34" spans="1:59" x14ac:dyDescent="0.2">
      <c r="A34" s="656">
        <v>11</v>
      </c>
      <c r="B34" s="467" t="s">
        <v>3</v>
      </c>
      <c r="C34" s="468" t="s">
        <v>4</v>
      </c>
      <c r="D34" s="469" t="s">
        <v>435</v>
      </c>
      <c r="E34" s="657">
        <v>17</v>
      </c>
      <c r="F34" s="1069"/>
      <c r="G34" s="1052">
        <f t="shared" si="0"/>
        <v>0</v>
      </c>
      <c r="H34" s="658">
        <v>7.3999999999999999E-4</v>
      </c>
      <c r="I34" s="658">
        <f t="shared" si="1"/>
        <v>1.2579999999999999E-2</v>
      </c>
      <c r="J34" s="658">
        <v>0</v>
      </c>
      <c r="K34" s="658">
        <f t="shared" si="2"/>
        <v>0</v>
      </c>
      <c r="Q34" s="655">
        <v>2</v>
      </c>
      <c r="AA34" s="1">
        <v>12</v>
      </c>
      <c r="AB34" s="1">
        <v>0</v>
      </c>
      <c r="AC34" s="1">
        <v>11</v>
      </c>
      <c r="BB34" s="1">
        <v>2</v>
      </c>
      <c r="BC34" s="1">
        <f t="shared" si="3"/>
        <v>0</v>
      </c>
      <c r="BD34" s="1">
        <f t="shared" si="4"/>
        <v>0</v>
      </c>
      <c r="BE34" s="1">
        <f t="shared" si="5"/>
        <v>0</v>
      </c>
      <c r="BF34" s="1">
        <f t="shared" si="6"/>
        <v>0</v>
      </c>
      <c r="BG34" s="1">
        <f t="shared" si="7"/>
        <v>0</v>
      </c>
    </row>
    <row r="35" spans="1:59" x14ac:dyDescent="0.2">
      <c r="A35" s="656">
        <v>12</v>
      </c>
      <c r="B35" s="467" t="s">
        <v>1446</v>
      </c>
      <c r="C35" s="468" t="s">
        <v>1447</v>
      </c>
      <c r="D35" s="469" t="s">
        <v>435</v>
      </c>
      <c r="E35" s="657">
        <v>9</v>
      </c>
      <c r="F35" s="1069"/>
      <c r="G35" s="1052">
        <f t="shared" si="0"/>
        <v>0</v>
      </c>
      <c r="H35" s="658">
        <v>7.7999999999999999E-4</v>
      </c>
      <c r="I35" s="658">
        <f t="shared" si="1"/>
        <v>7.0200000000000002E-3</v>
      </c>
      <c r="J35" s="658">
        <v>0</v>
      </c>
      <c r="K35" s="658">
        <f t="shared" si="2"/>
        <v>0</v>
      </c>
      <c r="Q35" s="655">
        <v>2</v>
      </c>
      <c r="AA35" s="1">
        <v>12</v>
      </c>
      <c r="AB35" s="1">
        <v>0</v>
      </c>
      <c r="AC35" s="1">
        <v>12</v>
      </c>
      <c r="BB35" s="1">
        <v>2</v>
      </c>
      <c r="BC35" s="1">
        <f t="shared" si="3"/>
        <v>0</v>
      </c>
      <c r="BD35" s="1">
        <f t="shared" si="4"/>
        <v>0</v>
      </c>
      <c r="BE35" s="1">
        <f t="shared" si="5"/>
        <v>0</v>
      </c>
      <c r="BF35" s="1">
        <f t="shared" si="6"/>
        <v>0</v>
      </c>
      <c r="BG35" s="1">
        <f t="shared" si="7"/>
        <v>0</v>
      </c>
    </row>
    <row r="36" spans="1:59" x14ac:dyDescent="0.2">
      <c r="A36" s="656">
        <v>13</v>
      </c>
      <c r="B36" s="467" t="s">
        <v>1448</v>
      </c>
      <c r="C36" s="468" t="s">
        <v>1449</v>
      </c>
      <c r="D36" s="469" t="s">
        <v>435</v>
      </c>
      <c r="E36" s="657">
        <v>42</v>
      </c>
      <c r="F36" s="1069"/>
      <c r="G36" s="1052">
        <f t="shared" si="0"/>
        <v>0</v>
      </c>
      <c r="H36" s="658">
        <v>1.31E-3</v>
      </c>
      <c r="I36" s="658">
        <f t="shared" si="1"/>
        <v>5.5019999999999999E-2</v>
      </c>
      <c r="J36" s="658">
        <v>0</v>
      </c>
      <c r="K36" s="658">
        <f t="shared" si="2"/>
        <v>0</v>
      </c>
      <c r="Q36" s="655">
        <v>2</v>
      </c>
      <c r="AA36" s="1">
        <v>12</v>
      </c>
      <c r="AB36" s="1">
        <v>0</v>
      </c>
      <c r="AC36" s="1">
        <v>13</v>
      </c>
      <c r="BB36" s="1">
        <v>2</v>
      </c>
      <c r="BC36" s="1">
        <f t="shared" si="3"/>
        <v>0</v>
      </c>
      <c r="BD36" s="1">
        <f t="shared" si="4"/>
        <v>0</v>
      </c>
      <c r="BE36" s="1">
        <f t="shared" si="5"/>
        <v>0</v>
      </c>
      <c r="BF36" s="1">
        <f t="shared" si="6"/>
        <v>0</v>
      </c>
      <c r="BG36" s="1">
        <f t="shared" si="7"/>
        <v>0</v>
      </c>
    </row>
    <row r="37" spans="1:59" x14ac:dyDescent="0.2">
      <c r="A37" s="656">
        <v>14</v>
      </c>
      <c r="B37" s="467" t="s">
        <v>389</v>
      </c>
      <c r="C37" s="468" t="s">
        <v>6</v>
      </c>
      <c r="D37" s="469" t="s">
        <v>444</v>
      </c>
      <c r="E37" s="657">
        <v>28</v>
      </c>
      <c r="F37" s="1069"/>
      <c r="G37" s="1052">
        <f t="shared" si="0"/>
        <v>0</v>
      </c>
      <c r="H37" s="658">
        <v>0</v>
      </c>
      <c r="I37" s="658">
        <f t="shared" si="1"/>
        <v>0</v>
      </c>
      <c r="J37" s="658">
        <v>0</v>
      </c>
      <c r="K37" s="658">
        <f t="shared" si="2"/>
        <v>0</v>
      </c>
      <c r="Q37" s="655">
        <v>2</v>
      </c>
      <c r="AA37" s="1">
        <v>12</v>
      </c>
      <c r="AB37" s="1">
        <v>0</v>
      </c>
      <c r="AC37" s="1">
        <v>14</v>
      </c>
      <c r="BB37" s="1">
        <v>2</v>
      </c>
      <c r="BC37" s="1">
        <f t="shared" si="3"/>
        <v>0</v>
      </c>
      <c r="BD37" s="1">
        <f t="shared" si="4"/>
        <v>0</v>
      </c>
      <c r="BE37" s="1">
        <f t="shared" si="5"/>
        <v>0</v>
      </c>
      <c r="BF37" s="1">
        <f t="shared" si="6"/>
        <v>0</v>
      </c>
      <c r="BG37" s="1">
        <f t="shared" si="7"/>
        <v>0</v>
      </c>
    </row>
    <row r="38" spans="1:59" x14ac:dyDescent="0.2">
      <c r="A38" s="656">
        <v>15</v>
      </c>
      <c r="B38" s="467" t="s">
        <v>390</v>
      </c>
      <c r="C38" s="468" t="s">
        <v>636</v>
      </c>
      <c r="D38" s="469" t="s">
        <v>444</v>
      </c>
      <c r="E38" s="657">
        <v>9</v>
      </c>
      <c r="F38" s="1069"/>
      <c r="G38" s="1052">
        <f t="shared" si="0"/>
        <v>0</v>
      </c>
      <c r="H38" s="658">
        <v>0</v>
      </c>
      <c r="I38" s="658">
        <f t="shared" si="1"/>
        <v>0</v>
      </c>
      <c r="J38" s="658">
        <v>0</v>
      </c>
      <c r="K38" s="658">
        <f t="shared" si="2"/>
        <v>0</v>
      </c>
      <c r="Q38" s="655">
        <v>2</v>
      </c>
      <c r="AA38" s="1">
        <v>12</v>
      </c>
      <c r="AB38" s="1">
        <v>0</v>
      </c>
      <c r="AC38" s="1">
        <v>15</v>
      </c>
      <c r="BB38" s="1">
        <v>2</v>
      </c>
      <c r="BC38" s="1">
        <f t="shared" si="3"/>
        <v>0</v>
      </c>
      <c r="BD38" s="1">
        <f t="shared" si="4"/>
        <v>0</v>
      </c>
      <c r="BE38" s="1">
        <f t="shared" si="5"/>
        <v>0</v>
      </c>
      <c r="BF38" s="1">
        <f t="shared" si="6"/>
        <v>0</v>
      </c>
      <c r="BG38" s="1">
        <f t="shared" si="7"/>
        <v>0</v>
      </c>
    </row>
    <row r="39" spans="1:59" x14ac:dyDescent="0.2">
      <c r="A39" s="656">
        <v>16</v>
      </c>
      <c r="B39" s="467" t="s">
        <v>391</v>
      </c>
      <c r="C39" s="468" t="s">
        <v>637</v>
      </c>
      <c r="D39" s="469" t="s">
        <v>444</v>
      </c>
      <c r="E39" s="657">
        <v>10</v>
      </c>
      <c r="F39" s="1069"/>
      <c r="G39" s="1052">
        <f t="shared" si="0"/>
        <v>0</v>
      </c>
      <c r="H39" s="658">
        <v>0</v>
      </c>
      <c r="I39" s="658">
        <f t="shared" si="1"/>
        <v>0</v>
      </c>
      <c r="J39" s="658">
        <v>0</v>
      </c>
      <c r="K39" s="658">
        <f t="shared" si="2"/>
        <v>0</v>
      </c>
      <c r="Q39" s="655">
        <v>2</v>
      </c>
      <c r="AA39" s="1">
        <v>12</v>
      </c>
      <c r="AB39" s="1">
        <v>0</v>
      </c>
      <c r="AC39" s="1">
        <v>16</v>
      </c>
      <c r="BB39" s="1">
        <v>2</v>
      </c>
      <c r="BC39" s="1">
        <f t="shared" si="3"/>
        <v>0</v>
      </c>
      <c r="BD39" s="1">
        <f t="shared" si="4"/>
        <v>0</v>
      </c>
      <c r="BE39" s="1">
        <f t="shared" si="5"/>
        <v>0</v>
      </c>
      <c r="BF39" s="1">
        <f t="shared" si="6"/>
        <v>0</v>
      </c>
      <c r="BG39" s="1">
        <f t="shared" si="7"/>
        <v>0</v>
      </c>
    </row>
    <row r="40" spans="1:59" ht="25.5" x14ac:dyDescent="0.2">
      <c r="A40" s="656">
        <v>17</v>
      </c>
      <c r="B40" s="467" t="s">
        <v>383</v>
      </c>
      <c r="C40" s="468" t="s">
        <v>1450</v>
      </c>
      <c r="D40" s="469" t="s">
        <v>275</v>
      </c>
      <c r="E40" s="657">
        <v>9</v>
      </c>
      <c r="F40" s="1069"/>
      <c r="G40" s="1052">
        <f t="shared" si="0"/>
        <v>0</v>
      </c>
      <c r="H40" s="658">
        <v>7.6000000000000004E-4</v>
      </c>
      <c r="I40" s="658">
        <f t="shared" si="1"/>
        <v>6.8400000000000006E-3</v>
      </c>
      <c r="J40" s="658">
        <v>0</v>
      </c>
      <c r="K40" s="658">
        <f t="shared" si="2"/>
        <v>0</v>
      </c>
      <c r="Q40" s="655">
        <v>2</v>
      </c>
      <c r="AA40" s="1">
        <v>12</v>
      </c>
      <c r="AB40" s="1">
        <v>0</v>
      </c>
      <c r="AC40" s="1">
        <v>17</v>
      </c>
      <c r="BB40" s="1">
        <v>2</v>
      </c>
      <c r="BC40" s="1">
        <f t="shared" si="3"/>
        <v>0</v>
      </c>
      <c r="BD40" s="1">
        <f t="shared" si="4"/>
        <v>0</v>
      </c>
      <c r="BE40" s="1">
        <f t="shared" si="5"/>
        <v>0</v>
      </c>
      <c r="BF40" s="1">
        <f t="shared" si="6"/>
        <v>0</v>
      </c>
      <c r="BG40" s="1">
        <f t="shared" si="7"/>
        <v>0</v>
      </c>
    </row>
    <row r="41" spans="1:59" x14ac:dyDescent="0.2">
      <c r="A41" s="656">
        <v>18</v>
      </c>
      <c r="B41" s="467" t="s">
        <v>384</v>
      </c>
      <c r="C41" s="468" t="s">
        <v>1451</v>
      </c>
      <c r="D41" s="469" t="s">
        <v>275</v>
      </c>
      <c r="E41" s="657">
        <v>1</v>
      </c>
      <c r="F41" s="1069"/>
      <c r="G41" s="1052">
        <f t="shared" si="0"/>
        <v>0</v>
      </c>
      <c r="H41" s="658">
        <v>4.4000000000000002E-4</v>
      </c>
      <c r="I41" s="658">
        <f t="shared" si="1"/>
        <v>4.4000000000000002E-4</v>
      </c>
      <c r="J41" s="658">
        <v>0</v>
      </c>
      <c r="K41" s="658">
        <f t="shared" si="2"/>
        <v>0</v>
      </c>
      <c r="Q41" s="655">
        <v>2</v>
      </c>
      <c r="AA41" s="1">
        <v>12</v>
      </c>
      <c r="AB41" s="1">
        <v>0</v>
      </c>
      <c r="AC41" s="1">
        <v>18</v>
      </c>
      <c r="BB41" s="1">
        <v>2</v>
      </c>
      <c r="BC41" s="1">
        <f t="shared" si="3"/>
        <v>0</v>
      </c>
      <c r="BD41" s="1">
        <f t="shared" si="4"/>
        <v>0</v>
      </c>
      <c r="BE41" s="1">
        <f t="shared" si="5"/>
        <v>0</v>
      </c>
      <c r="BF41" s="1">
        <f t="shared" si="6"/>
        <v>0</v>
      </c>
      <c r="BG41" s="1">
        <f t="shared" si="7"/>
        <v>0</v>
      </c>
    </row>
    <row r="42" spans="1:59" x14ac:dyDescent="0.2">
      <c r="A42" s="656">
        <v>19</v>
      </c>
      <c r="B42" s="467" t="s">
        <v>625</v>
      </c>
      <c r="C42" s="468" t="s">
        <v>626</v>
      </c>
      <c r="D42" s="469" t="s">
        <v>444</v>
      </c>
      <c r="E42" s="657">
        <v>34</v>
      </c>
      <c r="F42" s="1069"/>
      <c r="G42" s="1052">
        <f t="shared" si="0"/>
        <v>0</v>
      </c>
      <c r="H42" s="658">
        <v>0</v>
      </c>
      <c r="I42" s="658">
        <f t="shared" si="1"/>
        <v>0</v>
      </c>
      <c r="J42" s="658">
        <v>0</v>
      </c>
      <c r="K42" s="658">
        <f t="shared" si="2"/>
        <v>0</v>
      </c>
      <c r="Q42" s="655">
        <v>2</v>
      </c>
      <c r="AA42" s="1">
        <v>12</v>
      </c>
      <c r="AB42" s="1">
        <v>0</v>
      </c>
      <c r="AC42" s="1">
        <v>19</v>
      </c>
      <c r="BB42" s="1">
        <v>2</v>
      </c>
      <c r="BC42" s="1">
        <f t="shared" si="3"/>
        <v>0</v>
      </c>
      <c r="BD42" s="1">
        <f t="shared" si="4"/>
        <v>0</v>
      </c>
      <c r="BE42" s="1">
        <f t="shared" si="5"/>
        <v>0</v>
      </c>
      <c r="BF42" s="1">
        <f t="shared" si="6"/>
        <v>0</v>
      </c>
      <c r="BG42" s="1">
        <f t="shared" si="7"/>
        <v>0</v>
      </c>
    </row>
    <row r="43" spans="1:59" x14ac:dyDescent="0.2">
      <c r="A43" s="656">
        <v>20</v>
      </c>
      <c r="B43" s="467" t="s">
        <v>627</v>
      </c>
      <c r="C43" s="468" t="s">
        <v>628</v>
      </c>
      <c r="D43" s="469" t="s">
        <v>444</v>
      </c>
      <c r="E43" s="657">
        <v>34</v>
      </c>
      <c r="F43" s="1069"/>
      <c r="G43" s="1052">
        <f t="shared" si="0"/>
        <v>0</v>
      </c>
      <c r="H43" s="658">
        <v>2.3000000000000001E-4</v>
      </c>
      <c r="I43" s="658">
        <f t="shared" si="1"/>
        <v>7.8200000000000006E-3</v>
      </c>
      <c r="J43" s="658">
        <v>0</v>
      </c>
      <c r="K43" s="658">
        <f t="shared" si="2"/>
        <v>0</v>
      </c>
      <c r="Q43" s="655">
        <v>2</v>
      </c>
      <c r="AA43" s="1">
        <v>12</v>
      </c>
      <c r="AB43" s="1">
        <v>0</v>
      </c>
      <c r="AC43" s="1">
        <v>20</v>
      </c>
      <c r="BB43" s="1">
        <v>2</v>
      </c>
      <c r="BC43" s="1">
        <f t="shared" si="3"/>
        <v>0</v>
      </c>
      <c r="BD43" s="1">
        <f t="shared" si="4"/>
        <v>0</v>
      </c>
      <c r="BE43" s="1">
        <f t="shared" si="5"/>
        <v>0</v>
      </c>
      <c r="BF43" s="1">
        <f t="shared" si="6"/>
        <v>0</v>
      </c>
      <c r="BG43" s="1">
        <f t="shared" si="7"/>
        <v>0</v>
      </c>
    </row>
    <row r="44" spans="1:59" x14ac:dyDescent="0.2">
      <c r="A44" s="656">
        <v>21</v>
      </c>
      <c r="B44" s="467" t="s">
        <v>392</v>
      </c>
      <c r="C44" s="468" t="s">
        <v>629</v>
      </c>
      <c r="D44" s="469" t="s">
        <v>435</v>
      </c>
      <c r="E44" s="657">
        <v>150</v>
      </c>
      <c r="F44" s="1069"/>
      <c r="G44" s="1052">
        <f t="shared" si="0"/>
        <v>0</v>
      </c>
      <c r="H44" s="658">
        <v>0</v>
      </c>
      <c r="I44" s="658">
        <f t="shared" si="1"/>
        <v>0</v>
      </c>
      <c r="J44" s="658">
        <v>0</v>
      </c>
      <c r="K44" s="658">
        <f t="shared" si="2"/>
        <v>0</v>
      </c>
      <c r="Q44" s="655">
        <v>2</v>
      </c>
      <c r="AA44" s="1">
        <v>12</v>
      </c>
      <c r="AB44" s="1">
        <v>0</v>
      </c>
      <c r="AC44" s="1">
        <v>21</v>
      </c>
      <c r="BB44" s="1">
        <v>2</v>
      </c>
      <c r="BC44" s="1">
        <f t="shared" si="3"/>
        <v>0</v>
      </c>
      <c r="BD44" s="1">
        <f t="shared" si="4"/>
        <v>0</v>
      </c>
      <c r="BE44" s="1">
        <f t="shared" si="5"/>
        <v>0</v>
      </c>
      <c r="BF44" s="1">
        <f t="shared" si="6"/>
        <v>0</v>
      </c>
      <c r="BG44" s="1">
        <f t="shared" si="7"/>
        <v>0</v>
      </c>
    </row>
    <row r="45" spans="1:59" x14ac:dyDescent="0.2">
      <c r="A45" s="656">
        <v>22</v>
      </c>
      <c r="B45" s="467" t="s">
        <v>393</v>
      </c>
      <c r="C45" s="468" t="s">
        <v>9</v>
      </c>
      <c r="D45" s="469" t="s">
        <v>436</v>
      </c>
      <c r="E45" s="657">
        <v>0.1467</v>
      </c>
      <c r="F45" s="1069"/>
      <c r="G45" s="1052">
        <f t="shared" si="0"/>
        <v>0</v>
      </c>
      <c r="H45" s="658">
        <v>0</v>
      </c>
      <c r="I45" s="658">
        <f t="shared" si="1"/>
        <v>0</v>
      </c>
      <c r="J45" s="658">
        <v>0</v>
      </c>
      <c r="K45" s="658">
        <f t="shared" si="2"/>
        <v>0</v>
      </c>
      <c r="Q45" s="655">
        <v>2</v>
      </c>
      <c r="AA45" s="1">
        <v>12</v>
      </c>
      <c r="AB45" s="1">
        <v>0</v>
      </c>
      <c r="AC45" s="1">
        <v>22</v>
      </c>
      <c r="BB45" s="1">
        <v>2</v>
      </c>
      <c r="BC45" s="1">
        <f t="shared" si="3"/>
        <v>0</v>
      </c>
      <c r="BD45" s="1">
        <f t="shared" si="4"/>
        <v>0</v>
      </c>
      <c r="BE45" s="1">
        <f t="shared" si="5"/>
        <v>0</v>
      </c>
      <c r="BF45" s="1">
        <f t="shared" si="6"/>
        <v>0</v>
      </c>
      <c r="BG45" s="1">
        <f t="shared" si="7"/>
        <v>0</v>
      </c>
    </row>
    <row r="46" spans="1:59" x14ac:dyDescent="0.2">
      <c r="A46" s="656">
        <v>23</v>
      </c>
      <c r="B46" s="467" t="s">
        <v>630</v>
      </c>
      <c r="C46" s="468" t="s">
        <v>631</v>
      </c>
      <c r="D46" s="469" t="s">
        <v>444</v>
      </c>
      <c r="E46" s="657">
        <v>17</v>
      </c>
      <c r="F46" s="1069"/>
      <c r="G46" s="1052">
        <f t="shared" si="0"/>
        <v>0</v>
      </c>
      <c r="H46" s="658">
        <v>0</v>
      </c>
      <c r="I46" s="658">
        <f t="shared" si="1"/>
        <v>0</v>
      </c>
      <c r="J46" s="658">
        <v>0</v>
      </c>
      <c r="K46" s="658">
        <f t="shared" si="2"/>
        <v>0</v>
      </c>
      <c r="Q46" s="655">
        <v>2</v>
      </c>
      <c r="AA46" s="1">
        <v>12</v>
      </c>
      <c r="AB46" s="1">
        <v>0</v>
      </c>
      <c r="AC46" s="1">
        <v>23</v>
      </c>
      <c r="BB46" s="1">
        <v>2</v>
      </c>
      <c r="BC46" s="1">
        <f t="shared" si="3"/>
        <v>0</v>
      </c>
      <c r="BD46" s="1">
        <f t="shared" si="4"/>
        <v>0</v>
      </c>
      <c r="BE46" s="1">
        <f t="shared" si="5"/>
        <v>0</v>
      </c>
      <c r="BF46" s="1">
        <f t="shared" si="6"/>
        <v>0</v>
      </c>
      <c r="BG46" s="1">
        <f t="shared" si="7"/>
        <v>0</v>
      </c>
    </row>
    <row r="47" spans="1:59" x14ac:dyDescent="0.2">
      <c r="A47" s="656">
        <v>24</v>
      </c>
      <c r="B47" s="467" t="s">
        <v>638</v>
      </c>
      <c r="C47" s="468" t="s">
        <v>639</v>
      </c>
      <c r="D47" s="469" t="s">
        <v>435</v>
      </c>
      <c r="E47" s="657">
        <v>75</v>
      </c>
      <c r="F47" s="1069"/>
      <c r="G47" s="1052">
        <f t="shared" si="0"/>
        <v>0</v>
      </c>
      <c r="H47" s="658">
        <v>0</v>
      </c>
      <c r="I47" s="658">
        <f t="shared" si="1"/>
        <v>0</v>
      </c>
      <c r="J47" s="658">
        <v>-2.0999999999999999E-3</v>
      </c>
      <c r="K47" s="658">
        <f t="shared" si="2"/>
        <v>-0.1575</v>
      </c>
      <c r="Q47" s="655">
        <v>2</v>
      </c>
      <c r="AA47" s="1">
        <v>12</v>
      </c>
      <c r="AB47" s="1">
        <v>0</v>
      </c>
      <c r="AC47" s="1">
        <v>24</v>
      </c>
      <c r="BB47" s="1">
        <v>2</v>
      </c>
      <c r="BC47" s="1">
        <f t="shared" si="3"/>
        <v>0</v>
      </c>
      <c r="BD47" s="1">
        <f t="shared" si="4"/>
        <v>0</v>
      </c>
      <c r="BE47" s="1">
        <f t="shared" si="5"/>
        <v>0</v>
      </c>
      <c r="BF47" s="1">
        <f t="shared" si="6"/>
        <v>0</v>
      </c>
      <c r="BG47" s="1">
        <f t="shared" si="7"/>
        <v>0</v>
      </c>
    </row>
    <row r="48" spans="1:59" x14ac:dyDescent="0.2">
      <c r="A48" s="656">
        <v>25</v>
      </c>
      <c r="B48" s="467" t="s">
        <v>640</v>
      </c>
      <c r="C48" s="468" t="s">
        <v>641</v>
      </c>
      <c r="D48" s="469" t="s">
        <v>435</v>
      </c>
      <c r="E48" s="657">
        <v>60</v>
      </c>
      <c r="F48" s="1069"/>
      <c r="G48" s="1052">
        <f t="shared" si="0"/>
        <v>0</v>
      </c>
      <c r="H48" s="658">
        <v>0</v>
      </c>
      <c r="I48" s="658">
        <f t="shared" si="1"/>
        <v>0</v>
      </c>
      <c r="J48" s="658">
        <v>-1.98E-3</v>
      </c>
      <c r="K48" s="658">
        <f t="shared" si="2"/>
        <v>-0.1188</v>
      </c>
      <c r="Q48" s="655">
        <v>2</v>
      </c>
      <c r="AA48" s="1">
        <v>12</v>
      </c>
      <c r="AB48" s="1">
        <v>0</v>
      </c>
      <c r="AC48" s="1">
        <v>25</v>
      </c>
      <c r="BB48" s="1">
        <v>2</v>
      </c>
      <c r="BC48" s="1">
        <f t="shared" si="3"/>
        <v>0</v>
      </c>
      <c r="BD48" s="1">
        <f t="shared" si="4"/>
        <v>0</v>
      </c>
      <c r="BE48" s="1">
        <f t="shared" si="5"/>
        <v>0</v>
      </c>
      <c r="BF48" s="1">
        <f t="shared" si="6"/>
        <v>0</v>
      </c>
      <c r="BG48" s="1">
        <f t="shared" si="7"/>
        <v>0</v>
      </c>
    </row>
    <row r="49" spans="1:59" x14ac:dyDescent="0.2">
      <c r="A49" s="656">
        <v>26</v>
      </c>
      <c r="B49" s="467" t="s">
        <v>642</v>
      </c>
      <c r="C49" s="468" t="s">
        <v>643</v>
      </c>
      <c r="D49" s="469" t="s">
        <v>436</v>
      </c>
      <c r="E49" s="657">
        <v>0.27629999999999999</v>
      </c>
      <c r="F49" s="1069"/>
      <c r="G49" s="1052">
        <f t="shared" si="0"/>
        <v>0</v>
      </c>
      <c r="H49" s="658">
        <v>0</v>
      </c>
      <c r="I49" s="658">
        <f t="shared" si="1"/>
        <v>0</v>
      </c>
      <c r="J49" s="658">
        <v>0</v>
      </c>
      <c r="K49" s="658">
        <f t="shared" si="2"/>
        <v>0</v>
      </c>
      <c r="Q49" s="655">
        <v>2</v>
      </c>
      <c r="AA49" s="1">
        <v>12</v>
      </c>
      <c r="AB49" s="1">
        <v>0</v>
      </c>
      <c r="AC49" s="1">
        <v>26</v>
      </c>
      <c r="BB49" s="1">
        <v>2</v>
      </c>
      <c r="BC49" s="1">
        <f t="shared" si="3"/>
        <v>0</v>
      </c>
      <c r="BD49" s="1">
        <f t="shared" si="4"/>
        <v>0</v>
      </c>
      <c r="BE49" s="1">
        <f t="shared" si="5"/>
        <v>0</v>
      </c>
      <c r="BF49" s="1">
        <f t="shared" si="6"/>
        <v>0</v>
      </c>
      <c r="BG49" s="1">
        <f t="shared" si="7"/>
        <v>0</v>
      </c>
    </row>
    <row r="50" spans="1:59" x14ac:dyDescent="0.2">
      <c r="A50" s="656">
        <v>27</v>
      </c>
      <c r="B50" s="467" t="s">
        <v>384</v>
      </c>
      <c r="C50" s="468" t="s">
        <v>644</v>
      </c>
      <c r="D50" s="469" t="s">
        <v>436</v>
      </c>
      <c r="E50" s="657">
        <v>0.27629999999999999</v>
      </c>
      <c r="F50" s="1069"/>
      <c r="G50" s="1052">
        <f t="shared" si="0"/>
        <v>0</v>
      </c>
      <c r="H50" s="658">
        <v>0</v>
      </c>
      <c r="I50" s="658">
        <f t="shared" si="1"/>
        <v>0</v>
      </c>
      <c r="J50" s="658">
        <v>0</v>
      </c>
      <c r="K50" s="658">
        <f t="shared" si="2"/>
        <v>0</v>
      </c>
      <c r="Q50" s="655">
        <v>2</v>
      </c>
      <c r="AA50" s="1">
        <v>12</v>
      </c>
      <c r="AB50" s="1">
        <v>0</v>
      </c>
      <c r="AC50" s="1">
        <v>27</v>
      </c>
      <c r="BB50" s="1">
        <v>2</v>
      </c>
      <c r="BC50" s="1">
        <f t="shared" si="3"/>
        <v>0</v>
      </c>
      <c r="BD50" s="1">
        <f t="shared" si="4"/>
        <v>0</v>
      </c>
      <c r="BE50" s="1">
        <f t="shared" si="5"/>
        <v>0</v>
      </c>
      <c r="BF50" s="1">
        <f t="shared" si="6"/>
        <v>0</v>
      </c>
      <c r="BG50" s="1">
        <f t="shared" si="7"/>
        <v>0</v>
      </c>
    </row>
    <row r="51" spans="1:59" x14ac:dyDescent="0.2">
      <c r="A51" s="656">
        <v>28</v>
      </c>
      <c r="B51" s="467" t="s">
        <v>401</v>
      </c>
      <c r="C51" s="468" t="s">
        <v>645</v>
      </c>
      <c r="D51" s="469" t="s">
        <v>436</v>
      </c>
      <c r="E51" s="657">
        <v>0.27629999999999999</v>
      </c>
      <c r="F51" s="1069"/>
      <c r="G51" s="1052">
        <f t="shared" si="0"/>
        <v>0</v>
      </c>
      <c r="H51" s="658">
        <v>0</v>
      </c>
      <c r="I51" s="658">
        <f t="shared" si="1"/>
        <v>0</v>
      </c>
      <c r="J51" s="658">
        <v>0</v>
      </c>
      <c r="K51" s="658">
        <f t="shared" si="2"/>
        <v>0</v>
      </c>
      <c r="Q51" s="655">
        <v>2</v>
      </c>
      <c r="AA51" s="1">
        <v>12</v>
      </c>
      <c r="AB51" s="1">
        <v>0</v>
      </c>
      <c r="AC51" s="1">
        <v>28</v>
      </c>
      <c r="BB51" s="1">
        <v>2</v>
      </c>
      <c r="BC51" s="1">
        <f t="shared" si="3"/>
        <v>0</v>
      </c>
      <c r="BD51" s="1">
        <f t="shared" si="4"/>
        <v>0</v>
      </c>
      <c r="BE51" s="1">
        <f t="shared" si="5"/>
        <v>0</v>
      </c>
      <c r="BF51" s="1">
        <f t="shared" si="6"/>
        <v>0</v>
      </c>
      <c r="BG51" s="1">
        <f t="shared" si="7"/>
        <v>0</v>
      </c>
    </row>
    <row r="52" spans="1:59" x14ac:dyDescent="0.2">
      <c r="A52" s="470"/>
      <c r="B52" s="471" t="s">
        <v>387</v>
      </c>
      <c r="C52" s="472" t="str">
        <f>CONCATENATE(B27," ",C27)</f>
        <v>721 Vnitřní kanalizace</v>
      </c>
      <c r="D52" s="470"/>
      <c r="E52" s="659"/>
      <c r="F52" s="659"/>
      <c r="G52" s="1060">
        <f>SUM(G27:G51)</f>
        <v>0</v>
      </c>
      <c r="H52" s="660"/>
      <c r="I52" s="661">
        <f>SUM(I27:I51)</f>
        <v>0.14673</v>
      </c>
      <c r="J52" s="660"/>
      <c r="K52" s="661">
        <f>SUM(K27:K51)</f>
        <v>-0.27629999999999999</v>
      </c>
      <c r="Q52" s="655">
        <v>4</v>
      </c>
      <c r="BC52" s="662">
        <f>SUM(BC27:BC51)</f>
        <v>0</v>
      </c>
      <c r="BD52" s="662">
        <f>SUM(BD27:BD51)</f>
        <v>0</v>
      </c>
      <c r="BE52" s="662">
        <f>SUM(BE27:BE51)</f>
        <v>0</v>
      </c>
      <c r="BF52" s="662">
        <f>SUM(BF27:BF51)</f>
        <v>0</v>
      </c>
      <c r="BG52" s="662">
        <f>SUM(BG27:BG51)</f>
        <v>0</v>
      </c>
    </row>
    <row r="53" spans="1:59" x14ac:dyDescent="0.2">
      <c r="A53" s="652" t="s">
        <v>381</v>
      </c>
      <c r="B53" s="464" t="s">
        <v>375</v>
      </c>
      <c r="C53" s="465" t="s">
        <v>376</v>
      </c>
      <c r="D53" s="466"/>
      <c r="E53" s="653"/>
      <c r="F53" s="653"/>
      <c r="G53" s="1051"/>
      <c r="H53" s="654"/>
      <c r="I53" s="654"/>
      <c r="J53" s="654"/>
      <c r="K53" s="654"/>
      <c r="Q53" s="655">
        <v>1</v>
      </c>
    </row>
    <row r="54" spans="1:59" x14ac:dyDescent="0.2">
      <c r="A54" s="652"/>
      <c r="B54" s="464"/>
      <c r="C54" s="670" t="s">
        <v>646</v>
      </c>
      <c r="D54" s="466"/>
      <c r="E54" s="653"/>
      <c r="F54" s="653"/>
      <c r="G54" s="1051"/>
      <c r="H54" s="664"/>
      <c r="I54" s="664"/>
      <c r="J54" s="664"/>
      <c r="K54" s="664"/>
      <c r="Q54" s="655"/>
    </row>
    <row r="55" spans="1:59" x14ac:dyDescent="0.2">
      <c r="A55" s="652"/>
      <c r="B55" s="464"/>
      <c r="C55" s="671" t="s">
        <v>1444</v>
      </c>
      <c r="D55" s="466"/>
      <c r="E55" s="653"/>
      <c r="F55" s="653"/>
      <c r="G55" s="1051"/>
      <c r="H55" s="664"/>
      <c r="I55" s="664"/>
      <c r="J55" s="664"/>
      <c r="K55" s="664"/>
      <c r="Q55" s="655"/>
    </row>
    <row r="56" spans="1:59" x14ac:dyDescent="0.2">
      <c r="A56" s="652"/>
      <c r="B56" s="464"/>
      <c r="C56" s="671" t="s">
        <v>1445</v>
      </c>
      <c r="D56" s="466"/>
      <c r="E56" s="653"/>
      <c r="F56" s="653"/>
      <c r="G56" s="1051"/>
      <c r="H56" s="664"/>
      <c r="I56" s="664"/>
      <c r="J56" s="664"/>
      <c r="K56" s="664"/>
      <c r="Q56" s="655"/>
    </row>
    <row r="57" spans="1:59" x14ac:dyDescent="0.2">
      <c r="A57" s="656">
        <v>29</v>
      </c>
      <c r="B57" s="467" t="s">
        <v>647</v>
      </c>
      <c r="C57" s="468" t="s">
        <v>648</v>
      </c>
      <c r="D57" s="469" t="s">
        <v>435</v>
      </c>
      <c r="E57" s="657">
        <v>171</v>
      </c>
      <c r="F57" s="1069"/>
      <c r="G57" s="1052">
        <f t="shared" ref="G57:G94" si="8">E57*F57</f>
        <v>0</v>
      </c>
      <c r="H57" s="658">
        <v>4.6000000000000001E-4</v>
      </c>
      <c r="I57" s="658">
        <f t="shared" ref="I57:I94" si="9">E57*H57</f>
        <v>7.8660000000000008E-2</v>
      </c>
      <c r="J57" s="658">
        <v>0</v>
      </c>
      <c r="K57" s="658">
        <f t="shared" ref="K57:K94" si="10">E57*J57</f>
        <v>0</v>
      </c>
      <c r="Q57" s="655">
        <v>2</v>
      </c>
      <c r="AA57" s="1">
        <v>12</v>
      </c>
      <c r="AB57" s="1">
        <v>0</v>
      </c>
      <c r="AC57" s="1">
        <v>29</v>
      </c>
      <c r="BB57" s="1">
        <v>2</v>
      </c>
      <c r="BC57" s="1">
        <f t="shared" ref="BC57:BC94" si="11">IF(BB57=1,G57,0)</f>
        <v>0</v>
      </c>
      <c r="BD57" s="1">
        <f t="shared" ref="BD57:BD94" si="12">IF(BB57=2,G57,0)</f>
        <v>0</v>
      </c>
      <c r="BE57" s="1">
        <f t="shared" ref="BE57:BE94" si="13">IF(BB57=3,G57,0)</f>
        <v>0</v>
      </c>
      <c r="BF57" s="1">
        <f t="shared" ref="BF57:BF94" si="14">IF(BB57=4,G57,0)</f>
        <v>0</v>
      </c>
      <c r="BG57" s="1">
        <f t="shared" ref="BG57:BG94" si="15">IF(BB57=5,G57,0)</f>
        <v>0</v>
      </c>
    </row>
    <row r="58" spans="1:59" x14ac:dyDescent="0.2">
      <c r="A58" s="656">
        <v>30</v>
      </c>
      <c r="B58" s="467" t="s">
        <v>649</v>
      </c>
      <c r="C58" s="468" t="s">
        <v>650</v>
      </c>
      <c r="D58" s="469" t="s">
        <v>435</v>
      </c>
      <c r="E58" s="657">
        <v>54</v>
      </c>
      <c r="F58" s="1069"/>
      <c r="G58" s="1052">
        <f t="shared" si="8"/>
        <v>0</v>
      </c>
      <c r="H58" s="658">
        <v>5.1000000000000004E-4</v>
      </c>
      <c r="I58" s="658">
        <f t="shared" si="9"/>
        <v>2.7540000000000002E-2</v>
      </c>
      <c r="J58" s="658">
        <v>0</v>
      </c>
      <c r="K58" s="658">
        <f t="shared" si="10"/>
        <v>0</v>
      </c>
      <c r="Q58" s="655">
        <v>2</v>
      </c>
      <c r="AA58" s="1">
        <v>12</v>
      </c>
      <c r="AB58" s="1">
        <v>0</v>
      </c>
      <c r="AC58" s="1">
        <v>30</v>
      </c>
      <c r="BB58" s="1">
        <v>2</v>
      </c>
      <c r="BC58" s="1">
        <f t="shared" si="11"/>
        <v>0</v>
      </c>
      <c r="BD58" s="1">
        <f t="shared" si="12"/>
        <v>0</v>
      </c>
      <c r="BE58" s="1">
        <f t="shared" si="13"/>
        <v>0</v>
      </c>
      <c r="BF58" s="1">
        <f t="shared" si="14"/>
        <v>0</v>
      </c>
      <c r="BG58" s="1">
        <f t="shared" si="15"/>
        <v>0</v>
      </c>
    </row>
    <row r="59" spans="1:59" x14ac:dyDescent="0.2">
      <c r="A59" s="656">
        <v>31</v>
      </c>
      <c r="B59" s="467" t="s">
        <v>1452</v>
      </c>
      <c r="C59" s="468" t="s">
        <v>1453</v>
      </c>
      <c r="D59" s="469" t="s">
        <v>435</v>
      </c>
      <c r="E59" s="657">
        <v>75</v>
      </c>
      <c r="F59" s="1069"/>
      <c r="G59" s="1052">
        <f t="shared" si="8"/>
        <v>0</v>
      </c>
      <c r="H59" s="658">
        <v>6.4000000000000005E-4</v>
      </c>
      <c r="I59" s="658">
        <f t="shared" si="9"/>
        <v>4.8000000000000001E-2</v>
      </c>
      <c r="J59" s="658">
        <v>0</v>
      </c>
      <c r="K59" s="658">
        <f t="shared" si="10"/>
        <v>0</v>
      </c>
      <c r="Q59" s="655">
        <v>2</v>
      </c>
      <c r="AA59" s="1">
        <v>12</v>
      </c>
      <c r="AB59" s="1">
        <v>0</v>
      </c>
      <c r="AC59" s="1">
        <v>31</v>
      </c>
      <c r="BB59" s="1">
        <v>2</v>
      </c>
      <c r="BC59" s="1">
        <f t="shared" si="11"/>
        <v>0</v>
      </c>
      <c r="BD59" s="1">
        <f t="shared" si="12"/>
        <v>0</v>
      </c>
      <c r="BE59" s="1">
        <f t="shared" si="13"/>
        <v>0</v>
      </c>
      <c r="BF59" s="1">
        <f t="shared" si="14"/>
        <v>0</v>
      </c>
      <c r="BG59" s="1">
        <f t="shared" si="15"/>
        <v>0</v>
      </c>
    </row>
    <row r="60" spans="1:59" x14ac:dyDescent="0.2">
      <c r="A60" s="656">
        <v>32</v>
      </c>
      <c r="B60" s="467" t="s">
        <v>1454</v>
      </c>
      <c r="C60" s="468" t="s">
        <v>1455</v>
      </c>
      <c r="D60" s="469" t="s">
        <v>435</v>
      </c>
      <c r="E60" s="657">
        <v>18</v>
      </c>
      <c r="F60" s="1069"/>
      <c r="G60" s="1052">
        <f t="shared" si="8"/>
        <v>0</v>
      </c>
      <c r="H60" s="658">
        <v>9.7999999999999997E-4</v>
      </c>
      <c r="I60" s="658">
        <f t="shared" si="9"/>
        <v>1.7639999999999999E-2</v>
      </c>
      <c r="J60" s="658">
        <v>0</v>
      </c>
      <c r="K60" s="658">
        <f t="shared" si="10"/>
        <v>0</v>
      </c>
      <c r="Q60" s="655">
        <v>2</v>
      </c>
      <c r="AA60" s="1">
        <v>12</v>
      </c>
      <c r="AB60" s="1">
        <v>0</v>
      </c>
      <c r="AC60" s="1">
        <v>32</v>
      </c>
      <c r="BB60" s="1">
        <v>2</v>
      </c>
      <c r="BC60" s="1">
        <f t="shared" si="11"/>
        <v>0</v>
      </c>
      <c r="BD60" s="1">
        <f t="shared" si="12"/>
        <v>0</v>
      </c>
      <c r="BE60" s="1">
        <f t="shared" si="13"/>
        <v>0</v>
      </c>
      <c r="BF60" s="1">
        <f t="shared" si="14"/>
        <v>0</v>
      </c>
      <c r="BG60" s="1">
        <f t="shared" si="15"/>
        <v>0</v>
      </c>
    </row>
    <row r="61" spans="1:59" x14ac:dyDescent="0.2">
      <c r="A61" s="656">
        <v>33</v>
      </c>
      <c r="B61" s="467" t="s">
        <v>394</v>
      </c>
      <c r="C61" s="468" t="s">
        <v>10</v>
      </c>
      <c r="D61" s="469" t="s">
        <v>435</v>
      </c>
      <c r="E61" s="657">
        <v>171</v>
      </c>
      <c r="F61" s="1069"/>
      <c r="G61" s="1052">
        <f t="shared" si="8"/>
        <v>0</v>
      </c>
      <c r="H61" s="658">
        <v>2.7999999999999998E-4</v>
      </c>
      <c r="I61" s="658">
        <f t="shared" si="9"/>
        <v>4.7879999999999999E-2</v>
      </c>
      <c r="J61" s="658">
        <v>0</v>
      </c>
      <c r="K61" s="658">
        <f t="shared" si="10"/>
        <v>0</v>
      </c>
      <c r="Q61" s="655">
        <v>2</v>
      </c>
      <c r="AA61" s="1">
        <v>12</v>
      </c>
      <c r="AB61" s="1">
        <v>0</v>
      </c>
      <c r="AC61" s="1">
        <v>33</v>
      </c>
      <c r="BB61" s="1">
        <v>2</v>
      </c>
      <c r="BC61" s="1">
        <f t="shared" si="11"/>
        <v>0</v>
      </c>
      <c r="BD61" s="1">
        <f t="shared" si="12"/>
        <v>0</v>
      </c>
      <c r="BE61" s="1">
        <f t="shared" si="13"/>
        <v>0</v>
      </c>
      <c r="BF61" s="1">
        <f t="shared" si="14"/>
        <v>0</v>
      </c>
      <c r="BG61" s="1">
        <f t="shared" si="15"/>
        <v>0</v>
      </c>
    </row>
    <row r="62" spans="1:59" x14ac:dyDescent="0.2">
      <c r="A62" s="656">
        <v>34</v>
      </c>
      <c r="B62" s="467" t="s">
        <v>395</v>
      </c>
      <c r="C62" s="468" t="s">
        <v>11</v>
      </c>
      <c r="D62" s="469" t="s">
        <v>435</v>
      </c>
      <c r="E62" s="657">
        <v>54</v>
      </c>
      <c r="F62" s="1069"/>
      <c r="G62" s="1052">
        <f t="shared" si="8"/>
        <v>0</v>
      </c>
      <c r="H62" s="658">
        <v>2.7999999999999998E-4</v>
      </c>
      <c r="I62" s="658">
        <f t="shared" si="9"/>
        <v>1.5119999999999998E-2</v>
      </c>
      <c r="J62" s="658">
        <v>0</v>
      </c>
      <c r="K62" s="658">
        <f t="shared" si="10"/>
        <v>0</v>
      </c>
      <c r="Q62" s="655">
        <v>2</v>
      </c>
      <c r="AA62" s="1">
        <v>12</v>
      </c>
      <c r="AB62" s="1">
        <v>0</v>
      </c>
      <c r="AC62" s="1">
        <v>34</v>
      </c>
      <c r="BB62" s="1">
        <v>2</v>
      </c>
      <c r="BC62" s="1">
        <f t="shared" si="11"/>
        <v>0</v>
      </c>
      <c r="BD62" s="1">
        <f t="shared" si="12"/>
        <v>0</v>
      </c>
      <c r="BE62" s="1">
        <f t="shared" si="13"/>
        <v>0</v>
      </c>
      <c r="BF62" s="1">
        <f t="shared" si="14"/>
        <v>0</v>
      </c>
      <c r="BG62" s="1">
        <f t="shared" si="15"/>
        <v>0</v>
      </c>
    </row>
    <row r="63" spans="1:59" x14ac:dyDescent="0.2">
      <c r="A63" s="656">
        <v>35</v>
      </c>
      <c r="B63" s="467" t="s">
        <v>1456</v>
      </c>
      <c r="C63" s="468" t="s">
        <v>1457</v>
      </c>
      <c r="D63" s="469" t="s">
        <v>435</v>
      </c>
      <c r="E63" s="657">
        <v>75</v>
      </c>
      <c r="F63" s="1069"/>
      <c r="G63" s="1052">
        <f t="shared" si="8"/>
        <v>0</v>
      </c>
      <c r="H63" s="658">
        <v>2.7999999999999998E-4</v>
      </c>
      <c r="I63" s="658">
        <f t="shared" si="9"/>
        <v>2.0999999999999998E-2</v>
      </c>
      <c r="J63" s="658">
        <v>0</v>
      </c>
      <c r="K63" s="658">
        <f t="shared" si="10"/>
        <v>0</v>
      </c>
      <c r="Q63" s="655">
        <v>2</v>
      </c>
      <c r="AA63" s="1">
        <v>12</v>
      </c>
      <c r="AB63" s="1">
        <v>0</v>
      </c>
      <c r="AC63" s="1">
        <v>35</v>
      </c>
      <c r="BB63" s="1">
        <v>2</v>
      </c>
      <c r="BC63" s="1">
        <f t="shared" si="11"/>
        <v>0</v>
      </c>
      <c r="BD63" s="1">
        <f t="shared" si="12"/>
        <v>0</v>
      </c>
      <c r="BE63" s="1">
        <f t="shared" si="13"/>
        <v>0</v>
      </c>
      <c r="BF63" s="1">
        <f t="shared" si="14"/>
        <v>0</v>
      </c>
      <c r="BG63" s="1">
        <f t="shared" si="15"/>
        <v>0</v>
      </c>
    </row>
    <row r="64" spans="1:59" x14ac:dyDescent="0.2">
      <c r="A64" s="656">
        <v>36</v>
      </c>
      <c r="B64" s="467" t="s">
        <v>1458</v>
      </c>
      <c r="C64" s="468" t="s">
        <v>1459</v>
      </c>
      <c r="D64" s="469" t="s">
        <v>435</v>
      </c>
      <c r="E64" s="657">
        <v>18</v>
      </c>
      <c r="F64" s="1069"/>
      <c r="G64" s="1052">
        <f t="shared" si="8"/>
        <v>0</v>
      </c>
      <c r="H64" s="658">
        <v>2.9999999999999997E-4</v>
      </c>
      <c r="I64" s="658">
        <f t="shared" si="9"/>
        <v>5.3999999999999994E-3</v>
      </c>
      <c r="J64" s="658">
        <v>0</v>
      </c>
      <c r="K64" s="658">
        <f t="shared" si="10"/>
        <v>0</v>
      </c>
      <c r="Q64" s="655">
        <v>2</v>
      </c>
      <c r="AA64" s="1">
        <v>12</v>
      </c>
      <c r="AB64" s="1">
        <v>0</v>
      </c>
      <c r="AC64" s="1">
        <v>36</v>
      </c>
      <c r="BB64" s="1">
        <v>2</v>
      </c>
      <c r="BC64" s="1">
        <f t="shared" si="11"/>
        <v>0</v>
      </c>
      <c r="BD64" s="1">
        <f t="shared" si="12"/>
        <v>0</v>
      </c>
      <c r="BE64" s="1">
        <f t="shared" si="13"/>
        <v>0</v>
      </c>
      <c r="BF64" s="1">
        <f t="shared" si="14"/>
        <v>0</v>
      </c>
      <c r="BG64" s="1">
        <f t="shared" si="15"/>
        <v>0</v>
      </c>
    </row>
    <row r="65" spans="1:59" x14ac:dyDescent="0.2">
      <c r="A65" s="656">
        <v>37</v>
      </c>
      <c r="B65" s="467" t="s">
        <v>397</v>
      </c>
      <c r="C65" s="468" t="s">
        <v>12</v>
      </c>
      <c r="D65" s="469" t="s">
        <v>444</v>
      </c>
      <c r="E65" s="657">
        <v>86</v>
      </c>
      <c r="F65" s="1069"/>
      <c r="G65" s="1052">
        <f t="shared" si="8"/>
        <v>0</v>
      </c>
      <c r="H65" s="658">
        <v>0</v>
      </c>
      <c r="I65" s="658">
        <f t="shared" si="9"/>
        <v>0</v>
      </c>
      <c r="J65" s="658">
        <v>0</v>
      </c>
      <c r="K65" s="658">
        <f t="shared" si="10"/>
        <v>0</v>
      </c>
      <c r="Q65" s="655">
        <v>2</v>
      </c>
      <c r="AA65" s="1">
        <v>12</v>
      </c>
      <c r="AB65" s="1">
        <v>0</v>
      </c>
      <c r="AC65" s="1">
        <v>37</v>
      </c>
      <c r="BB65" s="1">
        <v>2</v>
      </c>
      <c r="BC65" s="1">
        <f t="shared" si="11"/>
        <v>0</v>
      </c>
      <c r="BD65" s="1">
        <f t="shared" si="12"/>
        <v>0</v>
      </c>
      <c r="BE65" s="1">
        <f t="shared" si="13"/>
        <v>0</v>
      </c>
      <c r="BF65" s="1">
        <f t="shared" si="14"/>
        <v>0</v>
      </c>
      <c r="BG65" s="1">
        <f t="shared" si="15"/>
        <v>0</v>
      </c>
    </row>
    <row r="66" spans="1:59" x14ac:dyDescent="0.2">
      <c r="A66" s="656">
        <v>38</v>
      </c>
      <c r="B66" s="467" t="s">
        <v>398</v>
      </c>
      <c r="C66" s="468" t="s">
        <v>13</v>
      </c>
      <c r="D66" s="469" t="s">
        <v>399</v>
      </c>
      <c r="E66" s="657">
        <v>30</v>
      </c>
      <c r="F66" s="1069"/>
      <c r="G66" s="1052">
        <f t="shared" si="8"/>
        <v>0</v>
      </c>
      <c r="H66" s="658">
        <v>1.5200000000000001E-3</v>
      </c>
      <c r="I66" s="658">
        <f t="shared" si="9"/>
        <v>4.5600000000000002E-2</v>
      </c>
      <c r="J66" s="658">
        <v>0</v>
      </c>
      <c r="K66" s="658">
        <f t="shared" si="10"/>
        <v>0</v>
      </c>
      <c r="Q66" s="655">
        <v>2</v>
      </c>
      <c r="AA66" s="1">
        <v>12</v>
      </c>
      <c r="AB66" s="1">
        <v>0</v>
      </c>
      <c r="AC66" s="1">
        <v>38</v>
      </c>
      <c r="BB66" s="1">
        <v>2</v>
      </c>
      <c r="BC66" s="1">
        <f t="shared" si="11"/>
        <v>0</v>
      </c>
      <c r="BD66" s="1">
        <f t="shared" si="12"/>
        <v>0</v>
      </c>
      <c r="BE66" s="1">
        <f t="shared" si="13"/>
        <v>0</v>
      </c>
      <c r="BF66" s="1">
        <f t="shared" si="14"/>
        <v>0</v>
      </c>
      <c r="BG66" s="1">
        <f t="shared" si="15"/>
        <v>0</v>
      </c>
    </row>
    <row r="67" spans="1:59" x14ac:dyDescent="0.2">
      <c r="A67" s="656">
        <v>39</v>
      </c>
      <c r="B67" s="467" t="s">
        <v>383</v>
      </c>
      <c r="C67" s="468" t="s">
        <v>651</v>
      </c>
      <c r="D67" s="469" t="s">
        <v>275</v>
      </c>
      <c r="E67" s="657">
        <v>24</v>
      </c>
      <c r="F67" s="1069"/>
      <c r="G67" s="1052">
        <f t="shared" si="8"/>
        <v>0</v>
      </c>
      <c r="H67" s="658">
        <v>1.6000000000000001E-3</v>
      </c>
      <c r="I67" s="658">
        <f t="shared" si="9"/>
        <v>3.8400000000000004E-2</v>
      </c>
      <c r="J67" s="658">
        <v>0</v>
      </c>
      <c r="K67" s="658">
        <f t="shared" si="10"/>
        <v>0</v>
      </c>
      <c r="Q67" s="655">
        <v>2</v>
      </c>
      <c r="AA67" s="1">
        <v>12</v>
      </c>
      <c r="AB67" s="1">
        <v>0</v>
      </c>
      <c r="AC67" s="1">
        <v>39</v>
      </c>
      <c r="BB67" s="1">
        <v>2</v>
      </c>
      <c r="BC67" s="1">
        <f t="shared" si="11"/>
        <v>0</v>
      </c>
      <c r="BD67" s="1">
        <f t="shared" si="12"/>
        <v>0</v>
      </c>
      <c r="BE67" s="1">
        <f t="shared" si="13"/>
        <v>0</v>
      </c>
      <c r="BF67" s="1">
        <f t="shared" si="14"/>
        <v>0</v>
      </c>
      <c r="BG67" s="1">
        <f t="shared" si="15"/>
        <v>0</v>
      </c>
    </row>
    <row r="68" spans="1:59" x14ac:dyDescent="0.2">
      <c r="A68" s="656">
        <v>40</v>
      </c>
      <c r="B68" s="467" t="s">
        <v>400</v>
      </c>
      <c r="C68" s="468" t="s">
        <v>652</v>
      </c>
      <c r="D68" s="469" t="s">
        <v>446</v>
      </c>
      <c r="E68" s="657">
        <v>24</v>
      </c>
      <c r="F68" s="1069"/>
      <c r="G68" s="1052">
        <f t="shared" si="8"/>
        <v>0</v>
      </c>
      <c r="H68" s="658">
        <v>0</v>
      </c>
      <c r="I68" s="658">
        <f t="shared" si="9"/>
        <v>0</v>
      </c>
      <c r="J68" s="658">
        <v>0</v>
      </c>
      <c r="K68" s="658">
        <f t="shared" si="10"/>
        <v>0</v>
      </c>
      <c r="Q68" s="655">
        <v>2</v>
      </c>
      <c r="AA68" s="1">
        <v>12</v>
      </c>
      <c r="AB68" s="1">
        <v>0</v>
      </c>
      <c r="AC68" s="1">
        <v>40</v>
      </c>
      <c r="BB68" s="1">
        <v>2</v>
      </c>
      <c r="BC68" s="1">
        <f t="shared" si="11"/>
        <v>0</v>
      </c>
      <c r="BD68" s="1">
        <f t="shared" si="12"/>
        <v>0</v>
      </c>
      <c r="BE68" s="1">
        <f t="shared" si="13"/>
        <v>0</v>
      </c>
      <c r="BF68" s="1">
        <f t="shared" si="14"/>
        <v>0</v>
      </c>
      <c r="BG68" s="1">
        <f t="shared" si="15"/>
        <v>0</v>
      </c>
    </row>
    <row r="69" spans="1:59" x14ac:dyDescent="0.2">
      <c r="A69" s="656">
        <v>41</v>
      </c>
      <c r="B69" s="467" t="s">
        <v>384</v>
      </c>
      <c r="C69" s="468" t="s">
        <v>653</v>
      </c>
      <c r="D69" s="469" t="s">
        <v>275</v>
      </c>
      <c r="E69" s="657">
        <v>31</v>
      </c>
      <c r="F69" s="1069"/>
      <c r="G69" s="1052">
        <f t="shared" si="8"/>
        <v>0</v>
      </c>
      <c r="H69" s="658">
        <v>2.0000000000000001E-4</v>
      </c>
      <c r="I69" s="658">
        <f t="shared" si="9"/>
        <v>6.2000000000000006E-3</v>
      </c>
      <c r="J69" s="658">
        <v>0</v>
      </c>
      <c r="K69" s="658">
        <f t="shared" si="10"/>
        <v>0</v>
      </c>
      <c r="Q69" s="655">
        <v>2</v>
      </c>
      <c r="AA69" s="1">
        <v>12</v>
      </c>
      <c r="AB69" s="1">
        <v>0</v>
      </c>
      <c r="AC69" s="1">
        <v>41</v>
      </c>
      <c r="BB69" s="1">
        <v>2</v>
      </c>
      <c r="BC69" s="1">
        <f t="shared" si="11"/>
        <v>0</v>
      </c>
      <c r="BD69" s="1">
        <f t="shared" si="12"/>
        <v>0</v>
      </c>
      <c r="BE69" s="1">
        <f t="shared" si="13"/>
        <v>0</v>
      </c>
      <c r="BF69" s="1">
        <f t="shared" si="14"/>
        <v>0</v>
      </c>
      <c r="BG69" s="1">
        <f t="shared" si="15"/>
        <v>0</v>
      </c>
    </row>
    <row r="70" spans="1:59" x14ac:dyDescent="0.2">
      <c r="A70" s="656">
        <v>42</v>
      </c>
      <c r="B70" s="467" t="s">
        <v>401</v>
      </c>
      <c r="C70" s="468" t="s">
        <v>654</v>
      </c>
      <c r="D70" s="469" t="s">
        <v>275</v>
      </c>
      <c r="E70" s="657">
        <v>18</v>
      </c>
      <c r="F70" s="1069"/>
      <c r="G70" s="1052">
        <f t="shared" si="8"/>
        <v>0</v>
      </c>
      <c r="H70" s="658">
        <v>3.2000000000000003E-4</v>
      </c>
      <c r="I70" s="658">
        <f t="shared" si="9"/>
        <v>5.7600000000000004E-3</v>
      </c>
      <c r="J70" s="658">
        <v>0</v>
      </c>
      <c r="K70" s="658">
        <f t="shared" si="10"/>
        <v>0</v>
      </c>
      <c r="Q70" s="655">
        <v>2</v>
      </c>
      <c r="AA70" s="1">
        <v>12</v>
      </c>
      <c r="AB70" s="1">
        <v>0</v>
      </c>
      <c r="AC70" s="1">
        <v>42</v>
      </c>
      <c r="BB70" s="1">
        <v>2</v>
      </c>
      <c r="BC70" s="1">
        <f t="shared" si="11"/>
        <v>0</v>
      </c>
      <c r="BD70" s="1">
        <f t="shared" si="12"/>
        <v>0</v>
      </c>
      <c r="BE70" s="1">
        <f t="shared" si="13"/>
        <v>0</v>
      </c>
      <c r="BF70" s="1">
        <f t="shared" si="14"/>
        <v>0</v>
      </c>
      <c r="BG70" s="1">
        <f t="shared" si="15"/>
        <v>0</v>
      </c>
    </row>
    <row r="71" spans="1:59" x14ac:dyDescent="0.2">
      <c r="A71" s="656">
        <v>43</v>
      </c>
      <c r="B71" s="467" t="s">
        <v>351</v>
      </c>
      <c r="C71" s="468" t="s">
        <v>1460</v>
      </c>
      <c r="D71" s="469" t="s">
        <v>275</v>
      </c>
      <c r="E71" s="657">
        <v>3</v>
      </c>
      <c r="F71" s="1069"/>
      <c r="G71" s="1052">
        <f t="shared" si="8"/>
        <v>0</v>
      </c>
      <c r="H71" s="658">
        <v>5.1999999999999995E-4</v>
      </c>
      <c r="I71" s="658">
        <f t="shared" si="9"/>
        <v>1.5599999999999998E-3</v>
      </c>
      <c r="J71" s="658">
        <v>0</v>
      </c>
      <c r="K71" s="658">
        <f t="shared" si="10"/>
        <v>0</v>
      </c>
      <c r="Q71" s="655">
        <v>2</v>
      </c>
      <c r="AA71" s="1">
        <v>12</v>
      </c>
      <c r="AB71" s="1">
        <v>0</v>
      </c>
      <c r="AC71" s="1">
        <v>43</v>
      </c>
      <c r="BB71" s="1">
        <v>2</v>
      </c>
      <c r="BC71" s="1">
        <f t="shared" si="11"/>
        <v>0</v>
      </c>
      <c r="BD71" s="1">
        <f t="shared" si="12"/>
        <v>0</v>
      </c>
      <c r="BE71" s="1">
        <f t="shared" si="13"/>
        <v>0</v>
      </c>
      <c r="BF71" s="1">
        <f t="shared" si="14"/>
        <v>0</v>
      </c>
      <c r="BG71" s="1">
        <f t="shared" si="15"/>
        <v>0</v>
      </c>
    </row>
    <row r="72" spans="1:59" x14ac:dyDescent="0.2">
      <c r="A72" s="656">
        <v>44</v>
      </c>
      <c r="B72" s="467" t="s">
        <v>396</v>
      </c>
      <c r="C72" s="468" t="s">
        <v>14</v>
      </c>
      <c r="D72" s="469" t="s">
        <v>444</v>
      </c>
      <c r="E72" s="657">
        <v>24</v>
      </c>
      <c r="F72" s="1069"/>
      <c r="G72" s="1052">
        <f t="shared" si="8"/>
        <v>0</v>
      </c>
      <c r="H72" s="658">
        <v>4.0000000000000003E-5</v>
      </c>
      <c r="I72" s="658">
        <f t="shared" si="9"/>
        <v>9.6000000000000013E-4</v>
      </c>
      <c r="J72" s="658">
        <v>0</v>
      </c>
      <c r="K72" s="658">
        <f t="shared" si="10"/>
        <v>0</v>
      </c>
      <c r="Q72" s="655">
        <v>2</v>
      </c>
      <c r="AA72" s="1">
        <v>12</v>
      </c>
      <c r="AB72" s="1">
        <v>0</v>
      </c>
      <c r="AC72" s="1">
        <v>44</v>
      </c>
      <c r="BB72" s="1">
        <v>2</v>
      </c>
      <c r="BC72" s="1">
        <f t="shared" si="11"/>
        <v>0</v>
      </c>
      <c r="BD72" s="1">
        <f t="shared" si="12"/>
        <v>0</v>
      </c>
      <c r="BE72" s="1">
        <f t="shared" si="13"/>
        <v>0</v>
      </c>
      <c r="BF72" s="1">
        <f t="shared" si="14"/>
        <v>0</v>
      </c>
      <c r="BG72" s="1">
        <f t="shared" si="15"/>
        <v>0</v>
      </c>
    </row>
    <row r="73" spans="1:59" x14ac:dyDescent="0.2">
      <c r="A73" s="656">
        <v>45</v>
      </c>
      <c r="B73" s="467" t="s">
        <v>1461</v>
      </c>
      <c r="C73" s="468" t="s">
        <v>1462</v>
      </c>
      <c r="D73" s="469" t="s">
        <v>444</v>
      </c>
      <c r="E73" s="657">
        <v>31</v>
      </c>
      <c r="F73" s="1069"/>
      <c r="G73" s="1052">
        <f t="shared" si="8"/>
        <v>0</v>
      </c>
      <c r="H73" s="658">
        <v>0</v>
      </c>
      <c r="I73" s="658">
        <f t="shared" si="9"/>
        <v>0</v>
      </c>
      <c r="J73" s="658">
        <v>0</v>
      </c>
      <c r="K73" s="658">
        <f t="shared" si="10"/>
        <v>0</v>
      </c>
      <c r="Q73" s="655">
        <v>2</v>
      </c>
      <c r="AA73" s="1">
        <v>12</v>
      </c>
      <c r="AB73" s="1">
        <v>0</v>
      </c>
      <c r="AC73" s="1">
        <v>45</v>
      </c>
      <c r="BB73" s="1">
        <v>2</v>
      </c>
      <c r="BC73" s="1">
        <f t="shared" si="11"/>
        <v>0</v>
      </c>
      <c r="BD73" s="1">
        <f t="shared" si="12"/>
        <v>0</v>
      </c>
      <c r="BE73" s="1">
        <f t="shared" si="13"/>
        <v>0</v>
      </c>
      <c r="BF73" s="1">
        <f t="shared" si="14"/>
        <v>0</v>
      </c>
      <c r="BG73" s="1">
        <f t="shared" si="15"/>
        <v>0</v>
      </c>
    </row>
    <row r="74" spans="1:59" x14ac:dyDescent="0.2">
      <c r="A74" s="656">
        <v>46</v>
      </c>
      <c r="B74" s="467" t="s">
        <v>15</v>
      </c>
      <c r="C74" s="468" t="s">
        <v>1463</v>
      </c>
      <c r="D74" s="469" t="s">
        <v>444</v>
      </c>
      <c r="E74" s="657">
        <v>18</v>
      </c>
      <c r="F74" s="1069"/>
      <c r="G74" s="1052">
        <f t="shared" si="8"/>
        <v>0</v>
      </c>
      <c r="H74" s="658">
        <v>0</v>
      </c>
      <c r="I74" s="658">
        <f t="shared" si="9"/>
        <v>0</v>
      </c>
      <c r="J74" s="658">
        <v>0</v>
      </c>
      <c r="K74" s="658">
        <f t="shared" si="10"/>
        <v>0</v>
      </c>
      <c r="Q74" s="655">
        <v>2</v>
      </c>
      <c r="AA74" s="1">
        <v>12</v>
      </c>
      <c r="AB74" s="1">
        <v>0</v>
      </c>
      <c r="AC74" s="1">
        <v>46</v>
      </c>
      <c r="BB74" s="1">
        <v>2</v>
      </c>
      <c r="BC74" s="1">
        <f t="shared" si="11"/>
        <v>0</v>
      </c>
      <c r="BD74" s="1">
        <f t="shared" si="12"/>
        <v>0</v>
      </c>
      <c r="BE74" s="1">
        <f t="shared" si="13"/>
        <v>0</v>
      </c>
      <c r="BF74" s="1">
        <f t="shared" si="14"/>
        <v>0</v>
      </c>
      <c r="BG74" s="1">
        <f t="shared" si="15"/>
        <v>0</v>
      </c>
    </row>
    <row r="75" spans="1:59" x14ac:dyDescent="0.2">
      <c r="A75" s="656">
        <v>47</v>
      </c>
      <c r="B75" s="467" t="s">
        <v>1464</v>
      </c>
      <c r="C75" s="468" t="s">
        <v>1465</v>
      </c>
      <c r="D75" s="469" t="s">
        <v>444</v>
      </c>
      <c r="E75" s="657">
        <v>3</v>
      </c>
      <c r="F75" s="1069"/>
      <c r="G75" s="1052">
        <f t="shared" si="8"/>
        <v>0</v>
      </c>
      <c r="H75" s="658">
        <v>0</v>
      </c>
      <c r="I75" s="658">
        <f t="shared" si="9"/>
        <v>0</v>
      </c>
      <c r="J75" s="658">
        <v>0</v>
      </c>
      <c r="K75" s="658">
        <f t="shared" si="10"/>
        <v>0</v>
      </c>
      <c r="Q75" s="655">
        <v>2</v>
      </c>
      <c r="AA75" s="1">
        <v>12</v>
      </c>
      <c r="AB75" s="1">
        <v>0</v>
      </c>
      <c r="AC75" s="1">
        <v>47</v>
      </c>
      <c r="BB75" s="1">
        <v>2</v>
      </c>
      <c r="BC75" s="1">
        <f t="shared" si="11"/>
        <v>0</v>
      </c>
      <c r="BD75" s="1">
        <f t="shared" si="12"/>
        <v>0</v>
      </c>
      <c r="BE75" s="1">
        <f t="shared" si="13"/>
        <v>0</v>
      </c>
      <c r="BF75" s="1">
        <f t="shared" si="14"/>
        <v>0</v>
      </c>
      <c r="BG75" s="1">
        <f t="shared" si="15"/>
        <v>0</v>
      </c>
    </row>
    <row r="76" spans="1:59" x14ac:dyDescent="0.2">
      <c r="A76" s="656">
        <v>48</v>
      </c>
      <c r="B76" s="467" t="s">
        <v>655</v>
      </c>
      <c r="C76" s="468" t="s">
        <v>656</v>
      </c>
      <c r="D76" s="469" t="s">
        <v>444</v>
      </c>
      <c r="E76" s="657">
        <v>45</v>
      </c>
      <c r="F76" s="1069"/>
      <c r="G76" s="1052">
        <f t="shared" si="8"/>
        <v>0</v>
      </c>
      <c r="H76" s="658">
        <v>6.3200000000000001E-3</v>
      </c>
      <c r="I76" s="658">
        <f t="shared" si="9"/>
        <v>0.28439999999999999</v>
      </c>
      <c r="J76" s="658">
        <v>0</v>
      </c>
      <c r="K76" s="658">
        <f t="shared" si="10"/>
        <v>0</v>
      </c>
      <c r="Q76" s="655">
        <v>2</v>
      </c>
      <c r="AA76" s="1">
        <v>12</v>
      </c>
      <c r="AB76" s="1">
        <v>0</v>
      </c>
      <c r="AC76" s="1">
        <v>48</v>
      </c>
      <c r="BB76" s="1">
        <v>2</v>
      </c>
      <c r="BC76" s="1">
        <f t="shared" si="11"/>
        <v>0</v>
      </c>
      <c r="BD76" s="1">
        <f t="shared" si="12"/>
        <v>0</v>
      </c>
      <c r="BE76" s="1">
        <f t="shared" si="13"/>
        <v>0</v>
      </c>
      <c r="BF76" s="1">
        <f t="shared" si="14"/>
        <v>0</v>
      </c>
      <c r="BG76" s="1">
        <f t="shared" si="15"/>
        <v>0</v>
      </c>
    </row>
    <row r="77" spans="1:59" x14ac:dyDescent="0.2">
      <c r="A77" s="656">
        <v>49</v>
      </c>
      <c r="B77" s="467" t="s">
        <v>1466</v>
      </c>
      <c r="C77" s="468" t="s">
        <v>1467</v>
      </c>
      <c r="D77" s="469" t="s">
        <v>444</v>
      </c>
      <c r="E77" s="657">
        <v>6</v>
      </c>
      <c r="F77" s="1069"/>
      <c r="G77" s="1052">
        <f t="shared" si="8"/>
        <v>0</v>
      </c>
      <c r="H77" s="658">
        <v>7.0400000000000003E-3</v>
      </c>
      <c r="I77" s="658">
        <f t="shared" si="9"/>
        <v>4.224E-2</v>
      </c>
      <c r="J77" s="658">
        <v>0</v>
      </c>
      <c r="K77" s="658">
        <f t="shared" si="10"/>
        <v>0</v>
      </c>
      <c r="Q77" s="655">
        <v>2</v>
      </c>
      <c r="AA77" s="1">
        <v>12</v>
      </c>
      <c r="AB77" s="1">
        <v>0</v>
      </c>
      <c r="AC77" s="1">
        <v>49</v>
      </c>
      <c r="BB77" s="1">
        <v>2</v>
      </c>
      <c r="BC77" s="1">
        <f t="shared" si="11"/>
        <v>0</v>
      </c>
      <c r="BD77" s="1">
        <f t="shared" si="12"/>
        <v>0</v>
      </c>
      <c r="BE77" s="1">
        <f t="shared" si="13"/>
        <v>0</v>
      </c>
      <c r="BF77" s="1">
        <f t="shared" si="14"/>
        <v>0</v>
      </c>
      <c r="BG77" s="1">
        <f t="shared" si="15"/>
        <v>0</v>
      </c>
    </row>
    <row r="78" spans="1:59" x14ac:dyDescent="0.2">
      <c r="A78" s="656">
        <v>50</v>
      </c>
      <c r="B78" s="467" t="s">
        <v>657</v>
      </c>
      <c r="C78" s="468" t="s">
        <v>658</v>
      </c>
      <c r="D78" s="469" t="s">
        <v>444</v>
      </c>
      <c r="E78" s="657">
        <v>28</v>
      </c>
      <c r="F78" s="1069"/>
      <c r="G78" s="1052">
        <f t="shared" si="8"/>
        <v>0</v>
      </c>
      <c r="H78" s="658">
        <v>0</v>
      </c>
      <c r="I78" s="658">
        <f t="shared" si="9"/>
        <v>0</v>
      </c>
      <c r="J78" s="658">
        <v>0</v>
      </c>
      <c r="K78" s="658">
        <f t="shared" si="10"/>
        <v>0</v>
      </c>
      <c r="Q78" s="655">
        <v>2</v>
      </c>
      <c r="AA78" s="1">
        <v>12</v>
      </c>
      <c r="AB78" s="1">
        <v>0</v>
      </c>
      <c r="AC78" s="1">
        <v>50</v>
      </c>
      <c r="BB78" s="1">
        <v>2</v>
      </c>
      <c r="BC78" s="1">
        <f t="shared" si="11"/>
        <v>0</v>
      </c>
      <c r="BD78" s="1">
        <f t="shared" si="12"/>
        <v>0</v>
      </c>
      <c r="BE78" s="1">
        <f t="shared" si="13"/>
        <v>0</v>
      </c>
      <c r="BF78" s="1">
        <f t="shared" si="14"/>
        <v>0</v>
      </c>
      <c r="BG78" s="1">
        <f t="shared" si="15"/>
        <v>0</v>
      </c>
    </row>
    <row r="79" spans="1:59" x14ac:dyDescent="0.2">
      <c r="A79" s="656">
        <v>51</v>
      </c>
      <c r="B79" s="467" t="s">
        <v>659</v>
      </c>
      <c r="C79" s="468" t="s">
        <v>660</v>
      </c>
      <c r="D79" s="469" t="s">
        <v>444</v>
      </c>
      <c r="E79" s="657">
        <v>14</v>
      </c>
      <c r="F79" s="1069"/>
      <c r="G79" s="1052">
        <f t="shared" si="8"/>
        <v>0</v>
      </c>
      <c r="H79" s="658">
        <v>0</v>
      </c>
      <c r="I79" s="658">
        <f t="shared" si="9"/>
        <v>0</v>
      </c>
      <c r="J79" s="658">
        <v>0</v>
      </c>
      <c r="K79" s="658">
        <f t="shared" si="10"/>
        <v>0</v>
      </c>
      <c r="Q79" s="655">
        <v>2</v>
      </c>
      <c r="AA79" s="1">
        <v>12</v>
      </c>
      <c r="AB79" s="1">
        <v>0</v>
      </c>
      <c r="AC79" s="1">
        <v>51</v>
      </c>
      <c r="BB79" s="1">
        <v>2</v>
      </c>
      <c r="BC79" s="1">
        <f t="shared" si="11"/>
        <v>0</v>
      </c>
      <c r="BD79" s="1">
        <f t="shared" si="12"/>
        <v>0</v>
      </c>
      <c r="BE79" s="1">
        <f t="shared" si="13"/>
        <v>0</v>
      </c>
      <c r="BF79" s="1">
        <f t="shared" si="14"/>
        <v>0</v>
      </c>
      <c r="BG79" s="1">
        <f t="shared" si="15"/>
        <v>0</v>
      </c>
    </row>
    <row r="80" spans="1:59" x14ac:dyDescent="0.2">
      <c r="A80" s="656">
        <v>52</v>
      </c>
      <c r="B80" s="467" t="s">
        <v>661</v>
      </c>
      <c r="C80" s="468" t="s">
        <v>662</v>
      </c>
      <c r="D80" s="469" t="s">
        <v>444</v>
      </c>
      <c r="E80" s="657">
        <v>48</v>
      </c>
      <c r="F80" s="1069"/>
      <c r="G80" s="1052">
        <f t="shared" si="8"/>
        <v>0</v>
      </c>
      <c r="H80" s="658">
        <v>0</v>
      </c>
      <c r="I80" s="658">
        <f t="shared" si="9"/>
        <v>0</v>
      </c>
      <c r="J80" s="658">
        <v>0</v>
      </c>
      <c r="K80" s="658">
        <f t="shared" si="10"/>
        <v>0</v>
      </c>
      <c r="Q80" s="655">
        <v>2</v>
      </c>
      <c r="AA80" s="1">
        <v>12</v>
      </c>
      <c r="AB80" s="1">
        <v>0</v>
      </c>
      <c r="AC80" s="1">
        <v>52</v>
      </c>
      <c r="BB80" s="1">
        <v>2</v>
      </c>
      <c r="BC80" s="1">
        <f t="shared" si="11"/>
        <v>0</v>
      </c>
      <c r="BD80" s="1">
        <f t="shared" si="12"/>
        <v>0</v>
      </c>
      <c r="BE80" s="1">
        <f t="shared" si="13"/>
        <v>0</v>
      </c>
      <c r="BF80" s="1">
        <f t="shared" si="14"/>
        <v>0</v>
      </c>
      <c r="BG80" s="1">
        <f t="shared" si="15"/>
        <v>0</v>
      </c>
    </row>
    <row r="81" spans="1:59" x14ac:dyDescent="0.2">
      <c r="A81" s="656">
        <v>53</v>
      </c>
      <c r="B81" s="467" t="s">
        <v>663</v>
      </c>
      <c r="C81" s="468" t="s">
        <v>664</v>
      </c>
      <c r="D81" s="469" t="s">
        <v>444</v>
      </c>
      <c r="E81" s="657">
        <v>12</v>
      </c>
      <c r="F81" s="1069"/>
      <c r="G81" s="1052">
        <f t="shared" si="8"/>
        <v>0</v>
      </c>
      <c r="H81" s="658">
        <v>0</v>
      </c>
      <c r="I81" s="658">
        <f t="shared" si="9"/>
        <v>0</v>
      </c>
      <c r="J81" s="658">
        <v>0</v>
      </c>
      <c r="K81" s="658">
        <f t="shared" si="10"/>
        <v>0</v>
      </c>
      <c r="Q81" s="655">
        <v>2</v>
      </c>
      <c r="AA81" s="1">
        <v>12</v>
      </c>
      <c r="AB81" s="1">
        <v>0</v>
      </c>
      <c r="AC81" s="1">
        <v>53</v>
      </c>
      <c r="BB81" s="1">
        <v>2</v>
      </c>
      <c r="BC81" s="1">
        <f t="shared" si="11"/>
        <v>0</v>
      </c>
      <c r="BD81" s="1">
        <f t="shared" si="12"/>
        <v>0</v>
      </c>
      <c r="BE81" s="1">
        <f t="shared" si="13"/>
        <v>0</v>
      </c>
      <c r="BF81" s="1">
        <f t="shared" si="14"/>
        <v>0</v>
      </c>
      <c r="BG81" s="1">
        <f t="shared" si="15"/>
        <v>0</v>
      </c>
    </row>
    <row r="82" spans="1:59" x14ac:dyDescent="0.2">
      <c r="A82" s="656">
        <v>54</v>
      </c>
      <c r="B82" s="467" t="s">
        <v>1468</v>
      </c>
      <c r="C82" s="468" t="s">
        <v>1469</v>
      </c>
      <c r="D82" s="469" t="s">
        <v>444</v>
      </c>
      <c r="E82" s="657">
        <v>28</v>
      </c>
      <c r="F82" s="1069"/>
      <c r="G82" s="1052">
        <f t="shared" si="8"/>
        <v>0</v>
      </c>
      <c r="H82" s="658">
        <v>0</v>
      </c>
      <c r="I82" s="658">
        <f t="shared" si="9"/>
        <v>0</v>
      </c>
      <c r="J82" s="658">
        <v>0</v>
      </c>
      <c r="K82" s="658">
        <f t="shared" si="10"/>
        <v>0</v>
      </c>
      <c r="Q82" s="655">
        <v>2</v>
      </c>
      <c r="AA82" s="1">
        <v>12</v>
      </c>
      <c r="AB82" s="1">
        <v>0</v>
      </c>
      <c r="AC82" s="1">
        <v>54</v>
      </c>
      <c r="BB82" s="1">
        <v>2</v>
      </c>
      <c r="BC82" s="1">
        <f t="shared" si="11"/>
        <v>0</v>
      </c>
      <c r="BD82" s="1">
        <f t="shared" si="12"/>
        <v>0</v>
      </c>
      <c r="BE82" s="1">
        <f t="shared" si="13"/>
        <v>0</v>
      </c>
      <c r="BF82" s="1">
        <f t="shared" si="14"/>
        <v>0</v>
      </c>
      <c r="BG82" s="1">
        <f t="shared" si="15"/>
        <v>0</v>
      </c>
    </row>
    <row r="83" spans="1:59" x14ac:dyDescent="0.2">
      <c r="A83" s="656">
        <v>55</v>
      </c>
      <c r="B83" s="467" t="s">
        <v>1470</v>
      </c>
      <c r="C83" s="468" t="s">
        <v>1471</v>
      </c>
      <c r="D83" s="469" t="s">
        <v>444</v>
      </c>
      <c r="E83" s="657">
        <v>14</v>
      </c>
      <c r="F83" s="1069"/>
      <c r="G83" s="1052">
        <f t="shared" si="8"/>
        <v>0</v>
      </c>
      <c r="H83" s="658">
        <v>0</v>
      </c>
      <c r="I83" s="658">
        <f t="shared" si="9"/>
        <v>0</v>
      </c>
      <c r="J83" s="658">
        <v>0</v>
      </c>
      <c r="K83" s="658">
        <f t="shared" si="10"/>
        <v>0</v>
      </c>
      <c r="Q83" s="655">
        <v>2</v>
      </c>
      <c r="AA83" s="1">
        <v>12</v>
      </c>
      <c r="AB83" s="1">
        <v>0</v>
      </c>
      <c r="AC83" s="1">
        <v>55</v>
      </c>
      <c r="BB83" s="1">
        <v>2</v>
      </c>
      <c r="BC83" s="1">
        <f t="shared" si="11"/>
        <v>0</v>
      </c>
      <c r="BD83" s="1">
        <f t="shared" si="12"/>
        <v>0</v>
      </c>
      <c r="BE83" s="1">
        <f t="shared" si="13"/>
        <v>0</v>
      </c>
      <c r="BF83" s="1">
        <f t="shared" si="14"/>
        <v>0</v>
      </c>
      <c r="BG83" s="1">
        <f t="shared" si="15"/>
        <v>0</v>
      </c>
    </row>
    <row r="84" spans="1:59" x14ac:dyDescent="0.2">
      <c r="A84" s="656">
        <v>56</v>
      </c>
      <c r="B84" s="467" t="s">
        <v>1472</v>
      </c>
      <c r="C84" s="468" t="s">
        <v>1473</v>
      </c>
      <c r="D84" s="469" t="s">
        <v>444</v>
      </c>
      <c r="E84" s="657">
        <v>48</v>
      </c>
      <c r="F84" s="1069"/>
      <c r="G84" s="1052">
        <f t="shared" si="8"/>
        <v>0</v>
      </c>
      <c r="H84" s="658">
        <v>0</v>
      </c>
      <c r="I84" s="658">
        <f t="shared" si="9"/>
        <v>0</v>
      </c>
      <c r="J84" s="658">
        <v>0</v>
      </c>
      <c r="K84" s="658">
        <f t="shared" si="10"/>
        <v>0</v>
      </c>
      <c r="Q84" s="655">
        <v>2</v>
      </c>
      <c r="AA84" s="1">
        <v>12</v>
      </c>
      <c r="AB84" s="1">
        <v>0</v>
      </c>
      <c r="AC84" s="1">
        <v>56</v>
      </c>
      <c r="BB84" s="1">
        <v>2</v>
      </c>
      <c r="BC84" s="1">
        <f t="shared" si="11"/>
        <v>0</v>
      </c>
      <c r="BD84" s="1">
        <f t="shared" si="12"/>
        <v>0</v>
      </c>
      <c r="BE84" s="1">
        <f t="shared" si="13"/>
        <v>0</v>
      </c>
      <c r="BF84" s="1">
        <f t="shared" si="14"/>
        <v>0</v>
      </c>
      <c r="BG84" s="1">
        <f t="shared" si="15"/>
        <v>0</v>
      </c>
    </row>
    <row r="85" spans="1:59" x14ac:dyDescent="0.2">
      <c r="A85" s="656">
        <v>57</v>
      </c>
      <c r="B85" s="467" t="s">
        <v>1474</v>
      </c>
      <c r="C85" s="468" t="s">
        <v>1475</v>
      </c>
      <c r="D85" s="469" t="s">
        <v>444</v>
      </c>
      <c r="E85" s="657">
        <v>12</v>
      </c>
      <c r="F85" s="1069"/>
      <c r="G85" s="1052">
        <f t="shared" si="8"/>
        <v>0</v>
      </c>
      <c r="H85" s="658">
        <v>0</v>
      </c>
      <c r="I85" s="658">
        <f t="shared" si="9"/>
        <v>0</v>
      </c>
      <c r="J85" s="658">
        <v>0</v>
      </c>
      <c r="K85" s="658">
        <f t="shared" si="10"/>
        <v>0</v>
      </c>
      <c r="Q85" s="655">
        <v>2</v>
      </c>
      <c r="AA85" s="1">
        <v>12</v>
      </c>
      <c r="AB85" s="1">
        <v>0</v>
      </c>
      <c r="AC85" s="1">
        <v>57</v>
      </c>
      <c r="BB85" s="1">
        <v>2</v>
      </c>
      <c r="BC85" s="1">
        <f t="shared" si="11"/>
        <v>0</v>
      </c>
      <c r="BD85" s="1">
        <f t="shared" si="12"/>
        <v>0</v>
      </c>
      <c r="BE85" s="1">
        <f t="shared" si="13"/>
        <v>0</v>
      </c>
      <c r="BF85" s="1">
        <f t="shared" si="14"/>
        <v>0</v>
      </c>
      <c r="BG85" s="1">
        <f t="shared" si="15"/>
        <v>0</v>
      </c>
    </row>
    <row r="86" spans="1:59" x14ac:dyDescent="0.2">
      <c r="A86" s="656">
        <v>58</v>
      </c>
      <c r="B86" s="467" t="s">
        <v>16</v>
      </c>
      <c r="C86" s="468" t="s">
        <v>17</v>
      </c>
      <c r="D86" s="469" t="s">
        <v>435</v>
      </c>
      <c r="E86" s="657">
        <v>318</v>
      </c>
      <c r="F86" s="1069"/>
      <c r="G86" s="1052">
        <f t="shared" si="8"/>
        <v>0</v>
      </c>
      <c r="H86" s="658">
        <v>1.8000000000000001E-4</v>
      </c>
      <c r="I86" s="658">
        <f t="shared" si="9"/>
        <v>5.7240000000000006E-2</v>
      </c>
      <c r="J86" s="658">
        <v>0</v>
      </c>
      <c r="K86" s="658">
        <f t="shared" si="10"/>
        <v>0</v>
      </c>
      <c r="Q86" s="655">
        <v>2</v>
      </c>
      <c r="AA86" s="1">
        <v>12</v>
      </c>
      <c r="AB86" s="1">
        <v>0</v>
      </c>
      <c r="AC86" s="1">
        <v>58</v>
      </c>
      <c r="BB86" s="1">
        <v>2</v>
      </c>
      <c r="BC86" s="1">
        <f t="shared" si="11"/>
        <v>0</v>
      </c>
      <c r="BD86" s="1">
        <f t="shared" si="12"/>
        <v>0</v>
      </c>
      <c r="BE86" s="1">
        <f t="shared" si="13"/>
        <v>0</v>
      </c>
      <c r="BF86" s="1">
        <f t="shared" si="14"/>
        <v>0</v>
      </c>
      <c r="BG86" s="1">
        <f t="shared" si="15"/>
        <v>0</v>
      </c>
    </row>
    <row r="87" spans="1:59" x14ac:dyDescent="0.2">
      <c r="A87" s="656">
        <v>59</v>
      </c>
      <c r="B87" s="467" t="s">
        <v>403</v>
      </c>
      <c r="C87" s="468" t="s">
        <v>665</v>
      </c>
      <c r="D87" s="469" t="s">
        <v>435</v>
      </c>
      <c r="E87" s="657">
        <v>318</v>
      </c>
      <c r="F87" s="1069"/>
      <c r="G87" s="1052">
        <f t="shared" si="8"/>
        <v>0</v>
      </c>
      <c r="H87" s="658">
        <v>1.0000000000000001E-5</v>
      </c>
      <c r="I87" s="658">
        <f t="shared" si="9"/>
        <v>3.1800000000000001E-3</v>
      </c>
      <c r="J87" s="658">
        <v>0</v>
      </c>
      <c r="K87" s="658">
        <f t="shared" si="10"/>
        <v>0</v>
      </c>
      <c r="Q87" s="655">
        <v>2</v>
      </c>
      <c r="AA87" s="1">
        <v>12</v>
      </c>
      <c r="AB87" s="1">
        <v>0</v>
      </c>
      <c r="AC87" s="1">
        <v>59</v>
      </c>
      <c r="BB87" s="1">
        <v>2</v>
      </c>
      <c r="BC87" s="1">
        <f t="shared" si="11"/>
        <v>0</v>
      </c>
      <c r="BD87" s="1">
        <f t="shared" si="12"/>
        <v>0</v>
      </c>
      <c r="BE87" s="1">
        <f t="shared" si="13"/>
        <v>0</v>
      </c>
      <c r="BF87" s="1">
        <f t="shared" si="14"/>
        <v>0</v>
      </c>
      <c r="BG87" s="1">
        <f t="shared" si="15"/>
        <v>0</v>
      </c>
    </row>
    <row r="88" spans="1:59" x14ac:dyDescent="0.2">
      <c r="A88" s="656">
        <v>60</v>
      </c>
      <c r="B88" s="467" t="s">
        <v>402</v>
      </c>
      <c r="C88" s="468" t="s">
        <v>18</v>
      </c>
      <c r="D88" s="469" t="s">
        <v>436</v>
      </c>
      <c r="E88" s="657">
        <v>0.74670000000000003</v>
      </c>
      <c r="F88" s="1069"/>
      <c r="G88" s="1052">
        <f t="shared" si="8"/>
        <v>0</v>
      </c>
      <c r="H88" s="658">
        <v>0</v>
      </c>
      <c r="I88" s="658">
        <f t="shared" si="9"/>
        <v>0</v>
      </c>
      <c r="J88" s="658">
        <v>0</v>
      </c>
      <c r="K88" s="658">
        <f t="shared" si="10"/>
        <v>0</v>
      </c>
      <c r="Q88" s="655">
        <v>2</v>
      </c>
      <c r="AA88" s="1">
        <v>12</v>
      </c>
      <c r="AB88" s="1">
        <v>0</v>
      </c>
      <c r="AC88" s="1">
        <v>60</v>
      </c>
      <c r="BB88" s="1">
        <v>2</v>
      </c>
      <c r="BC88" s="1">
        <f t="shared" si="11"/>
        <v>0</v>
      </c>
      <c r="BD88" s="1">
        <f t="shared" si="12"/>
        <v>0</v>
      </c>
      <c r="BE88" s="1">
        <f t="shared" si="13"/>
        <v>0</v>
      </c>
      <c r="BF88" s="1">
        <f t="shared" si="14"/>
        <v>0</v>
      </c>
      <c r="BG88" s="1">
        <f t="shared" si="15"/>
        <v>0</v>
      </c>
    </row>
    <row r="89" spans="1:59" x14ac:dyDescent="0.2">
      <c r="A89" s="656">
        <v>61</v>
      </c>
      <c r="B89" s="467" t="s">
        <v>666</v>
      </c>
      <c r="C89" s="468" t="s">
        <v>667</v>
      </c>
      <c r="D89" s="469" t="s">
        <v>444</v>
      </c>
      <c r="E89" s="657">
        <v>51</v>
      </c>
      <c r="F89" s="1069"/>
      <c r="G89" s="1052">
        <f t="shared" si="8"/>
        <v>0</v>
      </c>
      <c r="H89" s="658">
        <v>0</v>
      </c>
      <c r="I89" s="658">
        <f t="shared" si="9"/>
        <v>0</v>
      </c>
      <c r="J89" s="658">
        <v>0</v>
      </c>
      <c r="K89" s="658">
        <f t="shared" si="10"/>
        <v>0</v>
      </c>
      <c r="Q89" s="655">
        <v>2</v>
      </c>
      <c r="AA89" s="1">
        <v>12</v>
      </c>
      <c r="AB89" s="1">
        <v>0</v>
      </c>
      <c r="AC89" s="1">
        <v>61</v>
      </c>
      <c r="BB89" s="1">
        <v>2</v>
      </c>
      <c r="BC89" s="1">
        <f t="shared" si="11"/>
        <v>0</v>
      </c>
      <c r="BD89" s="1">
        <f t="shared" si="12"/>
        <v>0</v>
      </c>
      <c r="BE89" s="1">
        <f t="shared" si="13"/>
        <v>0</v>
      </c>
      <c r="BF89" s="1">
        <f t="shared" si="14"/>
        <v>0</v>
      </c>
      <c r="BG89" s="1">
        <f t="shared" si="15"/>
        <v>0</v>
      </c>
    </row>
    <row r="90" spans="1:59" x14ac:dyDescent="0.2">
      <c r="A90" s="656">
        <v>62</v>
      </c>
      <c r="B90" s="467" t="s">
        <v>668</v>
      </c>
      <c r="C90" s="468" t="s">
        <v>669</v>
      </c>
      <c r="D90" s="469" t="s">
        <v>435</v>
      </c>
      <c r="E90" s="657">
        <v>300</v>
      </c>
      <c r="F90" s="1069"/>
      <c r="G90" s="1052">
        <f t="shared" si="8"/>
        <v>0</v>
      </c>
      <c r="H90" s="658">
        <v>0</v>
      </c>
      <c r="I90" s="658">
        <f t="shared" si="9"/>
        <v>0</v>
      </c>
      <c r="J90" s="658">
        <v>-2.1299999999999999E-3</v>
      </c>
      <c r="K90" s="658">
        <f t="shared" si="10"/>
        <v>-0.63900000000000001</v>
      </c>
      <c r="Q90" s="655">
        <v>2</v>
      </c>
      <c r="AA90" s="1">
        <v>12</v>
      </c>
      <c r="AB90" s="1">
        <v>0</v>
      </c>
      <c r="AC90" s="1">
        <v>62</v>
      </c>
      <c r="BB90" s="1">
        <v>2</v>
      </c>
      <c r="BC90" s="1">
        <f t="shared" si="11"/>
        <v>0</v>
      </c>
      <c r="BD90" s="1">
        <f t="shared" si="12"/>
        <v>0</v>
      </c>
      <c r="BE90" s="1">
        <f t="shared" si="13"/>
        <v>0</v>
      </c>
      <c r="BF90" s="1">
        <f t="shared" si="14"/>
        <v>0</v>
      </c>
      <c r="BG90" s="1">
        <f t="shared" si="15"/>
        <v>0</v>
      </c>
    </row>
    <row r="91" spans="1:59" x14ac:dyDescent="0.2">
      <c r="A91" s="656">
        <v>63</v>
      </c>
      <c r="B91" s="467" t="s">
        <v>670</v>
      </c>
      <c r="C91" s="468" t="s">
        <v>671</v>
      </c>
      <c r="D91" s="469" t="s">
        <v>435</v>
      </c>
      <c r="E91" s="657">
        <v>300</v>
      </c>
      <c r="F91" s="1069"/>
      <c r="G91" s="1052">
        <f t="shared" si="8"/>
        <v>0</v>
      </c>
      <c r="H91" s="658">
        <v>0</v>
      </c>
      <c r="I91" s="658">
        <f t="shared" si="9"/>
        <v>0</v>
      </c>
      <c r="J91" s="658">
        <v>-2.3000000000000001E-4</v>
      </c>
      <c r="K91" s="658">
        <f t="shared" si="10"/>
        <v>-6.9000000000000006E-2</v>
      </c>
      <c r="Q91" s="655">
        <v>2</v>
      </c>
      <c r="AA91" s="1">
        <v>12</v>
      </c>
      <c r="AB91" s="1">
        <v>0</v>
      </c>
      <c r="AC91" s="1">
        <v>63</v>
      </c>
      <c r="BB91" s="1">
        <v>2</v>
      </c>
      <c r="BC91" s="1">
        <f t="shared" si="11"/>
        <v>0</v>
      </c>
      <c r="BD91" s="1">
        <f t="shared" si="12"/>
        <v>0</v>
      </c>
      <c r="BE91" s="1">
        <f t="shared" si="13"/>
        <v>0</v>
      </c>
      <c r="BF91" s="1">
        <f t="shared" si="14"/>
        <v>0</v>
      </c>
      <c r="BG91" s="1">
        <f t="shared" si="15"/>
        <v>0</v>
      </c>
    </row>
    <row r="92" spans="1:59" x14ac:dyDescent="0.2">
      <c r="A92" s="656">
        <v>64</v>
      </c>
      <c r="B92" s="467" t="s">
        <v>672</v>
      </c>
      <c r="C92" s="468" t="s">
        <v>673</v>
      </c>
      <c r="D92" s="469" t="s">
        <v>436</v>
      </c>
      <c r="E92" s="657">
        <v>0.70799999999999996</v>
      </c>
      <c r="F92" s="1069"/>
      <c r="G92" s="1052">
        <f t="shared" si="8"/>
        <v>0</v>
      </c>
      <c r="H92" s="658">
        <v>0</v>
      </c>
      <c r="I92" s="658">
        <f t="shared" si="9"/>
        <v>0</v>
      </c>
      <c r="J92" s="658">
        <v>0</v>
      </c>
      <c r="K92" s="658">
        <f t="shared" si="10"/>
        <v>0</v>
      </c>
      <c r="Q92" s="655">
        <v>2</v>
      </c>
      <c r="AA92" s="1">
        <v>12</v>
      </c>
      <c r="AB92" s="1">
        <v>0</v>
      </c>
      <c r="AC92" s="1">
        <v>64</v>
      </c>
      <c r="BB92" s="1">
        <v>2</v>
      </c>
      <c r="BC92" s="1">
        <f t="shared" si="11"/>
        <v>0</v>
      </c>
      <c r="BD92" s="1">
        <f t="shared" si="12"/>
        <v>0</v>
      </c>
      <c r="BE92" s="1">
        <f t="shared" si="13"/>
        <v>0</v>
      </c>
      <c r="BF92" s="1">
        <f t="shared" si="14"/>
        <v>0</v>
      </c>
      <c r="BG92" s="1">
        <f t="shared" si="15"/>
        <v>0</v>
      </c>
    </row>
    <row r="93" spans="1:59" x14ac:dyDescent="0.2">
      <c r="A93" s="656">
        <v>65</v>
      </c>
      <c r="B93" s="467" t="s">
        <v>351</v>
      </c>
      <c r="C93" s="468" t="s">
        <v>674</v>
      </c>
      <c r="D93" s="469" t="s">
        <v>436</v>
      </c>
      <c r="E93" s="657">
        <v>0.70799999999999996</v>
      </c>
      <c r="F93" s="1069"/>
      <c r="G93" s="1052">
        <f t="shared" si="8"/>
        <v>0</v>
      </c>
      <c r="H93" s="658">
        <v>0</v>
      </c>
      <c r="I93" s="658">
        <f t="shared" si="9"/>
        <v>0</v>
      </c>
      <c r="J93" s="658">
        <v>0</v>
      </c>
      <c r="K93" s="658">
        <f t="shared" si="10"/>
        <v>0</v>
      </c>
      <c r="Q93" s="655">
        <v>2</v>
      </c>
      <c r="AA93" s="1">
        <v>12</v>
      </c>
      <c r="AB93" s="1">
        <v>0</v>
      </c>
      <c r="AC93" s="1">
        <v>65</v>
      </c>
      <c r="BB93" s="1">
        <v>2</v>
      </c>
      <c r="BC93" s="1">
        <f t="shared" si="11"/>
        <v>0</v>
      </c>
      <c r="BD93" s="1">
        <f t="shared" si="12"/>
        <v>0</v>
      </c>
      <c r="BE93" s="1">
        <f t="shared" si="13"/>
        <v>0</v>
      </c>
      <c r="BF93" s="1">
        <f t="shared" si="14"/>
        <v>0</v>
      </c>
      <c r="BG93" s="1">
        <f t="shared" si="15"/>
        <v>0</v>
      </c>
    </row>
    <row r="94" spans="1:59" x14ac:dyDescent="0.2">
      <c r="A94" s="656">
        <v>66</v>
      </c>
      <c r="B94" s="467" t="s">
        <v>385</v>
      </c>
      <c r="C94" s="468" t="s">
        <v>675</v>
      </c>
      <c r="D94" s="469" t="s">
        <v>436</v>
      </c>
      <c r="E94" s="657">
        <v>0.70799999999999996</v>
      </c>
      <c r="F94" s="1069"/>
      <c r="G94" s="1052">
        <f t="shared" si="8"/>
        <v>0</v>
      </c>
      <c r="H94" s="658">
        <v>0</v>
      </c>
      <c r="I94" s="658">
        <f t="shared" si="9"/>
        <v>0</v>
      </c>
      <c r="J94" s="658">
        <v>0</v>
      </c>
      <c r="K94" s="658">
        <f t="shared" si="10"/>
        <v>0</v>
      </c>
      <c r="Q94" s="655">
        <v>2</v>
      </c>
      <c r="AA94" s="1">
        <v>12</v>
      </c>
      <c r="AB94" s="1">
        <v>0</v>
      </c>
      <c r="AC94" s="1">
        <v>66</v>
      </c>
      <c r="BB94" s="1">
        <v>2</v>
      </c>
      <c r="BC94" s="1">
        <f t="shared" si="11"/>
        <v>0</v>
      </c>
      <c r="BD94" s="1">
        <f t="shared" si="12"/>
        <v>0</v>
      </c>
      <c r="BE94" s="1">
        <f t="shared" si="13"/>
        <v>0</v>
      </c>
      <c r="BF94" s="1">
        <f t="shared" si="14"/>
        <v>0</v>
      </c>
      <c r="BG94" s="1">
        <f t="shared" si="15"/>
        <v>0</v>
      </c>
    </row>
    <row r="95" spans="1:59" x14ac:dyDescent="0.2">
      <c r="A95" s="470"/>
      <c r="B95" s="471" t="s">
        <v>387</v>
      </c>
      <c r="C95" s="472" t="str">
        <f>CONCATENATE(B53," ",C53)</f>
        <v>722 Vnitřní vodovod</v>
      </c>
      <c r="D95" s="470"/>
      <c r="E95" s="659"/>
      <c r="F95" s="659"/>
      <c r="G95" s="1060">
        <f>SUM(G53:G94)</f>
        <v>0</v>
      </c>
      <c r="H95" s="660"/>
      <c r="I95" s="661">
        <f>SUM(I53:I94)</f>
        <v>0.74678</v>
      </c>
      <c r="J95" s="660"/>
      <c r="K95" s="661">
        <f>SUM(K53:K94)</f>
        <v>-0.70799999999999996</v>
      </c>
      <c r="Q95" s="655">
        <v>4</v>
      </c>
      <c r="BC95" s="662">
        <f>SUM(BC53:BC94)</f>
        <v>0</v>
      </c>
      <c r="BD95" s="662">
        <f>SUM(BD53:BD94)</f>
        <v>0</v>
      </c>
      <c r="BE95" s="662">
        <f>SUM(BE53:BE94)</f>
        <v>0</v>
      </c>
      <c r="BF95" s="662">
        <f>SUM(BF53:BF94)</f>
        <v>0</v>
      </c>
      <c r="BG95" s="662">
        <f>SUM(BG53:BG94)</f>
        <v>0</v>
      </c>
    </row>
    <row r="96" spans="1:59" x14ac:dyDescent="0.2">
      <c r="A96" s="652" t="s">
        <v>381</v>
      </c>
      <c r="B96" s="464" t="s">
        <v>377</v>
      </c>
      <c r="C96" s="465" t="s">
        <v>378</v>
      </c>
      <c r="D96" s="466"/>
      <c r="E96" s="653"/>
      <c r="F96" s="653"/>
      <c r="G96" s="1051"/>
      <c r="H96" s="654"/>
      <c r="I96" s="654"/>
      <c r="J96" s="654"/>
      <c r="K96" s="654"/>
      <c r="Q96" s="655">
        <v>1</v>
      </c>
    </row>
    <row r="97" spans="1:59" x14ac:dyDescent="0.2">
      <c r="A97" s="652"/>
      <c r="B97" s="464"/>
      <c r="C97" s="670" t="s">
        <v>1476</v>
      </c>
      <c r="D97" s="466"/>
      <c r="E97" s="653"/>
      <c r="F97" s="653"/>
      <c r="G97" s="1051"/>
      <c r="H97" s="664"/>
      <c r="I97" s="664"/>
      <c r="J97" s="664"/>
      <c r="K97" s="664"/>
      <c r="Q97" s="655"/>
    </row>
    <row r="98" spans="1:59" x14ac:dyDescent="0.2">
      <c r="A98" s="656">
        <v>67</v>
      </c>
      <c r="B98" s="467" t="s">
        <v>676</v>
      </c>
      <c r="C98" s="468" t="s">
        <v>677</v>
      </c>
      <c r="D98" s="469" t="s">
        <v>446</v>
      </c>
      <c r="E98" s="657">
        <v>21</v>
      </c>
      <c r="F98" s="1069"/>
      <c r="G98" s="1052">
        <f t="shared" ref="G98:G105" si="16">E98*F98</f>
        <v>0</v>
      </c>
      <c r="H98" s="658">
        <v>1.5010000000000001E-2</v>
      </c>
      <c r="I98" s="658">
        <f t="shared" ref="I98:I105" si="17">E98*H98</f>
        <v>0.31520999999999999</v>
      </c>
      <c r="J98" s="658">
        <v>0</v>
      </c>
      <c r="K98" s="658">
        <f t="shared" ref="K98:K105" si="18">E98*J98</f>
        <v>0</v>
      </c>
      <c r="Q98" s="655">
        <v>2</v>
      </c>
      <c r="AA98" s="1">
        <v>12</v>
      </c>
      <c r="AB98" s="1">
        <v>0</v>
      </c>
      <c r="AC98" s="1">
        <v>67</v>
      </c>
      <c r="BB98" s="1">
        <v>2</v>
      </c>
      <c r="BC98" s="1">
        <f t="shared" ref="BC98:BC105" si="19">IF(BB98=1,G98,0)</f>
        <v>0</v>
      </c>
      <c r="BD98" s="1">
        <f t="shared" ref="BD98:BD105" si="20">IF(BB98=2,G98,0)</f>
        <v>0</v>
      </c>
      <c r="BE98" s="1">
        <f t="shared" ref="BE98:BE105" si="21">IF(BB98=3,G98,0)</f>
        <v>0</v>
      </c>
      <c r="BF98" s="1">
        <f t="shared" ref="BF98:BF105" si="22">IF(BB98=4,G98,0)</f>
        <v>0</v>
      </c>
      <c r="BG98" s="1">
        <f t="shared" ref="BG98:BG105" si="23">IF(BB98=5,G98,0)</f>
        <v>0</v>
      </c>
    </row>
    <row r="99" spans="1:59" x14ac:dyDescent="0.2">
      <c r="A99" s="656">
        <v>68</v>
      </c>
      <c r="B99" s="467" t="s">
        <v>678</v>
      </c>
      <c r="C99" s="468" t="s">
        <v>679</v>
      </c>
      <c r="D99" s="469" t="s">
        <v>446</v>
      </c>
      <c r="E99" s="657">
        <v>7</v>
      </c>
      <c r="F99" s="1069"/>
      <c r="G99" s="1052">
        <f t="shared" si="16"/>
        <v>0</v>
      </c>
      <c r="H99" s="658">
        <v>8.9999999999999993E-3</v>
      </c>
      <c r="I99" s="658">
        <f t="shared" si="17"/>
        <v>6.3E-2</v>
      </c>
      <c r="J99" s="658">
        <v>0</v>
      </c>
      <c r="K99" s="658">
        <f t="shared" si="18"/>
        <v>0</v>
      </c>
      <c r="Q99" s="655">
        <v>2</v>
      </c>
      <c r="AA99" s="1">
        <v>12</v>
      </c>
      <c r="AB99" s="1">
        <v>0</v>
      </c>
      <c r="AC99" s="1">
        <v>68</v>
      </c>
      <c r="BB99" s="1">
        <v>2</v>
      </c>
      <c r="BC99" s="1">
        <f t="shared" si="19"/>
        <v>0</v>
      </c>
      <c r="BD99" s="1">
        <f t="shared" si="20"/>
        <v>0</v>
      </c>
      <c r="BE99" s="1">
        <f t="shared" si="21"/>
        <v>0</v>
      </c>
      <c r="BF99" s="1">
        <f t="shared" si="22"/>
        <v>0</v>
      </c>
      <c r="BG99" s="1">
        <f t="shared" si="23"/>
        <v>0</v>
      </c>
    </row>
    <row r="100" spans="1:59" x14ac:dyDescent="0.2">
      <c r="A100" s="656">
        <v>69</v>
      </c>
      <c r="B100" s="467" t="s">
        <v>680</v>
      </c>
      <c r="C100" s="468" t="s">
        <v>681</v>
      </c>
      <c r="D100" s="469" t="s">
        <v>444</v>
      </c>
      <c r="E100" s="657">
        <v>28</v>
      </c>
      <c r="F100" s="1069"/>
      <c r="G100" s="1052">
        <f t="shared" si="16"/>
        <v>0</v>
      </c>
      <c r="H100" s="658">
        <v>4.2000000000000002E-4</v>
      </c>
      <c r="I100" s="658">
        <f t="shared" si="17"/>
        <v>1.176E-2</v>
      </c>
      <c r="J100" s="658">
        <v>0</v>
      </c>
      <c r="K100" s="658">
        <f t="shared" si="18"/>
        <v>0</v>
      </c>
      <c r="Q100" s="655">
        <v>2</v>
      </c>
      <c r="AA100" s="1">
        <v>12</v>
      </c>
      <c r="AB100" s="1">
        <v>0</v>
      </c>
      <c r="AC100" s="1">
        <v>69</v>
      </c>
      <c r="BB100" s="1">
        <v>2</v>
      </c>
      <c r="BC100" s="1">
        <f t="shared" si="19"/>
        <v>0</v>
      </c>
      <c r="BD100" s="1">
        <f t="shared" si="20"/>
        <v>0</v>
      </c>
      <c r="BE100" s="1">
        <f t="shared" si="21"/>
        <v>0</v>
      </c>
      <c r="BF100" s="1">
        <f t="shared" si="22"/>
        <v>0</v>
      </c>
      <c r="BG100" s="1">
        <f t="shared" si="23"/>
        <v>0</v>
      </c>
    </row>
    <row r="101" spans="1:59" ht="25.5" x14ac:dyDescent="0.2">
      <c r="A101" s="656">
        <v>70</v>
      </c>
      <c r="B101" s="467" t="s">
        <v>682</v>
      </c>
      <c r="C101" s="468" t="s">
        <v>683</v>
      </c>
      <c r="D101" s="469" t="s">
        <v>444</v>
      </c>
      <c r="E101" s="657">
        <v>21</v>
      </c>
      <c r="F101" s="1069"/>
      <c r="G101" s="1052">
        <f t="shared" si="16"/>
        <v>0</v>
      </c>
      <c r="H101" s="658">
        <v>1.72E-3</v>
      </c>
      <c r="I101" s="658">
        <f t="shared" si="17"/>
        <v>3.6119999999999999E-2</v>
      </c>
      <c r="J101" s="658">
        <v>0</v>
      </c>
      <c r="K101" s="658">
        <f t="shared" si="18"/>
        <v>0</v>
      </c>
      <c r="Q101" s="655">
        <v>2</v>
      </c>
      <c r="AA101" s="1">
        <v>12</v>
      </c>
      <c r="AB101" s="1">
        <v>0</v>
      </c>
      <c r="AC101" s="1">
        <v>70</v>
      </c>
      <c r="BB101" s="1">
        <v>2</v>
      </c>
      <c r="BC101" s="1">
        <f t="shared" si="19"/>
        <v>0</v>
      </c>
      <c r="BD101" s="1">
        <f t="shared" si="20"/>
        <v>0</v>
      </c>
      <c r="BE101" s="1">
        <f t="shared" si="21"/>
        <v>0</v>
      </c>
      <c r="BF101" s="1">
        <f t="shared" si="22"/>
        <v>0</v>
      </c>
      <c r="BG101" s="1">
        <f t="shared" si="23"/>
        <v>0</v>
      </c>
    </row>
    <row r="102" spans="1:59" x14ac:dyDescent="0.2">
      <c r="A102" s="656">
        <v>71</v>
      </c>
      <c r="B102" s="467" t="s">
        <v>684</v>
      </c>
      <c r="C102" s="468" t="s">
        <v>685</v>
      </c>
      <c r="D102" s="469" t="s">
        <v>444</v>
      </c>
      <c r="E102" s="657">
        <v>7</v>
      </c>
      <c r="F102" s="1069"/>
      <c r="G102" s="1052">
        <f t="shared" si="16"/>
        <v>0</v>
      </c>
      <c r="H102" s="658">
        <v>8.4999999999999995E-4</v>
      </c>
      <c r="I102" s="658">
        <f t="shared" si="17"/>
        <v>5.9499999999999996E-3</v>
      </c>
      <c r="J102" s="658">
        <v>0</v>
      </c>
      <c r="K102" s="658">
        <f t="shared" si="18"/>
        <v>0</v>
      </c>
      <c r="Q102" s="655">
        <v>2</v>
      </c>
      <c r="AA102" s="1">
        <v>12</v>
      </c>
      <c r="AB102" s="1">
        <v>0</v>
      </c>
      <c r="AC102" s="1">
        <v>71</v>
      </c>
      <c r="BB102" s="1">
        <v>2</v>
      </c>
      <c r="BC102" s="1">
        <f t="shared" si="19"/>
        <v>0</v>
      </c>
      <c r="BD102" s="1">
        <f t="shared" si="20"/>
        <v>0</v>
      </c>
      <c r="BE102" s="1">
        <f t="shared" si="21"/>
        <v>0</v>
      </c>
      <c r="BF102" s="1">
        <f t="shared" si="22"/>
        <v>0</v>
      </c>
      <c r="BG102" s="1">
        <f t="shared" si="23"/>
        <v>0</v>
      </c>
    </row>
    <row r="103" spans="1:59" x14ac:dyDescent="0.2">
      <c r="A103" s="656">
        <v>72</v>
      </c>
      <c r="B103" s="467" t="s">
        <v>20</v>
      </c>
      <c r="C103" s="468" t="s">
        <v>21</v>
      </c>
      <c r="D103" s="469" t="s">
        <v>444</v>
      </c>
      <c r="E103" s="657">
        <v>7</v>
      </c>
      <c r="F103" s="1069"/>
      <c r="G103" s="1052">
        <f t="shared" si="16"/>
        <v>0</v>
      </c>
      <c r="H103" s="658">
        <v>4.0000000000000003E-5</v>
      </c>
      <c r="I103" s="658">
        <f t="shared" si="17"/>
        <v>2.8000000000000003E-4</v>
      </c>
      <c r="J103" s="658">
        <v>0</v>
      </c>
      <c r="K103" s="658">
        <f t="shared" si="18"/>
        <v>0</v>
      </c>
      <c r="Q103" s="655">
        <v>2</v>
      </c>
      <c r="AA103" s="1">
        <v>12</v>
      </c>
      <c r="AB103" s="1">
        <v>0</v>
      </c>
      <c r="AC103" s="1">
        <v>72</v>
      </c>
      <c r="BB103" s="1">
        <v>2</v>
      </c>
      <c r="BC103" s="1">
        <f t="shared" si="19"/>
        <v>0</v>
      </c>
      <c r="BD103" s="1">
        <f t="shared" si="20"/>
        <v>0</v>
      </c>
      <c r="BE103" s="1">
        <f t="shared" si="21"/>
        <v>0</v>
      </c>
      <c r="BF103" s="1">
        <f t="shared" si="22"/>
        <v>0</v>
      </c>
      <c r="BG103" s="1">
        <f t="shared" si="23"/>
        <v>0</v>
      </c>
    </row>
    <row r="104" spans="1:59" x14ac:dyDescent="0.2">
      <c r="A104" s="656">
        <v>73</v>
      </c>
      <c r="B104" s="467" t="s">
        <v>404</v>
      </c>
      <c r="C104" s="468" t="s">
        <v>19</v>
      </c>
      <c r="D104" s="469" t="s">
        <v>446</v>
      </c>
      <c r="E104" s="657">
        <v>21</v>
      </c>
      <c r="F104" s="1069"/>
      <c r="G104" s="1052">
        <f t="shared" si="16"/>
        <v>0</v>
      </c>
      <c r="H104" s="658">
        <v>1.4E-3</v>
      </c>
      <c r="I104" s="658">
        <f t="shared" si="17"/>
        <v>2.9399999999999999E-2</v>
      </c>
      <c r="J104" s="658">
        <v>0</v>
      </c>
      <c r="K104" s="658">
        <f t="shared" si="18"/>
        <v>0</v>
      </c>
      <c r="Q104" s="655">
        <v>2</v>
      </c>
      <c r="AA104" s="1">
        <v>12</v>
      </c>
      <c r="AB104" s="1">
        <v>0</v>
      </c>
      <c r="AC104" s="1">
        <v>73</v>
      </c>
      <c r="BB104" s="1">
        <v>2</v>
      </c>
      <c r="BC104" s="1">
        <f t="shared" si="19"/>
        <v>0</v>
      </c>
      <c r="BD104" s="1">
        <f t="shared" si="20"/>
        <v>0</v>
      </c>
      <c r="BE104" s="1">
        <f t="shared" si="21"/>
        <v>0</v>
      </c>
      <c r="BF104" s="1">
        <f t="shared" si="22"/>
        <v>0</v>
      </c>
      <c r="BG104" s="1">
        <f t="shared" si="23"/>
        <v>0</v>
      </c>
    </row>
    <row r="105" spans="1:59" x14ac:dyDescent="0.2">
      <c r="A105" s="656">
        <v>74</v>
      </c>
      <c r="B105" s="467" t="s">
        <v>405</v>
      </c>
      <c r="C105" s="468" t="s">
        <v>686</v>
      </c>
      <c r="D105" s="469" t="s">
        <v>444</v>
      </c>
      <c r="E105" s="657">
        <v>28</v>
      </c>
      <c r="F105" s="1069"/>
      <c r="G105" s="1052">
        <f t="shared" si="16"/>
        <v>0</v>
      </c>
      <c r="H105" s="658">
        <v>1.3999999999999999E-4</v>
      </c>
      <c r="I105" s="658">
        <f t="shared" si="17"/>
        <v>3.9199999999999999E-3</v>
      </c>
      <c r="J105" s="658">
        <v>0</v>
      </c>
      <c r="K105" s="658">
        <f t="shared" si="18"/>
        <v>0</v>
      </c>
      <c r="Q105" s="655">
        <v>2</v>
      </c>
      <c r="AA105" s="1">
        <v>12</v>
      </c>
      <c r="AB105" s="1">
        <v>0</v>
      </c>
      <c r="AC105" s="1">
        <v>74</v>
      </c>
      <c r="BB105" s="1">
        <v>2</v>
      </c>
      <c r="BC105" s="1">
        <f t="shared" si="19"/>
        <v>0</v>
      </c>
      <c r="BD105" s="1">
        <f t="shared" si="20"/>
        <v>0</v>
      </c>
      <c r="BE105" s="1">
        <f t="shared" si="21"/>
        <v>0</v>
      </c>
      <c r="BF105" s="1">
        <f t="shared" si="22"/>
        <v>0</v>
      </c>
      <c r="BG105" s="1">
        <f t="shared" si="23"/>
        <v>0</v>
      </c>
    </row>
    <row r="106" spans="1:59" ht="25.5" x14ac:dyDescent="0.2">
      <c r="A106" s="656"/>
      <c r="B106" s="467"/>
      <c r="C106" s="669" t="s">
        <v>1477</v>
      </c>
      <c r="D106" s="469"/>
      <c r="E106" s="657"/>
      <c r="F106" s="657"/>
      <c r="G106" s="1052"/>
      <c r="H106" s="658"/>
      <c r="I106" s="658"/>
      <c r="J106" s="658"/>
      <c r="K106" s="658"/>
      <c r="Q106" s="655"/>
    </row>
    <row r="107" spans="1:59" ht="25.5" x14ac:dyDescent="0.2">
      <c r="A107" s="656">
        <v>75</v>
      </c>
      <c r="B107" s="467" t="s">
        <v>687</v>
      </c>
      <c r="C107" s="468" t="s">
        <v>688</v>
      </c>
      <c r="D107" s="469" t="s">
        <v>446</v>
      </c>
      <c r="E107" s="657">
        <v>7</v>
      </c>
      <c r="F107" s="1069"/>
      <c r="G107" s="1052">
        <f>E107*F107</f>
        <v>0</v>
      </c>
      <c r="H107" s="658">
        <v>2.8719999999999999E-2</v>
      </c>
      <c r="I107" s="658">
        <f>E107*H107</f>
        <v>0.20104</v>
      </c>
      <c r="J107" s="658">
        <v>0</v>
      </c>
      <c r="K107" s="658">
        <f>E107*J107</f>
        <v>0</v>
      </c>
      <c r="Q107" s="655">
        <v>2</v>
      </c>
      <c r="AA107" s="1">
        <v>12</v>
      </c>
      <c r="AB107" s="1">
        <v>0</v>
      </c>
      <c r="AC107" s="1">
        <v>75</v>
      </c>
      <c r="BB107" s="1">
        <v>2</v>
      </c>
      <c r="BC107" s="1">
        <f>IF(BB107=1,G107,0)</f>
        <v>0</v>
      </c>
      <c r="BD107" s="1">
        <f>IF(BB107=2,G107,0)</f>
        <v>0</v>
      </c>
      <c r="BE107" s="1">
        <f>IF(BB107=3,G107,0)</f>
        <v>0</v>
      </c>
      <c r="BF107" s="1">
        <f>IF(BB107=4,G107,0)</f>
        <v>0</v>
      </c>
      <c r="BG107" s="1">
        <f>IF(BB107=5,G107,0)</f>
        <v>0</v>
      </c>
    </row>
    <row r="108" spans="1:59" x14ac:dyDescent="0.2">
      <c r="A108" s="656">
        <v>76</v>
      </c>
      <c r="B108" s="467" t="s">
        <v>1478</v>
      </c>
      <c r="C108" s="468" t="s">
        <v>1479</v>
      </c>
      <c r="D108" s="469" t="s">
        <v>444</v>
      </c>
      <c r="E108" s="657">
        <v>2</v>
      </c>
      <c r="F108" s="1069"/>
      <c r="G108" s="1052">
        <f>E108*F108</f>
        <v>0</v>
      </c>
      <c r="H108" s="658">
        <v>2.7E-2</v>
      </c>
      <c r="I108" s="658">
        <f>E108*H108</f>
        <v>5.3999999999999999E-2</v>
      </c>
      <c r="J108" s="658">
        <v>0</v>
      </c>
      <c r="K108" s="658">
        <f>E108*J108</f>
        <v>0</v>
      </c>
      <c r="Q108" s="655">
        <v>2</v>
      </c>
      <c r="AA108" s="1">
        <v>12</v>
      </c>
      <c r="AB108" s="1">
        <v>1</v>
      </c>
      <c r="AC108" s="1">
        <v>76</v>
      </c>
      <c r="BB108" s="1">
        <v>2</v>
      </c>
      <c r="BC108" s="1">
        <f>IF(BB108=1,G108,0)</f>
        <v>0</v>
      </c>
      <c r="BD108" s="1">
        <f>IF(BB108=2,G108,0)</f>
        <v>0</v>
      </c>
      <c r="BE108" s="1">
        <f>IF(BB108=3,G108,0)</f>
        <v>0</v>
      </c>
      <c r="BF108" s="1">
        <f>IF(BB108=4,G108,0)</f>
        <v>0</v>
      </c>
      <c r="BG108" s="1">
        <f>IF(BB108=5,G108,0)</f>
        <v>0</v>
      </c>
    </row>
    <row r="109" spans="1:59" x14ac:dyDescent="0.2">
      <c r="A109" s="656">
        <v>77</v>
      </c>
      <c r="B109" s="467" t="s">
        <v>689</v>
      </c>
      <c r="C109" s="468" t="s">
        <v>690</v>
      </c>
      <c r="D109" s="469" t="s">
        <v>446</v>
      </c>
      <c r="E109" s="657">
        <v>9</v>
      </c>
      <c r="F109" s="1069"/>
      <c r="G109" s="1052">
        <f>E109*F109</f>
        <v>0</v>
      </c>
      <c r="H109" s="658">
        <v>1.8600000000000001E-3</v>
      </c>
      <c r="I109" s="658">
        <f>E109*H109</f>
        <v>1.6740000000000001E-2</v>
      </c>
      <c r="J109" s="658">
        <v>0</v>
      </c>
      <c r="K109" s="658">
        <f>E109*J109</f>
        <v>0</v>
      </c>
      <c r="Q109" s="655">
        <v>2</v>
      </c>
      <c r="AA109" s="1">
        <v>12</v>
      </c>
      <c r="AB109" s="1">
        <v>0</v>
      </c>
      <c r="AC109" s="1">
        <v>77</v>
      </c>
      <c r="BB109" s="1">
        <v>2</v>
      </c>
      <c r="BC109" s="1">
        <f>IF(BB109=1,G109,0)</f>
        <v>0</v>
      </c>
      <c r="BD109" s="1">
        <f>IF(BB109=2,G109,0)</f>
        <v>0</v>
      </c>
      <c r="BE109" s="1">
        <f>IF(BB109=3,G109,0)</f>
        <v>0</v>
      </c>
      <c r="BF109" s="1">
        <f>IF(BB109=4,G109,0)</f>
        <v>0</v>
      </c>
      <c r="BG109" s="1">
        <f>IF(BB109=5,G109,0)</f>
        <v>0</v>
      </c>
    </row>
    <row r="110" spans="1:59" x14ac:dyDescent="0.2">
      <c r="A110" s="656"/>
      <c r="B110" s="467"/>
      <c r="C110" s="669" t="s">
        <v>1480</v>
      </c>
      <c r="D110" s="469"/>
      <c r="E110" s="657"/>
      <c r="F110" s="657"/>
      <c r="G110" s="1052"/>
      <c r="H110" s="658"/>
      <c r="I110" s="658"/>
      <c r="J110" s="658"/>
      <c r="K110" s="658"/>
      <c r="Q110" s="655"/>
    </row>
    <row r="111" spans="1:59" x14ac:dyDescent="0.2">
      <c r="A111" s="656">
        <v>78</v>
      </c>
      <c r="B111" s="467" t="s">
        <v>691</v>
      </c>
      <c r="C111" s="468" t="s">
        <v>692</v>
      </c>
      <c r="D111" s="469" t="s">
        <v>444</v>
      </c>
      <c r="E111" s="657">
        <v>9</v>
      </c>
      <c r="F111" s="1069"/>
      <c r="G111" s="1052">
        <f>E111*F111</f>
        <v>0</v>
      </c>
      <c r="H111" s="658">
        <v>1.5200000000000001E-3</v>
      </c>
      <c r="I111" s="658">
        <f>E111*H111</f>
        <v>1.3680000000000001E-2</v>
      </c>
      <c r="J111" s="658">
        <v>0</v>
      </c>
      <c r="K111" s="658">
        <f>E111*J111</f>
        <v>0</v>
      </c>
      <c r="Q111" s="655">
        <v>2</v>
      </c>
      <c r="AA111" s="1">
        <v>12</v>
      </c>
      <c r="AB111" s="1">
        <v>0</v>
      </c>
      <c r="AC111" s="1">
        <v>78</v>
      </c>
      <c r="BB111" s="1">
        <v>2</v>
      </c>
      <c r="BC111" s="1">
        <f>IF(BB111=1,G111,0)</f>
        <v>0</v>
      </c>
      <c r="BD111" s="1">
        <f>IF(BB111=2,G111,0)</f>
        <v>0</v>
      </c>
      <c r="BE111" s="1">
        <f>IF(BB111=3,G111,0)</f>
        <v>0</v>
      </c>
      <c r="BF111" s="1">
        <f>IF(BB111=4,G111,0)</f>
        <v>0</v>
      </c>
      <c r="BG111" s="1">
        <f>IF(BB111=5,G111,0)</f>
        <v>0</v>
      </c>
    </row>
    <row r="112" spans="1:59" x14ac:dyDescent="0.2">
      <c r="A112" s="656">
        <v>79</v>
      </c>
      <c r="B112" s="467" t="s">
        <v>693</v>
      </c>
      <c r="C112" s="468" t="s">
        <v>694</v>
      </c>
      <c r="D112" s="469" t="s">
        <v>446</v>
      </c>
      <c r="E112" s="657">
        <v>9</v>
      </c>
      <c r="F112" s="1069"/>
      <c r="G112" s="1052">
        <f>E112*F112</f>
        <v>0</v>
      </c>
      <c r="H112" s="658">
        <v>1.2E-4</v>
      </c>
      <c r="I112" s="658">
        <f>E112*H112</f>
        <v>1.08E-3</v>
      </c>
      <c r="J112" s="658">
        <v>0</v>
      </c>
      <c r="K112" s="658">
        <f>E112*J112</f>
        <v>0</v>
      </c>
      <c r="Q112" s="655">
        <v>2</v>
      </c>
      <c r="AA112" s="1">
        <v>12</v>
      </c>
      <c r="AB112" s="1">
        <v>0</v>
      </c>
      <c r="AC112" s="1">
        <v>79</v>
      </c>
      <c r="BB112" s="1">
        <v>2</v>
      </c>
      <c r="BC112" s="1">
        <f>IF(BB112=1,G112,0)</f>
        <v>0</v>
      </c>
      <c r="BD112" s="1">
        <f>IF(BB112=2,G112,0)</f>
        <v>0</v>
      </c>
      <c r="BE112" s="1">
        <f>IF(BB112=3,G112,0)</f>
        <v>0</v>
      </c>
      <c r="BF112" s="1">
        <f>IF(BB112=4,G112,0)</f>
        <v>0</v>
      </c>
      <c r="BG112" s="1">
        <f>IF(BB112=5,G112,0)</f>
        <v>0</v>
      </c>
    </row>
    <row r="113" spans="1:59" x14ac:dyDescent="0.2">
      <c r="A113" s="656">
        <v>80</v>
      </c>
      <c r="B113" s="467" t="s">
        <v>695</v>
      </c>
      <c r="C113" s="468" t="s">
        <v>696</v>
      </c>
      <c r="D113" s="469" t="s">
        <v>444</v>
      </c>
      <c r="E113" s="657">
        <v>9</v>
      </c>
      <c r="F113" s="1069"/>
      <c r="G113" s="1052">
        <f>E113*F113</f>
        <v>0</v>
      </c>
      <c r="H113" s="658">
        <v>1E-4</v>
      </c>
      <c r="I113" s="658">
        <f>E113*H113</f>
        <v>9.0000000000000008E-4</v>
      </c>
      <c r="J113" s="658">
        <v>0</v>
      </c>
      <c r="K113" s="658">
        <f>E113*J113</f>
        <v>0</v>
      </c>
      <c r="Q113" s="655">
        <v>2</v>
      </c>
      <c r="AA113" s="1">
        <v>12</v>
      </c>
      <c r="AB113" s="1">
        <v>1</v>
      </c>
      <c r="AC113" s="1">
        <v>80</v>
      </c>
      <c r="BB113" s="1">
        <v>2</v>
      </c>
      <c r="BC113" s="1">
        <f>IF(BB113=1,G113,0)</f>
        <v>0</v>
      </c>
      <c r="BD113" s="1">
        <f>IF(BB113=2,G113,0)</f>
        <v>0</v>
      </c>
      <c r="BE113" s="1">
        <f>IF(BB113=3,G113,0)</f>
        <v>0</v>
      </c>
      <c r="BF113" s="1">
        <f>IF(BB113=4,G113,0)</f>
        <v>0</v>
      </c>
      <c r="BG113" s="1">
        <f>IF(BB113=5,G113,0)</f>
        <v>0</v>
      </c>
    </row>
    <row r="114" spans="1:59" x14ac:dyDescent="0.2">
      <c r="A114" s="656">
        <v>81</v>
      </c>
      <c r="B114" s="467" t="s">
        <v>697</v>
      </c>
      <c r="C114" s="468" t="s">
        <v>698</v>
      </c>
      <c r="D114" s="469" t="s">
        <v>444</v>
      </c>
      <c r="E114" s="657">
        <v>9</v>
      </c>
      <c r="F114" s="1069"/>
      <c r="G114" s="1052">
        <f>E114*F114</f>
        <v>0</v>
      </c>
      <c r="H114" s="658">
        <v>2.0000000000000002E-5</v>
      </c>
      <c r="I114" s="658">
        <f>E114*H114</f>
        <v>1.8000000000000001E-4</v>
      </c>
      <c r="J114" s="658">
        <v>0</v>
      </c>
      <c r="K114" s="658">
        <f>E114*J114</f>
        <v>0</v>
      </c>
      <c r="Q114" s="655">
        <v>2</v>
      </c>
      <c r="AA114" s="1">
        <v>12</v>
      </c>
      <c r="AB114" s="1">
        <v>0</v>
      </c>
      <c r="AC114" s="1">
        <v>81</v>
      </c>
      <c r="BB114" s="1">
        <v>2</v>
      </c>
      <c r="BC114" s="1">
        <f>IF(BB114=1,G114,0)</f>
        <v>0</v>
      </c>
      <c r="BD114" s="1">
        <f>IF(BB114=2,G114,0)</f>
        <v>0</v>
      </c>
      <c r="BE114" s="1">
        <f>IF(BB114=3,G114,0)</f>
        <v>0</v>
      </c>
      <c r="BF114" s="1">
        <f>IF(BB114=4,G114,0)</f>
        <v>0</v>
      </c>
      <c r="BG114" s="1">
        <f>IF(BB114=5,G114,0)</f>
        <v>0</v>
      </c>
    </row>
    <row r="115" spans="1:59" ht="25.5" x14ac:dyDescent="0.2">
      <c r="A115" s="656">
        <v>82</v>
      </c>
      <c r="B115" s="467" t="s">
        <v>383</v>
      </c>
      <c r="C115" s="468" t="s">
        <v>699</v>
      </c>
      <c r="D115" s="469" t="s">
        <v>275</v>
      </c>
      <c r="E115" s="657">
        <v>7</v>
      </c>
      <c r="F115" s="1069"/>
      <c r="G115" s="1052">
        <f>E115*F115</f>
        <v>0</v>
      </c>
      <c r="H115" s="658">
        <v>1.2E-2</v>
      </c>
      <c r="I115" s="658">
        <f>E115*H115</f>
        <v>8.4000000000000005E-2</v>
      </c>
      <c r="J115" s="658">
        <v>0</v>
      </c>
      <c r="K115" s="658">
        <f>E115*J115</f>
        <v>0</v>
      </c>
      <c r="Q115" s="655">
        <v>2</v>
      </c>
      <c r="AA115" s="1">
        <v>12</v>
      </c>
      <c r="AB115" s="1">
        <v>0</v>
      </c>
      <c r="AC115" s="1">
        <v>82</v>
      </c>
      <c r="BB115" s="1">
        <v>2</v>
      </c>
      <c r="BC115" s="1">
        <f>IF(BB115=1,G115,0)</f>
        <v>0</v>
      </c>
      <c r="BD115" s="1">
        <f>IF(BB115=2,G115,0)</f>
        <v>0</v>
      </c>
      <c r="BE115" s="1">
        <f>IF(BB115=3,G115,0)</f>
        <v>0</v>
      </c>
      <c r="BF115" s="1">
        <f>IF(BB115=4,G115,0)</f>
        <v>0</v>
      </c>
      <c r="BG115" s="1">
        <f>IF(BB115=5,G115,0)</f>
        <v>0</v>
      </c>
    </row>
    <row r="116" spans="1:59" x14ac:dyDescent="0.2">
      <c r="A116" s="656"/>
      <c r="B116" s="467"/>
      <c r="C116" s="663" t="s">
        <v>1481</v>
      </c>
      <c r="D116" s="469"/>
      <c r="E116" s="657"/>
      <c r="F116" s="657"/>
      <c r="G116" s="1052"/>
      <c r="H116" s="658"/>
      <c r="I116" s="658"/>
      <c r="J116" s="658"/>
      <c r="K116" s="658"/>
      <c r="Q116" s="655"/>
    </row>
    <row r="117" spans="1:59" x14ac:dyDescent="0.2">
      <c r="A117" s="656">
        <v>83</v>
      </c>
      <c r="B117" s="467" t="s">
        <v>384</v>
      </c>
      <c r="C117" s="468" t="s">
        <v>22</v>
      </c>
      <c r="D117" s="469" t="s">
        <v>275</v>
      </c>
      <c r="E117" s="657">
        <v>1</v>
      </c>
      <c r="F117" s="1069"/>
      <c r="G117" s="1052">
        <f t="shared" ref="G117:G122" si="24">E117*F117</f>
        <v>0</v>
      </c>
      <c r="H117" s="658">
        <v>1.7000000000000001E-2</v>
      </c>
      <c r="I117" s="658">
        <f t="shared" ref="I117:I122" si="25">E117*H117</f>
        <v>1.7000000000000001E-2</v>
      </c>
      <c r="J117" s="658">
        <v>0</v>
      </c>
      <c r="K117" s="658">
        <f t="shared" ref="K117:K122" si="26">E117*J117</f>
        <v>0</v>
      </c>
      <c r="Q117" s="655">
        <v>2</v>
      </c>
      <c r="AA117" s="1">
        <v>12</v>
      </c>
      <c r="AB117" s="1">
        <v>0</v>
      </c>
      <c r="AC117" s="1">
        <v>83</v>
      </c>
      <c r="BB117" s="1">
        <v>2</v>
      </c>
      <c r="BC117" s="1">
        <f t="shared" ref="BC117:BC122" si="27">IF(BB117=1,G117,0)</f>
        <v>0</v>
      </c>
      <c r="BD117" s="1">
        <f t="shared" ref="BD117:BD122" si="28">IF(BB117=2,G117,0)</f>
        <v>0</v>
      </c>
      <c r="BE117" s="1">
        <f t="shared" ref="BE117:BE122" si="29">IF(BB117=3,G117,0)</f>
        <v>0</v>
      </c>
      <c r="BF117" s="1">
        <f t="shared" ref="BF117:BF122" si="30">IF(BB117=4,G117,0)</f>
        <v>0</v>
      </c>
      <c r="BG117" s="1">
        <f t="shared" ref="BG117:BG122" si="31">IF(BB117=5,G117,0)</f>
        <v>0</v>
      </c>
    </row>
    <row r="118" spans="1:59" x14ac:dyDescent="0.2">
      <c r="A118" s="656">
        <v>84</v>
      </c>
      <c r="B118" s="467" t="s">
        <v>23</v>
      </c>
      <c r="C118" s="468" t="s">
        <v>24</v>
      </c>
      <c r="D118" s="469" t="s">
        <v>444</v>
      </c>
      <c r="E118" s="657">
        <v>1</v>
      </c>
      <c r="F118" s="1069"/>
      <c r="G118" s="1052">
        <f t="shared" si="24"/>
        <v>0</v>
      </c>
      <c r="H118" s="658">
        <v>2.8E-3</v>
      </c>
      <c r="I118" s="658">
        <f t="shared" si="25"/>
        <v>2.8E-3</v>
      </c>
      <c r="J118" s="658">
        <v>0</v>
      </c>
      <c r="K118" s="658">
        <f t="shared" si="26"/>
        <v>0</v>
      </c>
      <c r="Q118" s="655">
        <v>2</v>
      </c>
      <c r="AA118" s="1">
        <v>12</v>
      </c>
      <c r="AB118" s="1">
        <v>1</v>
      </c>
      <c r="AC118" s="1">
        <v>84</v>
      </c>
      <c r="BB118" s="1">
        <v>2</v>
      </c>
      <c r="BC118" s="1">
        <f t="shared" si="27"/>
        <v>0</v>
      </c>
      <c r="BD118" s="1">
        <f t="shared" si="28"/>
        <v>0</v>
      </c>
      <c r="BE118" s="1">
        <f t="shared" si="29"/>
        <v>0</v>
      </c>
      <c r="BF118" s="1">
        <f t="shared" si="30"/>
        <v>0</v>
      </c>
      <c r="BG118" s="1">
        <f t="shared" si="31"/>
        <v>0</v>
      </c>
    </row>
    <row r="119" spans="1:59" x14ac:dyDescent="0.2">
      <c r="A119" s="656">
        <v>85</v>
      </c>
      <c r="B119" s="467" t="s">
        <v>401</v>
      </c>
      <c r="C119" s="468" t="s">
        <v>25</v>
      </c>
      <c r="D119" s="469" t="s">
        <v>275</v>
      </c>
      <c r="E119" s="657">
        <v>1</v>
      </c>
      <c r="F119" s="1069"/>
      <c r="G119" s="1052">
        <f t="shared" si="24"/>
        <v>0</v>
      </c>
      <c r="H119" s="658">
        <v>1.2999999999999999E-3</v>
      </c>
      <c r="I119" s="658">
        <f t="shared" si="25"/>
        <v>1.2999999999999999E-3</v>
      </c>
      <c r="J119" s="658">
        <v>0</v>
      </c>
      <c r="K119" s="658">
        <f t="shared" si="26"/>
        <v>0</v>
      </c>
      <c r="Q119" s="655">
        <v>2</v>
      </c>
      <c r="AA119" s="1">
        <v>12</v>
      </c>
      <c r="AB119" s="1">
        <v>0</v>
      </c>
      <c r="AC119" s="1">
        <v>85</v>
      </c>
      <c r="BB119" s="1">
        <v>2</v>
      </c>
      <c r="BC119" s="1">
        <f t="shared" si="27"/>
        <v>0</v>
      </c>
      <c r="BD119" s="1">
        <f t="shared" si="28"/>
        <v>0</v>
      </c>
      <c r="BE119" s="1">
        <f t="shared" si="29"/>
        <v>0</v>
      </c>
      <c r="BF119" s="1">
        <f t="shared" si="30"/>
        <v>0</v>
      </c>
      <c r="BG119" s="1">
        <f t="shared" si="31"/>
        <v>0</v>
      </c>
    </row>
    <row r="120" spans="1:59" x14ac:dyDescent="0.2">
      <c r="A120" s="656">
        <v>86</v>
      </c>
      <c r="B120" s="467" t="s">
        <v>406</v>
      </c>
      <c r="C120" s="468" t="s">
        <v>26</v>
      </c>
      <c r="D120" s="469" t="s">
        <v>444</v>
      </c>
      <c r="E120" s="657">
        <v>1</v>
      </c>
      <c r="F120" s="1069"/>
      <c r="G120" s="1052">
        <f t="shared" si="24"/>
        <v>0</v>
      </c>
      <c r="H120" s="658">
        <v>3.79E-3</v>
      </c>
      <c r="I120" s="658">
        <f t="shared" si="25"/>
        <v>3.79E-3</v>
      </c>
      <c r="J120" s="658">
        <v>0</v>
      </c>
      <c r="K120" s="658">
        <f t="shared" si="26"/>
        <v>0</v>
      </c>
      <c r="Q120" s="655">
        <v>2</v>
      </c>
      <c r="AA120" s="1">
        <v>12</v>
      </c>
      <c r="AB120" s="1">
        <v>0</v>
      </c>
      <c r="AC120" s="1">
        <v>86</v>
      </c>
      <c r="BB120" s="1">
        <v>2</v>
      </c>
      <c r="BC120" s="1">
        <f t="shared" si="27"/>
        <v>0</v>
      </c>
      <c r="BD120" s="1">
        <f t="shared" si="28"/>
        <v>0</v>
      </c>
      <c r="BE120" s="1">
        <f t="shared" si="29"/>
        <v>0</v>
      </c>
      <c r="BF120" s="1">
        <f t="shared" si="30"/>
        <v>0</v>
      </c>
      <c r="BG120" s="1">
        <f t="shared" si="31"/>
        <v>0</v>
      </c>
    </row>
    <row r="121" spans="1:59" x14ac:dyDescent="0.2">
      <c r="A121" s="656">
        <v>87</v>
      </c>
      <c r="B121" s="467" t="s">
        <v>27</v>
      </c>
      <c r="C121" s="468" t="s">
        <v>28</v>
      </c>
      <c r="D121" s="469" t="s">
        <v>444</v>
      </c>
      <c r="E121" s="657">
        <v>1</v>
      </c>
      <c r="F121" s="1069"/>
      <c r="G121" s="1052">
        <f t="shared" si="24"/>
        <v>0</v>
      </c>
      <c r="H121" s="658">
        <v>7.1000000000000002E-4</v>
      </c>
      <c r="I121" s="658">
        <f t="shared" si="25"/>
        <v>7.1000000000000002E-4</v>
      </c>
      <c r="J121" s="658">
        <v>0</v>
      </c>
      <c r="K121" s="658">
        <f t="shared" si="26"/>
        <v>0</v>
      </c>
      <c r="Q121" s="655">
        <v>2</v>
      </c>
      <c r="AA121" s="1">
        <v>12</v>
      </c>
      <c r="AB121" s="1">
        <v>0</v>
      </c>
      <c r="AC121" s="1">
        <v>87</v>
      </c>
      <c r="BB121" s="1">
        <v>2</v>
      </c>
      <c r="BC121" s="1">
        <f t="shared" si="27"/>
        <v>0</v>
      </c>
      <c r="BD121" s="1">
        <f t="shared" si="28"/>
        <v>0</v>
      </c>
      <c r="BE121" s="1">
        <f t="shared" si="29"/>
        <v>0</v>
      </c>
      <c r="BF121" s="1">
        <f t="shared" si="30"/>
        <v>0</v>
      </c>
      <c r="BG121" s="1">
        <f t="shared" si="31"/>
        <v>0</v>
      </c>
    </row>
    <row r="122" spans="1:59" x14ac:dyDescent="0.2">
      <c r="A122" s="656">
        <v>88</v>
      </c>
      <c r="B122" s="467" t="s">
        <v>29</v>
      </c>
      <c r="C122" s="468" t="s">
        <v>30</v>
      </c>
      <c r="D122" s="469" t="s">
        <v>444</v>
      </c>
      <c r="E122" s="657">
        <v>1</v>
      </c>
      <c r="F122" s="1069"/>
      <c r="G122" s="1052">
        <f t="shared" si="24"/>
        <v>0</v>
      </c>
      <c r="H122" s="658">
        <v>1.2E-4</v>
      </c>
      <c r="I122" s="658">
        <f t="shared" si="25"/>
        <v>1.2E-4</v>
      </c>
      <c r="J122" s="658">
        <v>0</v>
      </c>
      <c r="K122" s="658">
        <f t="shared" si="26"/>
        <v>0</v>
      </c>
      <c r="Q122" s="655">
        <v>2</v>
      </c>
      <c r="AA122" s="1">
        <v>12</v>
      </c>
      <c r="AB122" s="1">
        <v>0</v>
      </c>
      <c r="AC122" s="1">
        <v>88</v>
      </c>
      <c r="BB122" s="1">
        <v>2</v>
      </c>
      <c r="BC122" s="1">
        <f t="shared" si="27"/>
        <v>0</v>
      </c>
      <c r="BD122" s="1">
        <f t="shared" si="28"/>
        <v>0</v>
      </c>
      <c r="BE122" s="1">
        <f t="shared" si="29"/>
        <v>0</v>
      </c>
      <c r="BF122" s="1">
        <f t="shared" si="30"/>
        <v>0</v>
      </c>
      <c r="BG122" s="1">
        <f t="shared" si="31"/>
        <v>0</v>
      </c>
    </row>
    <row r="123" spans="1:59" x14ac:dyDescent="0.2">
      <c r="A123" s="656"/>
      <c r="B123" s="467"/>
      <c r="C123" s="663" t="s">
        <v>1482</v>
      </c>
      <c r="D123" s="469"/>
      <c r="E123" s="657"/>
      <c r="F123" s="657"/>
      <c r="G123" s="1052"/>
      <c r="H123" s="658"/>
      <c r="I123" s="658"/>
      <c r="J123" s="658"/>
      <c r="K123" s="658"/>
      <c r="Q123" s="655"/>
    </row>
    <row r="124" spans="1:59" x14ac:dyDescent="0.2">
      <c r="A124" s="656">
        <v>89</v>
      </c>
      <c r="B124" s="467" t="s">
        <v>351</v>
      </c>
      <c r="C124" s="468" t="s">
        <v>1483</v>
      </c>
      <c r="D124" s="469" t="s">
        <v>275</v>
      </c>
      <c r="E124" s="657">
        <v>2</v>
      </c>
      <c r="F124" s="1069"/>
      <c r="G124" s="1052">
        <f t="shared" ref="G124:G136" si="32">E124*F124</f>
        <v>0</v>
      </c>
      <c r="H124" s="658">
        <v>2.2000000000000001E-4</v>
      </c>
      <c r="I124" s="658">
        <f t="shared" ref="I124:I136" si="33">E124*H124</f>
        <v>4.4000000000000002E-4</v>
      </c>
      <c r="J124" s="658">
        <v>0</v>
      </c>
      <c r="K124" s="658">
        <f>E124*J124</f>
        <v>0</v>
      </c>
      <c r="Q124" s="655">
        <v>2</v>
      </c>
      <c r="AA124" s="1">
        <v>12</v>
      </c>
      <c r="AB124" s="1">
        <v>0</v>
      </c>
      <c r="AC124" s="1">
        <v>89</v>
      </c>
      <c r="BB124" s="1">
        <v>2</v>
      </c>
      <c r="BC124" s="1">
        <f>IF(BB124=1,G124,0)</f>
        <v>0</v>
      </c>
      <c r="BD124" s="1">
        <f>IF(BB124=2,G124,0)</f>
        <v>0</v>
      </c>
      <c r="BE124" s="1">
        <f>IF(BB124=3,G124,0)</f>
        <v>0</v>
      </c>
      <c r="BF124" s="1">
        <f>IF(BB124=4,G124,0)</f>
        <v>0</v>
      </c>
      <c r="BG124" s="1">
        <f>IF(BB124=5,G124,0)</f>
        <v>0</v>
      </c>
    </row>
    <row r="125" spans="1:59" ht="25.5" x14ac:dyDescent="0.2">
      <c r="A125" s="656">
        <v>90</v>
      </c>
      <c r="B125" s="467" t="s">
        <v>682</v>
      </c>
      <c r="C125" s="468" t="s">
        <v>683</v>
      </c>
      <c r="D125" s="469" t="s">
        <v>444</v>
      </c>
      <c r="E125" s="657">
        <v>2</v>
      </c>
      <c r="F125" s="1069"/>
      <c r="G125" s="1052">
        <f t="shared" si="32"/>
        <v>0</v>
      </c>
      <c r="H125" s="658">
        <v>1.72E-3</v>
      </c>
      <c r="I125" s="658">
        <f t="shared" si="33"/>
        <v>3.4399999999999999E-3</v>
      </c>
      <c r="J125" s="658">
        <v>0</v>
      </c>
      <c r="K125" s="658">
        <f>E125*J125</f>
        <v>0</v>
      </c>
      <c r="Q125" s="655">
        <v>2</v>
      </c>
      <c r="AA125" s="1">
        <v>12</v>
      </c>
      <c r="AB125" s="1">
        <v>0</v>
      </c>
      <c r="AC125" s="1">
        <v>90</v>
      </c>
      <c r="BB125" s="1">
        <v>2</v>
      </c>
      <c r="BC125" s="1">
        <f>IF(BB125=1,G125,0)</f>
        <v>0</v>
      </c>
      <c r="BD125" s="1">
        <f>IF(BB125=2,G125,0)</f>
        <v>0</v>
      </c>
      <c r="BE125" s="1">
        <f>IF(BB125=3,G125,0)</f>
        <v>0</v>
      </c>
      <c r="BF125" s="1">
        <f>IF(BB125=4,G125,0)</f>
        <v>0</v>
      </c>
      <c r="BG125" s="1">
        <f>IF(BB125=5,G125,0)</f>
        <v>0</v>
      </c>
    </row>
    <row r="126" spans="1:59" x14ac:dyDescent="0.2">
      <c r="A126" s="656">
        <v>91</v>
      </c>
      <c r="B126" s="467" t="s">
        <v>1484</v>
      </c>
      <c r="C126" s="468" t="s">
        <v>1485</v>
      </c>
      <c r="D126" s="469" t="s">
        <v>275</v>
      </c>
      <c r="E126" s="657">
        <v>2</v>
      </c>
      <c r="F126" s="1069"/>
      <c r="G126" s="1052">
        <f t="shared" si="32"/>
        <v>0</v>
      </c>
      <c r="H126" s="658">
        <v>2.1199999999999999E-3</v>
      </c>
      <c r="I126" s="658">
        <f t="shared" si="33"/>
        <v>4.2399999999999998E-3</v>
      </c>
      <c r="J126" s="658"/>
      <c r="K126" s="658"/>
      <c r="Q126" s="655"/>
    </row>
    <row r="127" spans="1:59" x14ac:dyDescent="0.2">
      <c r="A127" s="656">
        <v>92</v>
      </c>
      <c r="B127" s="467" t="s">
        <v>407</v>
      </c>
      <c r="C127" s="468" t="s">
        <v>31</v>
      </c>
      <c r="D127" s="469" t="s">
        <v>275</v>
      </c>
      <c r="E127" s="657">
        <v>8</v>
      </c>
      <c r="F127" s="1069"/>
      <c r="G127" s="1052">
        <f t="shared" si="32"/>
        <v>0</v>
      </c>
      <c r="H127" s="658">
        <v>2.9999999999999997E-4</v>
      </c>
      <c r="I127" s="658">
        <f t="shared" si="33"/>
        <v>2.3999999999999998E-3</v>
      </c>
      <c r="J127" s="658">
        <v>0</v>
      </c>
      <c r="K127" s="658">
        <f t="shared" ref="K127:K136" si="34">E127*J127</f>
        <v>0</v>
      </c>
      <c r="Q127" s="655">
        <v>2</v>
      </c>
      <c r="AA127" s="1">
        <v>12</v>
      </c>
      <c r="AB127" s="1">
        <v>0</v>
      </c>
      <c r="AC127" s="1">
        <v>91</v>
      </c>
      <c r="BB127" s="1">
        <v>2</v>
      </c>
      <c r="BC127" s="1">
        <f t="shared" ref="BC127:BC135" si="35">IF(BB127=1,G127,0)</f>
        <v>0</v>
      </c>
      <c r="BD127" s="1">
        <f t="shared" ref="BD127:BD135" si="36">IF(BB127=2,G127,0)</f>
        <v>0</v>
      </c>
      <c r="BE127" s="1">
        <f t="shared" ref="BE127:BE135" si="37">IF(BB127=3,G127,0)</f>
        <v>0</v>
      </c>
      <c r="BF127" s="1">
        <f t="shared" ref="BF127:BF135" si="38">IF(BB127=4,G127,0)</f>
        <v>0</v>
      </c>
      <c r="BG127" s="1">
        <f t="shared" ref="BG127:BG135" si="39">IF(BB127=5,G127,0)</f>
        <v>0</v>
      </c>
    </row>
    <row r="128" spans="1:59" x14ac:dyDescent="0.2">
      <c r="A128" s="656">
        <v>93</v>
      </c>
      <c r="B128" s="467" t="s">
        <v>408</v>
      </c>
      <c r="C128" s="468" t="s">
        <v>32</v>
      </c>
      <c r="D128" s="469" t="s">
        <v>436</v>
      </c>
      <c r="E128" s="657">
        <v>0.86929999999999996</v>
      </c>
      <c r="F128" s="1069"/>
      <c r="G128" s="1052">
        <f t="shared" si="32"/>
        <v>0</v>
      </c>
      <c r="H128" s="658">
        <v>0</v>
      </c>
      <c r="I128" s="658">
        <f t="shared" si="33"/>
        <v>0</v>
      </c>
      <c r="J128" s="658">
        <v>0</v>
      </c>
      <c r="K128" s="658">
        <f t="shared" si="34"/>
        <v>0</v>
      </c>
      <c r="Q128" s="655">
        <v>2</v>
      </c>
      <c r="AA128" s="1">
        <v>12</v>
      </c>
      <c r="AB128" s="1">
        <v>0</v>
      </c>
      <c r="AC128" s="1">
        <v>92</v>
      </c>
      <c r="BB128" s="1">
        <v>2</v>
      </c>
      <c r="BC128" s="1">
        <f t="shared" si="35"/>
        <v>0</v>
      </c>
      <c r="BD128" s="1">
        <f t="shared" si="36"/>
        <v>0</v>
      </c>
      <c r="BE128" s="1">
        <f t="shared" si="37"/>
        <v>0</v>
      </c>
      <c r="BF128" s="1">
        <f t="shared" si="38"/>
        <v>0</v>
      </c>
      <c r="BG128" s="1">
        <f t="shared" si="39"/>
        <v>0</v>
      </c>
    </row>
    <row r="129" spans="1:59" x14ac:dyDescent="0.2">
      <c r="A129" s="656">
        <v>94</v>
      </c>
      <c r="B129" s="467" t="s">
        <v>700</v>
      </c>
      <c r="C129" s="468" t="s">
        <v>701</v>
      </c>
      <c r="D129" s="469" t="s">
        <v>446</v>
      </c>
      <c r="E129" s="657">
        <v>19</v>
      </c>
      <c r="F129" s="1069"/>
      <c r="G129" s="1052">
        <f t="shared" si="32"/>
        <v>0</v>
      </c>
      <c r="H129" s="658">
        <v>0</v>
      </c>
      <c r="I129" s="658">
        <f t="shared" si="33"/>
        <v>0</v>
      </c>
      <c r="J129" s="658">
        <v>-1.9460000000000002E-2</v>
      </c>
      <c r="K129" s="658">
        <f t="shared" si="34"/>
        <v>-0.36974000000000001</v>
      </c>
      <c r="Q129" s="655">
        <v>2</v>
      </c>
      <c r="AA129" s="1">
        <v>12</v>
      </c>
      <c r="AB129" s="1">
        <v>0</v>
      </c>
      <c r="AC129" s="1">
        <v>93</v>
      </c>
      <c r="BB129" s="1">
        <v>2</v>
      </c>
      <c r="BC129" s="1">
        <f t="shared" si="35"/>
        <v>0</v>
      </c>
      <c r="BD129" s="1">
        <f t="shared" si="36"/>
        <v>0</v>
      </c>
      <c r="BE129" s="1">
        <f t="shared" si="37"/>
        <v>0</v>
      </c>
      <c r="BF129" s="1">
        <f t="shared" si="38"/>
        <v>0</v>
      </c>
      <c r="BG129" s="1">
        <f t="shared" si="39"/>
        <v>0</v>
      </c>
    </row>
    <row r="130" spans="1:59" x14ac:dyDescent="0.2">
      <c r="A130" s="656">
        <v>95</v>
      </c>
      <c r="B130" s="467" t="s">
        <v>702</v>
      </c>
      <c r="C130" s="468" t="s">
        <v>703</v>
      </c>
      <c r="D130" s="469" t="s">
        <v>446</v>
      </c>
      <c r="E130" s="657">
        <v>19</v>
      </c>
      <c r="F130" s="1069"/>
      <c r="G130" s="1052">
        <f t="shared" si="32"/>
        <v>0</v>
      </c>
      <c r="H130" s="658">
        <v>0</v>
      </c>
      <c r="I130" s="658">
        <f t="shared" si="33"/>
        <v>0</v>
      </c>
      <c r="J130" s="658">
        <v>-1.56E-3</v>
      </c>
      <c r="K130" s="658">
        <f t="shared" si="34"/>
        <v>-2.964E-2</v>
      </c>
      <c r="Q130" s="655">
        <v>2</v>
      </c>
      <c r="AA130" s="1">
        <v>12</v>
      </c>
      <c r="AB130" s="1">
        <v>0</v>
      </c>
      <c r="AC130" s="1">
        <v>94</v>
      </c>
      <c r="BB130" s="1">
        <v>2</v>
      </c>
      <c r="BC130" s="1">
        <f t="shared" si="35"/>
        <v>0</v>
      </c>
      <c r="BD130" s="1">
        <f t="shared" si="36"/>
        <v>0</v>
      </c>
      <c r="BE130" s="1">
        <f t="shared" si="37"/>
        <v>0</v>
      </c>
      <c r="BF130" s="1">
        <f t="shared" si="38"/>
        <v>0</v>
      </c>
      <c r="BG130" s="1">
        <f t="shared" si="39"/>
        <v>0</v>
      </c>
    </row>
    <row r="131" spans="1:59" x14ac:dyDescent="0.2">
      <c r="A131" s="656">
        <v>96</v>
      </c>
      <c r="B131" s="467" t="s">
        <v>704</v>
      </c>
      <c r="C131" s="468" t="s">
        <v>705</v>
      </c>
      <c r="D131" s="469" t="s">
        <v>444</v>
      </c>
      <c r="E131" s="657">
        <v>8</v>
      </c>
      <c r="F131" s="1069"/>
      <c r="G131" s="1052">
        <f t="shared" si="32"/>
        <v>0</v>
      </c>
      <c r="H131" s="658">
        <v>0</v>
      </c>
      <c r="I131" s="658">
        <f t="shared" si="33"/>
        <v>0</v>
      </c>
      <c r="J131" s="658">
        <v>-2.2499999999999998E-3</v>
      </c>
      <c r="K131" s="658">
        <f t="shared" si="34"/>
        <v>-1.7999999999999999E-2</v>
      </c>
      <c r="Q131" s="655">
        <v>2</v>
      </c>
      <c r="AA131" s="1">
        <v>12</v>
      </c>
      <c r="AB131" s="1">
        <v>0</v>
      </c>
      <c r="AC131" s="1">
        <v>95</v>
      </c>
      <c r="BB131" s="1">
        <v>2</v>
      </c>
      <c r="BC131" s="1">
        <f t="shared" si="35"/>
        <v>0</v>
      </c>
      <c r="BD131" s="1">
        <f t="shared" si="36"/>
        <v>0</v>
      </c>
      <c r="BE131" s="1">
        <f t="shared" si="37"/>
        <v>0</v>
      </c>
      <c r="BF131" s="1">
        <f t="shared" si="38"/>
        <v>0</v>
      </c>
      <c r="BG131" s="1">
        <f t="shared" si="39"/>
        <v>0</v>
      </c>
    </row>
    <row r="132" spans="1:59" x14ac:dyDescent="0.2">
      <c r="A132" s="656">
        <v>97</v>
      </c>
      <c r="B132" s="467" t="s">
        <v>706</v>
      </c>
      <c r="C132" s="468" t="s">
        <v>707</v>
      </c>
      <c r="D132" s="469" t="s">
        <v>446</v>
      </c>
      <c r="E132" s="657">
        <v>8</v>
      </c>
      <c r="F132" s="1069"/>
      <c r="G132" s="1052">
        <f t="shared" si="32"/>
        <v>0</v>
      </c>
      <c r="H132" s="658">
        <v>0</v>
      </c>
      <c r="I132" s="658">
        <f t="shared" si="33"/>
        <v>0</v>
      </c>
      <c r="J132" s="658">
        <v>-8.7999999999999995E-2</v>
      </c>
      <c r="K132" s="658">
        <f t="shared" si="34"/>
        <v>-0.70399999999999996</v>
      </c>
      <c r="Q132" s="655">
        <v>2</v>
      </c>
      <c r="AA132" s="1">
        <v>12</v>
      </c>
      <c r="AB132" s="1">
        <v>0</v>
      </c>
      <c r="AC132" s="1">
        <v>96</v>
      </c>
      <c r="BB132" s="1">
        <v>2</v>
      </c>
      <c r="BC132" s="1">
        <f t="shared" si="35"/>
        <v>0</v>
      </c>
      <c r="BD132" s="1">
        <f t="shared" si="36"/>
        <v>0</v>
      </c>
      <c r="BE132" s="1">
        <f t="shared" si="37"/>
        <v>0</v>
      </c>
      <c r="BF132" s="1">
        <f t="shared" si="38"/>
        <v>0</v>
      </c>
      <c r="BG132" s="1">
        <f t="shared" si="39"/>
        <v>0</v>
      </c>
    </row>
    <row r="133" spans="1:59" x14ac:dyDescent="0.2">
      <c r="A133" s="656">
        <v>98</v>
      </c>
      <c r="B133" s="467" t="s">
        <v>708</v>
      </c>
      <c r="C133" s="468" t="s">
        <v>1486</v>
      </c>
      <c r="D133" s="469" t="s">
        <v>444</v>
      </c>
      <c r="E133" s="657">
        <v>21</v>
      </c>
      <c r="F133" s="1069"/>
      <c r="G133" s="1052">
        <f t="shared" si="32"/>
        <v>0</v>
      </c>
      <c r="H133" s="658">
        <v>0</v>
      </c>
      <c r="I133" s="658">
        <f t="shared" si="33"/>
        <v>0</v>
      </c>
      <c r="J133" s="658">
        <v>-8.4999999999999995E-4</v>
      </c>
      <c r="K133" s="658">
        <f t="shared" si="34"/>
        <v>-1.7849999999999998E-2</v>
      </c>
      <c r="Q133" s="655">
        <v>2</v>
      </c>
      <c r="AA133" s="1">
        <v>12</v>
      </c>
      <c r="AB133" s="1">
        <v>0</v>
      </c>
      <c r="AC133" s="1">
        <v>97</v>
      </c>
      <c r="BB133" s="1">
        <v>2</v>
      </c>
      <c r="BC133" s="1">
        <f t="shared" si="35"/>
        <v>0</v>
      </c>
      <c r="BD133" s="1">
        <f t="shared" si="36"/>
        <v>0</v>
      </c>
      <c r="BE133" s="1">
        <f t="shared" si="37"/>
        <v>0</v>
      </c>
      <c r="BF133" s="1">
        <f t="shared" si="38"/>
        <v>0</v>
      </c>
      <c r="BG133" s="1">
        <f t="shared" si="39"/>
        <v>0</v>
      </c>
    </row>
    <row r="134" spans="1:59" x14ac:dyDescent="0.2">
      <c r="A134" s="656">
        <v>99</v>
      </c>
      <c r="B134" s="467" t="s">
        <v>709</v>
      </c>
      <c r="C134" s="468" t="s">
        <v>710</v>
      </c>
      <c r="D134" s="469" t="s">
        <v>446</v>
      </c>
      <c r="E134" s="657">
        <v>8</v>
      </c>
      <c r="F134" s="1069"/>
      <c r="G134" s="1052">
        <f t="shared" si="32"/>
        <v>0</v>
      </c>
      <c r="H134" s="658">
        <v>0</v>
      </c>
      <c r="I134" s="658">
        <f t="shared" si="33"/>
        <v>0</v>
      </c>
      <c r="J134" s="658">
        <v>-1.933E-2</v>
      </c>
      <c r="K134" s="658">
        <f t="shared" si="34"/>
        <v>-0.15464</v>
      </c>
      <c r="Q134" s="655">
        <v>2</v>
      </c>
      <c r="AA134" s="1">
        <v>12</v>
      </c>
      <c r="AB134" s="1">
        <v>0</v>
      </c>
      <c r="AC134" s="1">
        <v>98</v>
      </c>
      <c r="BB134" s="1">
        <v>2</v>
      </c>
      <c r="BC134" s="1">
        <f t="shared" si="35"/>
        <v>0</v>
      </c>
      <c r="BD134" s="1">
        <f t="shared" si="36"/>
        <v>0</v>
      </c>
      <c r="BE134" s="1">
        <f t="shared" si="37"/>
        <v>0</v>
      </c>
      <c r="BF134" s="1">
        <f t="shared" si="38"/>
        <v>0</v>
      </c>
      <c r="BG134" s="1">
        <f t="shared" si="39"/>
        <v>0</v>
      </c>
    </row>
    <row r="135" spans="1:59" x14ac:dyDescent="0.2">
      <c r="A135" s="656">
        <v>100</v>
      </c>
      <c r="B135" s="467" t="s">
        <v>711</v>
      </c>
      <c r="C135" s="468" t="s">
        <v>712</v>
      </c>
      <c r="D135" s="469" t="s">
        <v>446</v>
      </c>
      <c r="E135" s="657">
        <v>2</v>
      </c>
      <c r="F135" s="1069"/>
      <c r="G135" s="1052">
        <f t="shared" si="32"/>
        <v>0</v>
      </c>
      <c r="H135" s="658">
        <v>0</v>
      </c>
      <c r="I135" s="658">
        <f t="shared" si="33"/>
        <v>0</v>
      </c>
      <c r="J135" s="658">
        <v>-3.4700000000000002E-2</v>
      </c>
      <c r="K135" s="658">
        <f t="shared" si="34"/>
        <v>-6.9400000000000003E-2</v>
      </c>
      <c r="Q135" s="655">
        <v>2</v>
      </c>
      <c r="AA135" s="1">
        <v>12</v>
      </c>
      <c r="AB135" s="1">
        <v>0</v>
      </c>
      <c r="AC135" s="1">
        <v>99</v>
      </c>
      <c r="BB135" s="1">
        <v>2</v>
      </c>
      <c r="BC135" s="1">
        <f t="shared" si="35"/>
        <v>0</v>
      </c>
      <c r="BD135" s="1">
        <f t="shared" si="36"/>
        <v>0</v>
      </c>
      <c r="BE135" s="1">
        <f t="shared" si="37"/>
        <v>0</v>
      </c>
      <c r="BF135" s="1">
        <f t="shared" si="38"/>
        <v>0</v>
      </c>
      <c r="BG135" s="1">
        <f t="shared" si="39"/>
        <v>0</v>
      </c>
    </row>
    <row r="136" spans="1:59" x14ac:dyDescent="0.2">
      <c r="A136" s="656">
        <v>101</v>
      </c>
      <c r="B136" s="467" t="s">
        <v>1487</v>
      </c>
      <c r="C136" s="468" t="s">
        <v>1488</v>
      </c>
      <c r="D136" s="469" t="s">
        <v>446</v>
      </c>
      <c r="E136" s="657">
        <v>2</v>
      </c>
      <c r="F136" s="1069"/>
      <c r="G136" s="1052">
        <f t="shared" si="32"/>
        <v>0</v>
      </c>
      <c r="H136" s="658">
        <v>0</v>
      </c>
      <c r="I136" s="658">
        <f t="shared" si="33"/>
        <v>0</v>
      </c>
      <c r="J136" s="658">
        <v>-9.1999999999999998E-3</v>
      </c>
      <c r="K136" s="658">
        <f t="shared" si="34"/>
        <v>-1.84E-2</v>
      </c>
      <c r="Q136" s="655"/>
    </row>
    <row r="137" spans="1:59" x14ac:dyDescent="0.2">
      <c r="A137" s="656">
        <v>102</v>
      </c>
      <c r="B137" s="467" t="s">
        <v>713</v>
      </c>
      <c r="C137" s="468" t="s">
        <v>714</v>
      </c>
      <c r="D137" s="469" t="s">
        <v>436</v>
      </c>
      <c r="E137" s="657">
        <v>1.363</v>
      </c>
      <c r="F137" s="1069"/>
      <c r="G137" s="1052">
        <f>E137*F137</f>
        <v>0</v>
      </c>
      <c r="H137" s="658">
        <v>0</v>
      </c>
      <c r="I137" s="658">
        <f>E137*H137</f>
        <v>0</v>
      </c>
      <c r="J137" s="658">
        <v>0</v>
      </c>
      <c r="K137" s="658">
        <f>E137*J137</f>
        <v>0</v>
      </c>
      <c r="Q137" s="655">
        <v>2</v>
      </c>
      <c r="AA137" s="1">
        <v>12</v>
      </c>
      <c r="AB137" s="1">
        <v>0</v>
      </c>
      <c r="AC137" s="1">
        <v>100</v>
      </c>
      <c r="BB137" s="1">
        <v>2</v>
      </c>
      <c r="BC137" s="1">
        <f>IF(BB137=1,G137,0)</f>
        <v>0</v>
      </c>
      <c r="BD137" s="1">
        <f>IF(BB137=2,G137,0)</f>
        <v>0</v>
      </c>
      <c r="BE137" s="1">
        <f>IF(BB137=3,G137,0)</f>
        <v>0</v>
      </c>
      <c r="BF137" s="1">
        <f>IF(BB137=4,G137,0)</f>
        <v>0</v>
      </c>
      <c r="BG137" s="1">
        <f>IF(BB137=5,G137,0)</f>
        <v>0</v>
      </c>
    </row>
    <row r="138" spans="1:59" x14ac:dyDescent="0.2">
      <c r="A138" s="656">
        <v>103</v>
      </c>
      <c r="B138" s="467" t="s">
        <v>7</v>
      </c>
      <c r="C138" s="468" t="s">
        <v>644</v>
      </c>
      <c r="D138" s="469" t="s">
        <v>436</v>
      </c>
      <c r="E138" s="657">
        <v>1.363</v>
      </c>
      <c r="F138" s="1069"/>
      <c r="G138" s="1052">
        <f>E138*F138</f>
        <v>0</v>
      </c>
      <c r="H138" s="658">
        <v>0</v>
      </c>
      <c r="I138" s="658">
        <f>E138*H138</f>
        <v>0</v>
      </c>
      <c r="J138" s="658">
        <v>0</v>
      </c>
      <c r="K138" s="658">
        <f>E138*J138</f>
        <v>0</v>
      </c>
      <c r="Q138" s="655">
        <v>2</v>
      </c>
      <c r="AA138" s="1">
        <v>12</v>
      </c>
      <c r="AB138" s="1">
        <v>0</v>
      </c>
      <c r="AC138" s="1">
        <v>101</v>
      </c>
      <c r="BB138" s="1">
        <v>2</v>
      </c>
      <c r="BC138" s="1">
        <f>IF(BB138=1,G138,0)</f>
        <v>0</v>
      </c>
      <c r="BD138" s="1">
        <f>IF(BB138=2,G138,0)</f>
        <v>0</v>
      </c>
      <c r="BE138" s="1">
        <f>IF(BB138=3,G138,0)</f>
        <v>0</v>
      </c>
      <c r="BF138" s="1">
        <f>IF(BB138=4,G138,0)</f>
        <v>0</v>
      </c>
      <c r="BG138" s="1">
        <f>IF(BB138=5,G138,0)</f>
        <v>0</v>
      </c>
    </row>
    <row r="139" spans="1:59" x14ac:dyDescent="0.2">
      <c r="A139" s="656">
        <v>104</v>
      </c>
      <c r="B139" s="467" t="s">
        <v>8</v>
      </c>
      <c r="C139" s="468" t="s">
        <v>715</v>
      </c>
      <c r="D139" s="469" t="s">
        <v>436</v>
      </c>
      <c r="E139" s="657">
        <v>1.363</v>
      </c>
      <c r="F139" s="1069"/>
      <c r="G139" s="1052">
        <f>E139*F139</f>
        <v>0</v>
      </c>
      <c r="H139" s="658">
        <v>0</v>
      </c>
      <c r="I139" s="658">
        <f>E139*H139</f>
        <v>0</v>
      </c>
      <c r="J139" s="658">
        <v>0</v>
      </c>
      <c r="K139" s="658">
        <f>E139*J139</f>
        <v>0</v>
      </c>
      <c r="Q139" s="655">
        <v>2</v>
      </c>
      <c r="AA139" s="1">
        <v>12</v>
      </c>
      <c r="AB139" s="1">
        <v>0</v>
      </c>
      <c r="AC139" s="1">
        <v>102</v>
      </c>
      <c r="BB139" s="1">
        <v>2</v>
      </c>
      <c r="BC139" s="1">
        <f>IF(BB139=1,G139,0)</f>
        <v>0</v>
      </c>
      <c r="BD139" s="1">
        <f>IF(BB139=2,G139,0)</f>
        <v>0</v>
      </c>
      <c r="BE139" s="1">
        <f>IF(BB139=3,G139,0)</f>
        <v>0</v>
      </c>
      <c r="BF139" s="1">
        <f>IF(BB139=4,G139,0)</f>
        <v>0</v>
      </c>
      <c r="BG139" s="1">
        <f>IF(BB139=5,G139,0)</f>
        <v>0</v>
      </c>
    </row>
    <row r="140" spans="1:59" x14ac:dyDescent="0.2">
      <c r="A140" s="470"/>
      <c r="B140" s="471" t="s">
        <v>387</v>
      </c>
      <c r="C140" s="472" t="str">
        <f>CONCATENATE(B96," ",C96)</f>
        <v>725 Zařizovací předměty</v>
      </c>
      <c r="D140" s="470"/>
      <c r="E140" s="659"/>
      <c r="F140" s="659"/>
      <c r="G140" s="1060">
        <f>SUM(G96:G139)</f>
        <v>0</v>
      </c>
      <c r="H140" s="660"/>
      <c r="I140" s="661">
        <f>SUM(I96:I139)</f>
        <v>0.87349999999999983</v>
      </c>
      <c r="J140" s="660"/>
      <c r="K140" s="661">
        <f>SUM(K96:K139)</f>
        <v>-1.38167</v>
      </c>
      <c r="Q140" s="655">
        <v>4</v>
      </c>
      <c r="BC140" s="662">
        <f>SUM(BC96:BC139)</f>
        <v>0</v>
      </c>
      <c r="BD140" s="662">
        <f>SUM(BD96:BD139)</f>
        <v>0</v>
      </c>
      <c r="BE140" s="662">
        <f>SUM(BE96:BE139)</f>
        <v>0</v>
      </c>
      <c r="BF140" s="662">
        <f>SUM(BF96:BF139)</f>
        <v>0</v>
      </c>
      <c r="BG140" s="662">
        <f>SUM(BG96:BG139)</f>
        <v>0</v>
      </c>
    </row>
    <row r="141" spans="1:59" x14ac:dyDescent="0.2">
      <c r="A141" s="652" t="s">
        <v>381</v>
      </c>
      <c r="B141" s="464" t="s">
        <v>379</v>
      </c>
      <c r="C141" s="465" t="s">
        <v>380</v>
      </c>
      <c r="D141" s="466"/>
      <c r="E141" s="653"/>
      <c r="F141" s="653"/>
      <c r="G141" s="1051"/>
      <c r="H141" s="654"/>
      <c r="I141" s="654"/>
      <c r="J141" s="654"/>
      <c r="K141" s="654"/>
      <c r="Q141" s="655">
        <v>1</v>
      </c>
    </row>
    <row r="142" spans="1:59" x14ac:dyDescent="0.2">
      <c r="A142" s="656">
        <v>105</v>
      </c>
      <c r="B142" s="467" t="s">
        <v>383</v>
      </c>
      <c r="C142" s="468" t="s">
        <v>716</v>
      </c>
      <c r="D142" s="469" t="s">
        <v>353</v>
      </c>
      <c r="E142" s="657">
        <v>95</v>
      </c>
      <c r="F142" s="1069"/>
      <c r="G142" s="1052">
        <f>E142*F142</f>
        <v>0</v>
      </c>
      <c r="H142" s="658">
        <v>1E-3</v>
      </c>
      <c r="I142" s="658">
        <f>E142*H142</f>
        <v>9.5000000000000001E-2</v>
      </c>
      <c r="J142" s="658">
        <v>0</v>
      </c>
      <c r="K142" s="658">
        <f>E142*J142</f>
        <v>0</v>
      </c>
      <c r="Q142" s="655">
        <v>2</v>
      </c>
      <c r="AA142" s="1">
        <v>12</v>
      </c>
      <c r="AB142" s="1">
        <v>0</v>
      </c>
      <c r="AC142" s="1">
        <v>103</v>
      </c>
      <c r="BB142" s="1">
        <v>2</v>
      </c>
      <c r="BC142" s="1">
        <f>IF(BB142=1,G142,0)</f>
        <v>0</v>
      </c>
      <c r="BD142" s="1">
        <f>IF(BB142=2,G142,0)</f>
        <v>0</v>
      </c>
      <c r="BE142" s="1">
        <f>IF(BB142=3,G142,0)</f>
        <v>0</v>
      </c>
      <c r="BF142" s="1">
        <f>IF(BB142=4,G142,0)</f>
        <v>0</v>
      </c>
      <c r="BG142" s="1">
        <f>IF(BB142=5,G142,0)</f>
        <v>0</v>
      </c>
    </row>
    <row r="143" spans="1:59" x14ac:dyDescent="0.2">
      <c r="A143" s="656">
        <v>106</v>
      </c>
      <c r="B143" s="467" t="s">
        <v>384</v>
      </c>
      <c r="C143" s="468" t="s">
        <v>717</v>
      </c>
      <c r="D143" s="469" t="s">
        <v>353</v>
      </c>
      <c r="E143" s="657">
        <v>95</v>
      </c>
      <c r="F143" s="1069"/>
      <c r="G143" s="1052">
        <f>E143*F143</f>
        <v>0</v>
      </c>
      <c r="H143" s="658">
        <v>1E-3</v>
      </c>
      <c r="I143" s="658">
        <f>E143*H143</f>
        <v>9.5000000000000001E-2</v>
      </c>
      <c r="J143" s="658">
        <v>0</v>
      </c>
      <c r="K143" s="658">
        <f>E143*J143</f>
        <v>0</v>
      </c>
      <c r="Q143" s="655">
        <v>2</v>
      </c>
      <c r="AA143" s="1">
        <v>12</v>
      </c>
      <c r="AB143" s="1">
        <v>0</v>
      </c>
      <c r="AC143" s="1">
        <v>104</v>
      </c>
      <c r="BB143" s="1">
        <v>2</v>
      </c>
      <c r="BC143" s="1">
        <f>IF(BB143=1,G143,0)</f>
        <v>0</v>
      </c>
      <c r="BD143" s="1">
        <f>IF(BB143=2,G143,0)</f>
        <v>0</v>
      </c>
      <c r="BE143" s="1">
        <f>IF(BB143=3,G143,0)</f>
        <v>0</v>
      </c>
      <c r="BF143" s="1">
        <f>IF(BB143=4,G143,0)</f>
        <v>0</v>
      </c>
      <c r="BG143" s="1">
        <f>IF(BB143=5,G143,0)</f>
        <v>0</v>
      </c>
    </row>
    <row r="144" spans="1:59" x14ac:dyDescent="0.2">
      <c r="A144" s="656">
        <v>107</v>
      </c>
      <c r="B144" s="467" t="s">
        <v>33</v>
      </c>
      <c r="C144" s="468" t="s">
        <v>34</v>
      </c>
      <c r="D144" s="469" t="s">
        <v>436</v>
      </c>
      <c r="E144" s="657">
        <v>0.19</v>
      </c>
      <c r="F144" s="1069"/>
      <c r="G144" s="1052">
        <f>E144*F144</f>
        <v>0</v>
      </c>
      <c r="H144" s="658">
        <v>0</v>
      </c>
      <c r="I144" s="658">
        <f>E144*H144</f>
        <v>0</v>
      </c>
      <c r="J144" s="658">
        <v>0</v>
      </c>
      <c r="K144" s="658">
        <f>E144*J144</f>
        <v>0</v>
      </c>
      <c r="Q144" s="655">
        <v>2</v>
      </c>
      <c r="AA144" s="1">
        <v>12</v>
      </c>
      <c r="AB144" s="1">
        <v>0</v>
      </c>
      <c r="AC144" s="1">
        <v>105</v>
      </c>
      <c r="BB144" s="1">
        <v>2</v>
      </c>
      <c r="BC144" s="1">
        <f>IF(BB144=1,G144,0)</f>
        <v>0</v>
      </c>
      <c r="BD144" s="1">
        <f>IF(BB144=2,G144,0)</f>
        <v>0</v>
      </c>
      <c r="BE144" s="1">
        <f>IF(BB144=3,G144,0)</f>
        <v>0</v>
      </c>
      <c r="BF144" s="1">
        <f>IF(BB144=4,G144,0)</f>
        <v>0</v>
      </c>
      <c r="BG144" s="1">
        <f>IF(BB144=5,G144,0)</f>
        <v>0</v>
      </c>
    </row>
    <row r="145" spans="1:59" x14ac:dyDescent="0.2">
      <c r="A145" s="470"/>
      <c r="B145" s="471" t="s">
        <v>387</v>
      </c>
      <c r="C145" s="472" t="str">
        <f>CONCATENATE(B141," ",C141)</f>
        <v>767 Konstrukce zámečnické</v>
      </c>
      <c r="D145" s="470"/>
      <c r="E145" s="659"/>
      <c r="F145" s="659"/>
      <c r="G145" s="1060">
        <f>SUM(G141:G144)</f>
        <v>0</v>
      </c>
      <c r="H145" s="660"/>
      <c r="I145" s="661">
        <f>SUM(I141:I144)</f>
        <v>0.19</v>
      </c>
      <c r="J145" s="660"/>
      <c r="K145" s="661">
        <f>SUM(K141:K144)</f>
        <v>0</v>
      </c>
      <c r="Q145" s="655">
        <v>4</v>
      </c>
      <c r="BC145" s="662">
        <f>SUM(BC141:BC144)</f>
        <v>0</v>
      </c>
      <c r="BD145" s="662">
        <f>SUM(BD141:BD144)</f>
        <v>0</v>
      </c>
      <c r="BE145" s="662">
        <f>SUM(BE141:BE144)</f>
        <v>0</v>
      </c>
      <c r="BF145" s="662">
        <f>SUM(BF141:BF144)</f>
        <v>0</v>
      </c>
      <c r="BG145" s="662">
        <f>SUM(BG141:BG144)</f>
        <v>0</v>
      </c>
    </row>
    <row r="146" spans="1:59" s="9" customFormat="1" x14ac:dyDescent="0.2">
      <c r="A146" s="473"/>
      <c r="B146" s="467"/>
      <c r="C146" s="468"/>
      <c r="D146" s="469"/>
      <c r="E146" s="515"/>
      <c r="F146" s="673"/>
      <c r="G146" s="602"/>
      <c r="H146" s="516"/>
      <c r="I146" s="517"/>
      <c r="L146" s="396"/>
    </row>
  </sheetData>
  <autoFilter ref="A7:I146"/>
  <customSheetViews>
    <customSheetView guid="{30B10D60-758F-4E0B-9F03-5879C6CAFDF6}" scale="130" showPageBreaks="1" printArea="1" showAutoFilter="1" hiddenColumns="1" view="pageBreakPreview">
      <pane ySplit="7" topLeftCell="A8" activePane="bottomLeft" state="frozen"/>
      <selection pane="bottomLeft" activeCell="M16" sqref="M16"/>
      <pageMargins left="0.70866141732283472" right="0.70866141732283472" top="0.78740157480314965" bottom="0.78740157480314965" header="0.31496062992125984" footer="0.31496062992125984"/>
      <pageSetup paperSize="9" orientation="landscape" r:id="rId1"/>
      <headerFooter>
        <oddFooter>&amp;Czdravotechnika&amp;Rstránka &amp;P z &amp;N</oddFooter>
      </headerFooter>
      <autoFilter ref="A7:I146"/>
    </customSheetView>
  </customSheetViews>
  <mergeCells count="1">
    <mergeCell ref="A4:I4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>&amp;Czdravotechnika&amp;Rstránka &amp;P z &amp;N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G50"/>
  <sheetViews>
    <sheetView view="pageBreakPreview" zoomScale="175" zoomScaleNormal="100" zoomScaleSheetLayoutView="175" workbookViewId="0">
      <selection activeCell="M16" sqref="M16"/>
    </sheetView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140625" customWidth="1"/>
    <col min="7" max="7" width="19.42578125" customWidth="1"/>
    <col min="8" max="8" width="16.7109375" customWidth="1"/>
    <col min="9" max="9" width="3.4257812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08" t="str">
        <f>'SO01 Krycí list'!C4:G4</f>
        <v>Rekonstrukce oddělení ortopedie</v>
      </c>
      <c r="D4" s="1209"/>
      <c r="E4" s="1209"/>
      <c r="F4" s="1209"/>
      <c r="G4" s="1210"/>
      <c r="H4" s="938" t="s">
        <v>621</v>
      </c>
      <c r="I4" s="84"/>
    </row>
    <row r="5" spans="1:59" ht="17.45" customHeight="1" x14ac:dyDescent="0.2">
      <c r="A5" s="85"/>
      <c r="B5" s="86"/>
      <c r="C5" s="1208" t="str">
        <f>'SO01 Krycí list'!C5:G5</f>
        <v>v pavilonu "B" nemocnice Šumperk</v>
      </c>
      <c r="D5" s="1209"/>
      <c r="E5" s="1209"/>
      <c r="F5" s="1209"/>
      <c r="G5" s="1210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208" t="str">
        <f>'SO01 Krycí list'!C7:G7</f>
        <v>SO 01 Vlastní objekt</v>
      </c>
      <c r="D7" s="1209"/>
      <c r="E7" s="1209"/>
      <c r="F7" s="1209"/>
      <c r="G7" s="1210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1518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651" t="s">
        <v>622</v>
      </c>
      <c r="B10" s="91"/>
      <c r="C10" s="1156" t="str">
        <f>'SO01 Krycí list'!C10:E10</f>
        <v>Město Šumperk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213" t="str">
        <f>'SO01 Krycí list'!C11:E11</f>
        <v>Nemocnice Šumperk a.s.</v>
      </c>
      <c r="D11" s="1213"/>
      <c r="E11" s="1213"/>
      <c r="F11" s="100"/>
      <c r="G11" s="92" t="s">
        <v>96</v>
      </c>
      <c r="H11" s="91"/>
      <c r="I11" s="101">
        <f>IF(PocetMJ=0,,ROUND((H41+H43)/PocetMJ,1))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189"/>
      <c r="I13" s="1228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32"/>
      <c r="H14" s="1233"/>
      <c r="I14" s="1234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'06rek '!E13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'06rek '!F13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292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'06rek '!G13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'06rek '!H13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'06rek '!I13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128">
        <f>SUM(D21:D24)</f>
        <v>0</v>
      </c>
      <c r="E25" s="129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x14ac:dyDescent="0.2">
      <c r="A26" s="130" t="s">
        <v>123</v>
      </c>
      <c r="B26" s="131"/>
      <c r="C26" s="1214" t="s">
        <v>1035</v>
      </c>
      <c r="D26" s="1179"/>
      <c r="E26" s="1180"/>
      <c r="F26" s="119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43" t="s">
        <v>1036</v>
      </c>
      <c r="D27" s="1158"/>
      <c r="E27" s="1159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222"/>
      <c r="D34" s="1167"/>
      <c r="E34" s="1168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69"/>
      <c r="D35" s="1170"/>
      <c r="E35" s="1171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75"/>
      <c r="D36" s="1176"/>
      <c r="E36" s="1177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72"/>
      <c r="D37" s="1173"/>
      <c r="E37" s="1174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x14ac:dyDescent="0.2">
      <c r="A38" s="54" t="s">
        <v>137</v>
      </c>
      <c r="B38" s="29"/>
      <c r="C38" s="29"/>
      <c r="D38" s="29"/>
      <c r="E38" s="29"/>
      <c r="F38" s="91"/>
      <c r="G38" s="91"/>
      <c r="H38" s="91"/>
      <c r="I38" s="93"/>
    </row>
    <row r="39" spans="1:9" x14ac:dyDescent="0.2">
      <c r="A39" s="54"/>
      <c r="B39" s="1235" t="s">
        <v>319</v>
      </c>
      <c r="C39" s="1235"/>
      <c r="D39" s="1235"/>
      <c r="E39" s="1235"/>
      <c r="F39" s="1235"/>
      <c r="G39" s="1235"/>
      <c r="H39" s="1235"/>
      <c r="I39" s="84"/>
    </row>
    <row r="40" spans="1:9" x14ac:dyDescent="0.2">
      <c r="A40" s="54"/>
      <c r="B40" s="1235"/>
      <c r="C40" s="1235"/>
      <c r="D40" s="1235"/>
      <c r="E40" s="1235"/>
      <c r="F40" s="1235"/>
      <c r="G40" s="1235"/>
      <c r="H40" s="1235"/>
      <c r="I40" s="84"/>
    </row>
    <row r="41" spans="1:9" x14ac:dyDescent="0.2">
      <c r="A41" s="54"/>
      <c r="B41" s="1235"/>
      <c r="C41" s="1235"/>
      <c r="D41" s="1235"/>
      <c r="E41" s="1235"/>
      <c r="F41" s="1235"/>
      <c r="G41" s="1235"/>
      <c r="H41" s="1235"/>
      <c r="I41" s="84"/>
    </row>
    <row r="42" spans="1:9" x14ac:dyDescent="0.2">
      <c r="A42" s="54"/>
      <c r="B42" s="1235"/>
      <c r="C42" s="1235"/>
      <c r="D42" s="1235"/>
      <c r="E42" s="1235"/>
      <c r="F42" s="1235"/>
      <c r="G42" s="1235"/>
      <c r="H42" s="1235"/>
      <c r="I42" s="84"/>
    </row>
    <row r="43" spans="1:9" ht="44.25" customHeight="1" x14ac:dyDescent="0.2">
      <c r="A43" s="54"/>
      <c r="B43" s="1235"/>
      <c r="C43" s="1235"/>
      <c r="D43" s="1235"/>
      <c r="E43" s="1235"/>
      <c r="F43" s="1235"/>
      <c r="G43" s="1235"/>
      <c r="H43" s="1235"/>
      <c r="I43" s="84"/>
    </row>
    <row r="44" spans="1:9" ht="8.25" customHeight="1" thickBot="1" x14ac:dyDescent="0.25">
      <c r="A44" s="147"/>
      <c r="B44" s="148"/>
      <c r="C44" s="148"/>
      <c r="D44" s="148"/>
      <c r="E44" s="148"/>
      <c r="F44" s="148"/>
      <c r="G44" s="148"/>
      <c r="H44" s="148"/>
      <c r="I44" s="149"/>
    </row>
    <row r="47" spans="1:9" x14ac:dyDescent="0.2">
      <c r="B47" s="332"/>
    </row>
    <row r="48" spans="1:9" x14ac:dyDescent="0.2">
      <c r="B48" s="332"/>
    </row>
    <row r="49" spans="2:2" x14ac:dyDescent="0.2">
      <c r="B49" s="333"/>
    </row>
    <row r="50" spans="2:2" x14ac:dyDescent="0.2">
      <c r="B50" s="332"/>
    </row>
  </sheetData>
  <customSheetViews>
    <customSheetView guid="{30B10D60-758F-4E0B-9F03-5879C6CAFDF6}" scale="175" showPageBreak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0">
    <mergeCell ref="F29:G29"/>
    <mergeCell ref="C11:E11"/>
    <mergeCell ref="C4:G4"/>
    <mergeCell ref="C5:G5"/>
    <mergeCell ref="C7:G7"/>
    <mergeCell ref="C9:G9"/>
    <mergeCell ref="C10:E10"/>
    <mergeCell ref="G14:I14"/>
    <mergeCell ref="A16:E16"/>
    <mergeCell ref="F16:I16"/>
    <mergeCell ref="C26:E26"/>
    <mergeCell ref="C27:E27"/>
    <mergeCell ref="H5:I5"/>
    <mergeCell ref="H6:I6"/>
    <mergeCell ref="H7:I7"/>
    <mergeCell ref="C37:E37"/>
    <mergeCell ref="B39:H43"/>
    <mergeCell ref="C31:E31"/>
    <mergeCell ref="C32:E32"/>
    <mergeCell ref="C33:E33"/>
    <mergeCell ref="C34:E34"/>
    <mergeCell ref="C35:E35"/>
    <mergeCell ref="C36:E36"/>
    <mergeCell ref="C30:E30"/>
    <mergeCell ref="C12:E12"/>
    <mergeCell ref="D13:E13"/>
    <mergeCell ref="H13:I13"/>
    <mergeCell ref="B14:E14"/>
    <mergeCell ref="C28:D28"/>
    <mergeCell ref="C29:E29"/>
  </mergeCell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62465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62465" r:id="rId5"/>
      </mc:Fallback>
    </mc:AlternateContent>
    <mc:AlternateContent xmlns:mc="http://schemas.openxmlformats.org/markup-compatibility/2006">
      <mc:Choice Requires="x14">
        <oleObject progId="Word.Picture.6" shapeId="62466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62466" r:id="rId7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22"/>
  <sheetViews>
    <sheetView view="pageBreakPreview" zoomScale="175" zoomScaleNormal="100" zoomScaleSheetLayoutView="175" workbookViewId="0">
      <selection activeCell="J25" sqref="J25"/>
    </sheetView>
  </sheetViews>
  <sheetFormatPr defaultRowHeight="12.75" x14ac:dyDescent="0.2"/>
  <cols>
    <col min="1" max="1" width="4.7109375" customWidth="1"/>
    <col min="2" max="2" width="6.140625" customWidth="1"/>
    <col min="3" max="3" width="11.42578125" customWidth="1"/>
    <col min="4" max="4" width="7.85546875" customWidth="1"/>
    <col min="5" max="9" width="11.7109375" customWidth="1"/>
    <col min="11" max="50" width="0" hidden="1" customWidth="1"/>
  </cols>
  <sheetData>
    <row r="1" spans="1:55" s="11" customFormat="1" ht="16.5" customHeight="1" thickTop="1" x14ac:dyDescent="0.25">
      <c r="A1" s="367" t="s">
        <v>49</v>
      </c>
      <c r="B1" s="368"/>
      <c r="C1" s="390" t="str">
        <f>'SO01 Krycí list'!C4:G4</f>
        <v>Rekonstrukce oddělení ortopedie</v>
      </c>
      <c r="D1" s="391"/>
      <c r="E1" s="391"/>
      <c r="F1" s="391"/>
      <c r="G1" s="391"/>
      <c r="H1" s="391"/>
      <c r="I1" s="392"/>
    </row>
    <row r="2" spans="1:55" s="11" customFormat="1" ht="16.5" customHeight="1" x14ac:dyDescent="0.25">
      <c r="A2" s="334"/>
      <c r="B2" s="335"/>
      <c r="C2" s="393" t="str">
        <f>'SO01 Krycí list'!C5:G5</f>
        <v>v pavilonu "B" nemocnice Šumperk</v>
      </c>
      <c r="D2" s="394"/>
      <c r="E2" s="394"/>
      <c r="F2" s="394"/>
      <c r="G2" s="394"/>
      <c r="H2" s="394"/>
      <c r="I2" s="395"/>
    </row>
    <row r="3" spans="1:55" ht="12.75" customHeight="1" x14ac:dyDescent="0.2">
      <c r="A3" s="275" t="s">
        <v>50</v>
      </c>
      <c r="B3" s="276"/>
      <c r="C3" s="282" t="str">
        <f>'SO01 Krycí list'!C7:G7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tr">
        <f>'06 medicinální plyny '!C9:G9</f>
        <v>D.1.4.6 - Rozvody medicinálního kyslíku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x14ac:dyDescent="0.2">
      <c r="A9" s="369"/>
      <c r="B9" s="31" t="s">
        <v>1034</v>
      </c>
      <c r="C9" s="267"/>
      <c r="D9" s="263"/>
      <c r="E9" s="34" t="s">
        <v>63</v>
      </c>
      <c r="F9" s="33" t="s">
        <v>63</v>
      </c>
      <c r="G9" s="33" t="s">
        <v>63</v>
      </c>
      <c r="H9" s="35">
        <f>'06pol '!G38</f>
        <v>0</v>
      </c>
      <c r="I9" s="35" t="s">
        <v>63</v>
      </c>
      <c r="BC9" s="269"/>
    </row>
    <row r="10" spans="1:55" s="268" customFormat="1" x14ac:dyDescent="0.2">
      <c r="A10" s="1066" t="s">
        <v>69</v>
      </c>
      <c r="B10" s="36" t="s">
        <v>1031</v>
      </c>
      <c r="C10" s="270"/>
      <c r="D10" s="264"/>
      <c r="E10" s="34" t="s">
        <v>63</v>
      </c>
      <c r="F10" s="34" t="s">
        <v>63</v>
      </c>
      <c r="G10" s="34" t="s">
        <v>63</v>
      </c>
      <c r="H10" s="34">
        <f>'06pol '!G50</f>
        <v>0</v>
      </c>
      <c r="I10" s="38" t="s">
        <v>63</v>
      </c>
    </row>
    <row r="11" spans="1:55" s="268" customFormat="1" x14ac:dyDescent="0.2">
      <c r="A11" s="329"/>
      <c r="B11" s="36"/>
      <c r="C11" s="270"/>
      <c r="D11" s="264"/>
      <c r="E11" s="34" t="s">
        <v>63</v>
      </c>
      <c r="F11" s="34" t="s">
        <v>63</v>
      </c>
      <c r="G11" s="34" t="s">
        <v>63</v>
      </c>
      <c r="H11" s="34" t="s">
        <v>63</v>
      </c>
      <c r="I11" s="38" t="s">
        <v>63</v>
      </c>
    </row>
    <row r="12" spans="1:55" s="268" customFormat="1" ht="13.5" thickBot="1" x14ac:dyDescent="0.25">
      <c r="A12" s="329"/>
      <c r="B12" s="36"/>
      <c r="C12" s="270"/>
      <c r="D12" s="264"/>
      <c r="E12" s="34" t="s">
        <v>63</v>
      </c>
      <c r="F12" s="34" t="s">
        <v>63</v>
      </c>
      <c r="G12" s="34" t="s">
        <v>63</v>
      </c>
      <c r="H12" s="34" t="s">
        <v>63</v>
      </c>
      <c r="I12" s="38" t="s">
        <v>63</v>
      </c>
    </row>
    <row r="13" spans="1:55" s="44" customFormat="1" ht="13.5" thickBot="1" x14ac:dyDescent="0.25">
      <c r="A13" s="39"/>
      <c r="B13" s="40" t="s">
        <v>70</v>
      </c>
      <c r="C13" s="40"/>
      <c r="D13" s="41"/>
      <c r="E13" s="42" t="str">
        <f>IF(SUM(E9:E12)&gt;0,SUM(E9:E12),"--------------")</f>
        <v>--------------</v>
      </c>
      <c r="F13" s="42" t="str">
        <f>IF(SUM(F9:F12)&gt;0,SUM(F9:F12),"--------------")</f>
        <v>--------------</v>
      </c>
      <c r="G13" s="42" t="str">
        <f>IF(SUM(G9:G12)&gt;0,SUM(G9:G12),"--------------")</f>
        <v>--------------</v>
      </c>
      <c r="H13" s="42" t="str">
        <f>IF(SUM(H9:H12)&gt;0,SUM(H9:H12),"--------------")</f>
        <v>--------------</v>
      </c>
      <c r="I13" s="43" t="str">
        <f>IF(SUM(I9:I12)&gt;0,SUM(I9:I12),"--------------")</f>
        <v>--------------</v>
      </c>
    </row>
    <row r="14" spans="1:5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55" x14ac:dyDescent="0.2">
      <c r="A15" s="29"/>
      <c r="B15" s="29"/>
      <c r="C15" s="29"/>
      <c r="D15" s="29"/>
      <c r="E15" s="29"/>
      <c r="F15" s="29"/>
      <c r="G15" s="29"/>
      <c r="H15" s="29"/>
      <c r="I15" s="29"/>
    </row>
    <row r="16" spans="1:55" x14ac:dyDescent="0.2">
      <c r="F16" s="74"/>
      <c r="G16" s="75"/>
      <c r="H16" s="75"/>
      <c r="I16" s="76"/>
    </row>
    <row r="17" spans="6:9" x14ac:dyDescent="0.2">
      <c r="F17" s="74"/>
      <c r="G17" s="75"/>
      <c r="H17" s="75"/>
      <c r="I17" s="76"/>
    </row>
    <row r="18" spans="6:9" x14ac:dyDescent="0.2">
      <c r="F18" s="74"/>
      <c r="G18" s="75"/>
      <c r="H18" s="75"/>
      <c r="I18" s="76"/>
    </row>
    <row r="19" spans="6:9" x14ac:dyDescent="0.2">
      <c r="F19" s="74"/>
      <c r="G19" s="75"/>
      <c r="H19" s="75"/>
      <c r="I19" s="76"/>
    </row>
    <row r="20" spans="6:9" x14ac:dyDescent="0.2">
      <c r="F20" s="74"/>
      <c r="G20" s="75"/>
      <c r="H20" s="75"/>
      <c r="I20" s="76"/>
    </row>
    <row r="21" spans="6:9" x14ac:dyDescent="0.2">
      <c r="F21" s="74"/>
      <c r="G21" s="75"/>
      <c r="H21" s="75"/>
      <c r="I21" s="76"/>
    </row>
    <row r="22" spans="6:9" x14ac:dyDescent="0.2">
      <c r="F22" s="74"/>
      <c r="G22" s="75"/>
      <c r="H22" s="75"/>
      <c r="I22" s="76"/>
    </row>
  </sheetData>
  <customSheetViews>
    <customSheetView guid="{30B10D60-758F-4E0B-9F03-5879C6CAFDF6}" scale="175" showPageBreaks="1" hiddenColumns="1" view="pageBreakPreview">
      <selection activeCell="J25" sqref="J25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51"/>
  <sheetViews>
    <sheetView view="pageBreakPreview" zoomScale="130" zoomScaleNormal="100" zoomScaleSheetLayoutView="130" workbookViewId="0">
      <pane ySplit="7" topLeftCell="A32" activePane="bottomLeft" state="frozen"/>
      <selection pane="bottomLeft" activeCell="F10" sqref="F10:F48"/>
    </sheetView>
  </sheetViews>
  <sheetFormatPr defaultColWidth="9.140625" defaultRowHeight="12.75" x14ac:dyDescent="0.2"/>
  <cols>
    <col min="1" max="1" width="4.42578125" style="1" customWidth="1"/>
    <col min="2" max="2" width="15" style="1" customWidth="1"/>
    <col min="3" max="3" width="47.5703125" style="1" customWidth="1"/>
    <col min="4" max="4" width="4.5703125" style="1" customWidth="1"/>
    <col min="5" max="5" width="9.140625" style="10" customWidth="1"/>
    <col min="6" max="6" width="12.28515625" style="554" customWidth="1"/>
    <col min="7" max="7" width="14.7109375" style="539" customWidth="1"/>
    <col min="8" max="8" width="11.85546875" style="1" customWidth="1"/>
    <col min="9" max="9" width="13.7109375" style="520" customWidth="1"/>
    <col min="10" max="16384" width="9.140625" style="1"/>
  </cols>
  <sheetData>
    <row r="1" spans="1:9" customFormat="1" ht="16.5" thickTop="1" x14ac:dyDescent="0.25">
      <c r="A1" s="273" t="s">
        <v>49</v>
      </c>
      <c r="B1" s="286"/>
      <c r="C1" s="279" t="str">
        <f>'SO01 Krycí list'!$C$4&amp;" "&amp;'SO01 Krycí list'!$C$5</f>
        <v>Rekonstrukce oddělení ortopedie v pavilonu "B" nemocnice Šumperk</v>
      </c>
      <c r="D1" s="289"/>
      <c r="E1" s="388"/>
      <c r="F1" s="568"/>
      <c r="G1" s="529"/>
      <c r="H1" s="388"/>
      <c r="I1" s="589"/>
    </row>
    <row r="2" spans="1:9" customFormat="1" x14ac:dyDescent="0.2">
      <c r="A2" s="275" t="s">
        <v>50</v>
      </c>
      <c r="B2" s="287"/>
      <c r="C2" s="282" t="str">
        <f>'SO01 Krycí list'!$C$7</f>
        <v>SO 01 Vlastní objekt</v>
      </c>
      <c r="D2" s="290"/>
      <c r="E2" s="287"/>
      <c r="F2" s="541"/>
      <c r="G2" s="530"/>
      <c r="H2" s="12" t="s">
        <v>52</v>
      </c>
      <c r="I2" s="768">
        <f>'07 silnoproud'!H12</f>
        <v>2016021</v>
      </c>
    </row>
    <row r="3" spans="1:9" customFormat="1" ht="13.5" thickBot="1" x14ac:dyDescent="0.25">
      <c r="A3" s="277" t="s">
        <v>53</v>
      </c>
      <c r="B3" s="288"/>
      <c r="C3" s="285" t="str">
        <f>'06rek '!C4</f>
        <v>D.1.4.6 - Rozvody medicinálního kyslíku</v>
      </c>
      <c r="D3" s="291"/>
      <c r="E3" s="288"/>
      <c r="F3" s="542"/>
      <c r="G3" s="531"/>
      <c r="H3" s="14" t="s">
        <v>54</v>
      </c>
      <c r="I3" s="604">
        <f>'SO01 Krycí list'!C28</f>
        <v>42635</v>
      </c>
    </row>
    <row r="4" spans="1:9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9" ht="6" customHeight="1" x14ac:dyDescent="0.2">
      <c r="B5" s="2"/>
      <c r="C5" s="3"/>
      <c r="D5" s="3"/>
      <c r="E5" s="4"/>
      <c r="F5" s="543"/>
      <c r="G5" s="532"/>
    </row>
    <row r="6" spans="1:9" ht="6" customHeight="1" thickBot="1" x14ac:dyDescent="0.25">
      <c r="A6" s="5"/>
      <c r="B6" s="6"/>
      <c r="C6" s="6"/>
      <c r="D6" s="7"/>
      <c r="E6" s="8"/>
      <c r="F6" s="544"/>
      <c r="G6" s="533"/>
      <c r="H6" s="7"/>
      <c r="I6" s="522"/>
    </row>
    <row r="7" spans="1:9" ht="15.75" thickBot="1" x14ac:dyDescent="0.3">
      <c r="A7" s="300" t="s">
        <v>292</v>
      </c>
      <c r="B7" s="301" t="s">
        <v>293</v>
      </c>
      <c r="C7" s="302" t="s">
        <v>294</v>
      </c>
      <c r="D7" s="302" t="s">
        <v>295</v>
      </c>
      <c r="E7" s="509" t="s">
        <v>51</v>
      </c>
      <c r="F7" s="546" t="s">
        <v>296</v>
      </c>
      <c r="G7" s="557" t="s">
        <v>297</v>
      </c>
      <c r="H7" s="304" t="s">
        <v>298</v>
      </c>
      <c r="I7" s="305" t="s">
        <v>299</v>
      </c>
    </row>
    <row r="8" spans="1:9" s="638" customFormat="1" x14ac:dyDescent="0.2">
      <c r="A8" s="643"/>
      <c r="B8" s="644"/>
      <c r="C8" s="645"/>
      <c r="D8" s="645"/>
      <c r="E8" s="646"/>
      <c r="F8" s="647"/>
      <c r="G8" s="694"/>
      <c r="H8" s="647"/>
      <c r="I8" s="648"/>
    </row>
    <row r="9" spans="1:9" s="421" customFormat="1" ht="15.75" x14ac:dyDescent="0.25">
      <c r="A9" s="780" t="s">
        <v>1033</v>
      </c>
      <c r="B9" s="781"/>
      <c r="C9" s="782"/>
      <c r="D9" s="782"/>
      <c r="E9" s="783"/>
      <c r="F9" s="784"/>
      <c r="G9" s="785"/>
      <c r="H9" s="786"/>
      <c r="I9" s="787"/>
    </row>
    <row r="10" spans="1:9" s="620" customFormat="1" ht="15" x14ac:dyDescent="0.25">
      <c r="A10" s="615">
        <v>5</v>
      </c>
      <c r="B10" s="616">
        <v>171107</v>
      </c>
      <c r="C10" s="925" t="s">
        <v>994</v>
      </c>
      <c r="D10" s="930" t="s">
        <v>435</v>
      </c>
      <c r="E10" s="928">
        <v>81</v>
      </c>
      <c r="F10" s="1067"/>
      <c r="G10" s="922">
        <f t="shared" ref="G10:G34" si="0">E10*F10</f>
        <v>0</v>
      </c>
      <c r="H10" s="846">
        <v>0</v>
      </c>
      <c r="I10" s="619">
        <f t="shared" ref="I10:I33" si="1">E10*H10</f>
        <v>0</v>
      </c>
    </row>
    <row r="11" spans="1:9" s="620" customFormat="1" ht="15" x14ac:dyDescent="0.25">
      <c r="A11" s="615">
        <v>6</v>
      </c>
      <c r="B11" s="616">
        <v>171110</v>
      </c>
      <c r="C11" s="926" t="s">
        <v>995</v>
      </c>
      <c r="D11" s="930" t="s">
        <v>435</v>
      </c>
      <c r="E11" s="929">
        <v>94</v>
      </c>
      <c r="F11" s="1067"/>
      <c r="G11" s="922">
        <f t="shared" si="0"/>
        <v>0</v>
      </c>
      <c r="H11" s="846">
        <v>0</v>
      </c>
      <c r="I11" s="619">
        <f t="shared" si="1"/>
        <v>0</v>
      </c>
    </row>
    <row r="12" spans="1:9" s="620" customFormat="1" ht="15" x14ac:dyDescent="0.25">
      <c r="A12" s="615">
        <v>7</v>
      </c>
      <c r="B12" s="616">
        <v>101005</v>
      </c>
      <c r="C12" s="926" t="s">
        <v>996</v>
      </c>
      <c r="D12" s="930" t="s">
        <v>435</v>
      </c>
      <c r="E12" s="929">
        <v>64</v>
      </c>
      <c r="F12" s="1067"/>
      <c r="G12" s="922">
        <f t="shared" si="0"/>
        <v>0</v>
      </c>
      <c r="H12" s="846">
        <v>0</v>
      </c>
      <c r="I12" s="619">
        <f t="shared" si="1"/>
        <v>0</v>
      </c>
    </row>
    <row r="13" spans="1:9" s="620" customFormat="1" ht="15" x14ac:dyDescent="0.25">
      <c r="A13" s="615">
        <v>8</v>
      </c>
      <c r="B13" s="616">
        <v>101105</v>
      </c>
      <c r="C13" s="926" t="s">
        <v>997</v>
      </c>
      <c r="D13" s="930" t="s">
        <v>435</v>
      </c>
      <c r="E13" s="929">
        <v>10</v>
      </c>
      <c r="F13" s="1067"/>
      <c r="G13" s="922">
        <f t="shared" si="0"/>
        <v>0</v>
      </c>
      <c r="H13" s="846">
        <v>0</v>
      </c>
      <c r="I13" s="619">
        <f t="shared" si="1"/>
        <v>0</v>
      </c>
    </row>
    <row r="14" spans="1:9" s="620" customFormat="1" ht="15" x14ac:dyDescent="0.25">
      <c r="A14" s="615">
        <v>9</v>
      </c>
      <c r="B14" s="616">
        <v>101105</v>
      </c>
      <c r="C14" s="926" t="s">
        <v>998</v>
      </c>
      <c r="D14" s="930" t="s">
        <v>999</v>
      </c>
      <c r="E14" s="929">
        <v>30</v>
      </c>
      <c r="F14" s="1067"/>
      <c r="G14" s="922">
        <f t="shared" si="0"/>
        <v>0</v>
      </c>
      <c r="H14" s="846">
        <v>0</v>
      </c>
      <c r="I14" s="619">
        <f t="shared" si="1"/>
        <v>0</v>
      </c>
    </row>
    <row r="15" spans="1:9" s="620" customFormat="1" ht="15" x14ac:dyDescent="0.25">
      <c r="A15" s="615">
        <v>10</v>
      </c>
      <c r="B15" s="616">
        <v>101106</v>
      </c>
      <c r="C15" s="926" t="s">
        <v>1000</v>
      </c>
      <c r="D15" s="930" t="s">
        <v>999</v>
      </c>
      <c r="E15" s="929">
        <v>45</v>
      </c>
      <c r="F15" s="1067"/>
      <c r="G15" s="922">
        <f t="shared" si="0"/>
        <v>0</v>
      </c>
      <c r="H15" s="846">
        <v>0</v>
      </c>
      <c r="I15" s="619">
        <f t="shared" si="1"/>
        <v>0</v>
      </c>
    </row>
    <row r="16" spans="1:9" s="620" customFormat="1" ht="15" x14ac:dyDescent="0.25">
      <c r="A16" s="615">
        <v>11</v>
      </c>
      <c r="B16" s="616">
        <v>101305</v>
      </c>
      <c r="C16" s="926" t="s">
        <v>1001</v>
      </c>
      <c r="D16" s="930" t="s">
        <v>999</v>
      </c>
      <c r="E16" s="929">
        <v>23</v>
      </c>
      <c r="F16" s="1067"/>
      <c r="G16" s="922">
        <f t="shared" si="0"/>
        <v>0</v>
      </c>
      <c r="H16" s="846">
        <v>0</v>
      </c>
      <c r="I16" s="619">
        <f t="shared" si="1"/>
        <v>0</v>
      </c>
    </row>
    <row r="17" spans="1:9" s="620" customFormat="1" ht="15" x14ac:dyDescent="0.25">
      <c r="A17" s="615">
        <v>12</v>
      </c>
      <c r="B17" s="616">
        <v>101307</v>
      </c>
      <c r="C17" s="926" t="s">
        <v>1002</v>
      </c>
      <c r="D17" s="930" t="s">
        <v>999</v>
      </c>
      <c r="E17" s="929">
        <v>7</v>
      </c>
      <c r="F17" s="1067"/>
      <c r="G17" s="922">
        <f t="shared" si="0"/>
        <v>0</v>
      </c>
      <c r="H17" s="846">
        <v>0</v>
      </c>
      <c r="I17" s="619">
        <f t="shared" si="1"/>
        <v>0</v>
      </c>
    </row>
    <row r="18" spans="1:9" s="620" customFormat="1" ht="15" x14ac:dyDescent="0.25">
      <c r="A18" s="615">
        <v>13</v>
      </c>
      <c r="B18" s="616">
        <v>101405</v>
      </c>
      <c r="C18" s="926" t="s">
        <v>1003</v>
      </c>
      <c r="D18" s="930" t="s">
        <v>353</v>
      </c>
      <c r="E18" s="929">
        <v>1.6</v>
      </c>
      <c r="F18" s="1067"/>
      <c r="G18" s="922">
        <f t="shared" si="0"/>
        <v>0</v>
      </c>
      <c r="H18" s="846">
        <v>0</v>
      </c>
      <c r="I18" s="619">
        <f t="shared" si="1"/>
        <v>0</v>
      </c>
    </row>
    <row r="19" spans="1:9" s="620" customFormat="1" ht="15" x14ac:dyDescent="0.25">
      <c r="A19" s="615">
        <v>14</v>
      </c>
      <c r="B19" s="616">
        <v>101505</v>
      </c>
      <c r="C19" s="927" t="s">
        <v>1004</v>
      </c>
      <c r="D19" s="931" t="s">
        <v>435</v>
      </c>
      <c r="E19" s="929">
        <v>249</v>
      </c>
      <c r="F19" s="1067"/>
      <c r="G19" s="922">
        <f t="shared" si="0"/>
        <v>0</v>
      </c>
      <c r="H19" s="846">
        <v>0</v>
      </c>
      <c r="I19" s="619">
        <f t="shared" si="1"/>
        <v>0</v>
      </c>
    </row>
    <row r="20" spans="1:9" s="620" customFormat="1" ht="15" x14ac:dyDescent="0.25">
      <c r="A20" s="615">
        <v>15</v>
      </c>
      <c r="B20" s="616">
        <v>142310</v>
      </c>
      <c r="C20" s="927" t="s">
        <v>1005</v>
      </c>
      <c r="D20" s="931" t="s">
        <v>435</v>
      </c>
      <c r="E20" s="929">
        <v>249</v>
      </c>
      <c r="F20" s="1067"/>
      <c r="G20" s="922">
        <f t="shared" si="0"/>
        <v>0</v>
      </c>
      <c r="H20" s="846">
        <v>0</v>
      </c>
      <c r="I20" s="619">
        <f t="shared" si="1"/>
        <v>0</v>
      </c>
    </row>
    <row r="21" spans="1:9" s="620" customFormat="1" ht="15" x14ac:dyDescent="0.25">
      <c r="A21" s="615">
        <v>16</v>
      </c>
      <c r="B21" s="616">
        <v>142311</v>
      </c>
      <c r="C21" s="927" t="s">
        <v>1006</v>
      </c>
      <c r="D21" s="931" t="s">
        <v>435</v>
      </c>
      <c r="E21" s="929">
        <v>249</v>
      </c>
      <c r="F21" s="1067"/>
      <c r="G21" s="922">
        <f t="shared" si="0"/>
        <v>0</v>
      </c>
      <c r="H21" s="846">
        <v>0</v>
      </c>
      <c r="I21" s="619">
        <f t="shared" si="1"/>
        <v>0</v>
      </c>
    </row>
    <row r="22" spans="1:9" s="620" customFormat="1" ht="25.5" x14ac:dyDescent="0.25">
      <c r="A22" s="615">
        <v>17</v>
      </c>
      <c r="B22" s="616">
        <v>204210</v>
      </c>
      <c r="C22" s="927" t="s">
        <v>1007</v>
      </c>
      <c r="D22" s="931" t="s">
        <v>435</v>
      </c>
      <c r="E22" s="929">
        <v>249</v>
      </c>
      <c r="F22" s="1067"/>
      <c r="G22" s="922">
        <f t="shared" si="0"/>
        <v>0</v>
      </c>
      <c r="H22" s="846">
        <v>0</v>
      </c>
      <c r="I22" s="619">
        <f t="shared" si="1"/>
        <v>0</v>
      </c>
    </row>
    <row r="23" spans="1:9" s="620" customFormat="1" ht="15" x14ac:dyDescent="0.25">
      <c r="A23" s="615">
        <v>18</v>
      </c>
      <c r="B23" s="616">
        <v>209404</v>
      </c>
      <c r="C23" s="926" t="s">
        <v>1008</v>
      </c>
      <c r="D23" s="930" t="s">
        <v>435</v>
      </c>
      <c r="E23" s="929">
        <v>3.5</v>
      </c>
      <c r="F23" s="1067"/>
      <c r="G23" s="922">
        <f t="shared" si="0"/>
        <v>0</v>
      </c>
      <c r="H23" s="846">
        <v>0</v>
      </c>
      <c r="I23" s="619">
        <f t="shared" si="1"/>
        <v>0</v>
      </c>
    </row>
    <row r="24" spans="1:9" s="620" customFormat="1" ht="15" x14ac:dyDescent="0.25">
      <c r="A24" s="615">
        <v>19</v>
      </c>
      <c r="B24" s="616">
        <v>191408</v>
      </c>
      <c r="C24" s="926" t="s">
        <v>1009</v>
      </c>
      <c r="D24" s="930" t="s">
        <v>435</v>
      </c>
      <c r="E24" s="929">
        <v>0.5</v>
      </c>
      <c r="F24" s="1067"/>
      <c r="G24" s="922">
        <f t="shared" si="0"/>
        <v>0</v>
      </c>
      <c r="H24" s="846">
        <v>0</v>
      </c>
      <c r="I24" s="619">
        <f t="shared" si="1"/>
        <v>0</v>
      </c>
    </row>
    <row r="25" spans="1:9" s="620" customFormat="1" ht="15" x14ac:dyDescent="0.25">
      <c r="A25" s="615">
        <v>20</v>
      </c>
      <c r="B25" s="616">
        <v>190108</v>
      </c>
      <c r="C25" s="926" t="s">
        <v>1010</v>
      </c>
      <c r="D25" s="930" t="s">
        <v>435</v>
      </c>
      <c r="E25" s="929">
        <v>1</v>
      </c>
      <c r="F25" s="1067"/>
      <c r="G25" s="922">
        <f t="shared" si="0"/>
        <v>0</v>
      </c>
      <c r="H25" s="846">
        <v>0</v>
      </c>
      <c r="I25" s="619">
        <f t="shared" si="1"/>
        <v>0</v>
      </c>
    </row>
    <row r="26" spans="1:9" s="620" customFormat="1" ht="15" x14ac:dyDescent="0.25">
      <c r="A26" s="615">
        <v>21</v>
      </c>
      <c r="B26" s="616">
        <v>125</v>
      </c>
      <c r="C26" s="926" t="s">
        <v>1011</v>
      </c>
      <c r="D26" s="930" t="s">
        <v>999</v>
      </c>
      <c r="E26" s="929">
        <v>175</v>
      </c>
      <c r="F26" s="1067"/>
      <c r="G26" s="922">
        <f t="shared" si="0"/>
        <v>0</v>
      </c>
      <c r="H26" s="846">
        <v>0</v>
      </c>
      <c r="I26" s="619">
        <f t="shared" si="1"/>
        <v>0</v>
      </c>
    </row>
    <row r="27" spans="1:9" s="620" customFormat="1" ht="15" x14ac:dyDescent="0.25">
      <c r="A27" s="615">
        <v>22</v>
      </c>
      <c r="B27" s="616">
        <v>191510</v>
      </c>
      <c r="C27" s="927" t="s">
        <v>1012</v>
      </c>
      <c r="D27" s="930" t="s">
        <v>999</v>
      </c>
      <c r="E27" s="929">
        <v>43</v>
      </c>
      <c r="F27" s="1067"/>
      <c r="G27" s="922">
        <f t="shared" si="0"/>
        <v>0</v>
      </c>
      <c r="H27" s="846">
        <v>0</v>
      </c>
      <c r="I27" s="619">
        <f t="shared" si="1"/>
        <v>0</v>
      </c>
    </row>
    <row r="28" spans="1:9" s="620" customFormat="1" ht="15" x14ac:dyDescent="0.25">
      <c r="A28" s="615">
        <v>23</v>
      </c>
      <c r="B28" s="616">
        <v>190110</v>
      </c>
      <c r="C28" s="927" t="s">
        <v>1013</v>
      </c>
      <c r="D28" s="930" t="s">
        <v>999</v>
      </c>
      <c r="E28" s="929">
        <v>7</v>
      </c>
      <c r="F28" s="1067"/>
      <c r="G28" s="922">
        <f t="shared" si="0"/>
        <v>0</v>
      </c>
      <c r="H28" s="846">
        <v>0</v>
      </c>
      <c r="I28" s="619">
        <f t="shared" si="1"/>
        <v>0</v>
      </c>
    </row>
    <row r="29" spans="1:9" s="620" customFormat="1" ht="15" x14ac:dyDescent="0.25">
      <c r="A29" s="615">
        <v>24</v>
      </c>
      <c r="B29" s="616">
        <v>191511</v>
      </c>
      <c r="C29" s="926" t="s">
        <v>1014</v>
      </c>
      <c r="D29" s="930" t="s">
        <v>148</v>
      </c>
      <c r="E29" s="929">
        <v>1</v>
      </c>
      <c r="F29" s="1067"/>
      <c r="G29" s="922">
        <f t="shared" si="0"/>
        <v>0</v>
      </c>
      <c r="H29" s="846">
        <v>0</v>
      </c>
      <c r="I29" s="619">
        <f t="shared" si="1"/>
        <v>0</v>
      </c>
    </row>
    <row r="30" spans="1:9" s="620" customFormat="1" ht="25.5" x14ac:dyDescent="0.25">
      <c r="A30" s="615">
        <v>25</v>
      </c>
      <c r="B30" s="616">
        <v>190110</v>
      </c>
      <c r="C30" s="927" t="s">
        <v>1015</v>
      </c>
      <c r="D30" s="930" t="s">
        <v>275</v>
      </c>
      <c r="E30" s="929">
        <v>1</v>
      </c>
      <c r="F30" s="1067"/>
      <c r="G30" s="922">
        <f t="shared" si="0"/>
        <v>0</v>
      </c>
      <c r="H30" s="846">
        <v>0</v>
      </c>
      <c r="I30" s="619">
        <f t="shared" si="1"/>
        <v>0</v>
      </c>
    </row>
    <row r="31" spans="1:9" s="620" customFormat="1" ht="25.5" x14ac:dyDescent="0.25">
      <c r="A31" s="615">
        <v>26</v>
      </c>
      <c r="B31" s="616">
        <v>190111</v>
      </c>
      <c r="C31" s="927" t="s">
        <v>1016</v>
      </c>
      <c r="D31" s="930" t="s">
        <v>275</v>
      </c>
      <c r="E31" s="929">
        <v>1</v>
      </c>
      <c r="F31" s="1067"/>
      <c r="G31" s="922">
        <f t="shared" si="0"/>
        <v>0</v>
      </c>
      <c r="H31" s="846">
        <v>0</v>
      </c>
      <c r="I31" s="619">
        <f t="shared" si="1"/>
        <v>0</v>
      </c>
    </row>
    <row r="32" spans="1:9" s="620" customFormat="1" ht="25.5" x14ac:dyDescent="0.25">
      <c r="A32" s="615">
        <v>27</v>
      </c>
      <c r="B32" s="616">
        <v>124</v>
      </c>
      <c r="C32" s="927" t="s">
        <v>1017</v>
      </c>
      <c r="D32" s="930" t="s">
        <v>275</v>
      </c>
      <c r="E32" s="929">
        <v>30</v>
      </c>
      <c r="F32" s="1067"/>
      <c r="G32" s="922">
        <f t="shared" si="0"/>
        <v>0</v>
      </c>
      <c r="H32" s="846">
        <v>0</v>
      </c>
      <c r="I32" s="619">
        <f t="shared" si="1"/>
        <v>0</v>
      </c>
    </row>
    <row r="33" spans="1:9" s="852" customFormat="1" ht="15" x14ac:dyDescent="0.25">
      <c r="A33" s="615">
        <v>28</v>
      </c>
      <c r="B33" s="616">
        <v>125</v>
      </c>
      <c r="C33" s="927" t="s">
        <v>1018</v>
      </c>
      <c r="D33" s="930" t="s">
        <v>435</v>
      </c>
      <c r="E33" s="929">
        <v>35</v>
      </c>
      <c r="F33" s="1067"/>
      <c r="G33" s="922">
        <f t="shared" si="0"/>
        <v>0</v>
      </c>
      <c r="H33" s="846">
        <v>0</v>
      </c>
      <c r="I33" s="619">
        <f t="shared" si="1"/>
        <v>0</v>
      </c>
    </row>
    <row r="34" spans="1:9" s="853" customFormat="1" ht="25.5" x14ac:dyDescent="0.25">
      <c r="A34" s="366"/>
      <c r="B34" s="796"/>
      <c r="C34" s="927" t="s">
        <v>1019</v>
      </c>
      <c r="D34" s="930" t="s">
        <v>148</v>
      </c>
      <c r="E34" s="929">
        <v>1</v>
      </c>
      <c r="F34" s="1067"/>
      <c r="G34" s="922">
        <f t="shared" si="0"/>
        <v>0</v>
      </c>
      <c r="H34" s="801"/>
      <c r="I34" s="802"/>
    </row>
    <row r="35" spans="1:9" s="620" customFormat="1" ht="15" x14ac:dyDescent="0.25">
      <c r="A35" s="615">
        <v>29</v>
      </c>
      <c r="B35" s="616">
        <v>313131</v>
      </c>
      <c r="C35" s="927" t="s">
        <v>1020</v>
      </c>
      <c r="D35" s="930" t="s">
        <v>148</v>
      </c>
      <c r="E35" s="929">
        <v>1</v>
      </c>
      <c r="F35" s="1067"/>
      <c r="G35" s="922">
        <f t="shared" ref="G35:G36" si="2">E35*F35</f>
        <v>0</v>
      </c>
      <c r="H35" s="846">
        <v>0</v>
      </c>
      <c r="I35" s="619">
        <f t="shared" ref="I35:I36" si="3">E35*H35</f>
        <v>0</v>
      </c>
    </row>
    <row r="36" spans="1:9" s="620" customFormat="1" ht="25.5" x14ac:dyDescent="0.25">
      <c r="A36" s="615">
        <v>30</v>
      </c>
      <c r="B36" s="616">
        <v>313132</v>
      </c>
      <c r="C36" s="927" t="s">
        <v>1021</v>
      </c>
      <c r="D36" s="930" t="s">
        <v>148</v>
      </c>
      <c r="E36" s="929">
        <v>1</v>
      </c>
      <c r="F36" s="1067"/>
      <c r="G36" s="922">
        <f t="shared" si="2"/>
        <v>0</v>
      </c>
      <c r="H36" s="846">
        <v>0</v>
      </c>
      <c r="I36" s="619">
        <f t="shared" si="3"/>
        <v>0</v>
      </c>
    </row>
    <row r="37" spans="1:9" s="428" customFormat="1" ht="15.75" thickBot="1" x14ac:dyDescent="0.3">
      <c r="A37" s="821"/>
      <c r="B37" s="822"/>
      <c r="C37" s="823"/>
      <c r="D37" s="932"/>
      <c r="E37" s="824"/>
      <c r="F37" s="825"/>
      <c r="G37" s="923"/>
      <c r="H37" s="827"/>
      <c r="I37" s="828"/>
    </row>
    <row r="38" spans="1:9" s="442" customFormat="1" ht="15" thickBot="1" x14ac:dyDescent="0.25">
      <c r="A38" s="772"/>
      <c r="B38" s="773"/>
      <c r="C38" s="774" t="s">
        <v>1032</v>
      </c>
      <c r="D38" s="933"/>
      <c r="E38" s="775"/>
      <c r="F38" s="776"/>
      <c r="G38" s="924">
        <f>SUM(G9:G37)</f>
        <v>0</v>
      </c>
      <c r="H38" s="778"/>
      <c r="I38" s="779"/>
    </row>
    <row r="39" spans="1:9" s="421" customFormat="1" ht="15.75" x14ac:dyDescent="0.25">
      <c r="A39" s="780" t="s">
        <v>1031</v>
      </c>
      <c r="B39" s="837"/>
      <c r="C39" s="782"/>
      <c r="D39" s="934"/>
      <c r="E39" s="783"/>
      <c r="F39" s="784"/>
      <c r="G39" s="785"/>
      <c r="H39" s="786"/>
      <c r="I39" s="787"/>
    </row>
    <row r="40" spans="1:9" s="620" customFormat="1" ht="15" x14ac:dyDescent="0.25">
      <c r="A40" s="615">
        <v>101</v>
      </c>
      <c r="B40" s="616">
        <v>210800851</v>
      </c>
      <c r="C40" s="927" t="s">
        <v>1022</v>
      </c>
      <c r="D40" s="931" t="s">
        <v>148</v>
      </c>
      <c r="E40" s="929">
        <v>1</v>
      </c>
      <c r="F40" s="1068"/>
      <c r="G40" s="845">
        <f t="shared" ref="G40:G48" si="4">E40*F40</f>
        <v>0</v>
      </c>
      <c r="H40" s="846"/>
      <c r="I40" s="619"/>
    </row>
    <row r="41" spans="1:9" s="620" customFormat="1" ht="15" x14ac:dyDescent="0.25">
      <c r="A41" s="615">
        <v>102</v>
      </c>
      <c r="B41" s="616">
        <v>210800851</v>
      </c>
      <c r="C41" s="927" t="s">
        <v>1023</v>
      </c>
      <c r="D41" s="931" t="s">
        <v>148</v>
      </c>
      <c r="E41" s="929">
        <v>2</v>
      </c>
      <c r="F41" s="1068"/>
      <c r="G41" s="845">
        <f t="shared" si="4"/>
        <v>0</v>
      </c>
      <c r="H41" s="846"/>
      <c r="I41" s="619"/>
    </row>
    <row r="42" spans="1:9" s="620" customFormat="1" ht="15" x14ac:dyDescent="0.25">
      <c r="A42" s="615">
        <v>103</v>
      </c>
      <c r="B42" s="616">
        <v>210810048</v>
      </c>
      <c r="C42" s="927" t="s">
        <v>1024</v>
      </c>
      <c r="D42" s="931" t="s">
        <v>148</v>
      </c>
      <c r="E42" s="929">
        <v>1</v>
      </c>
      <c r="F42" s="1068"/>
      <c r="G42" s="845">
        <f t="shared" si="4"/>
        <v>0</v>
      </c>
      <c r="H42" s="846"/>
      <c r="I42" s="619"/>
    </row>
    <row r="43" spans="1:9" s="620" customFormat="1" ht="15" x14ac:dyDescent="0.25">
      <c r="A43" s="615">
        <v>104</v>
      </c>
      <c r="B43" s="616">
        <v>210810048</v>
      </c>
      <c r="C43" s="927" t="s">
        <v>1025</v>
      </c>
      <c r="D43" s="931" t="s">
        <v>148</v>
      </c>
      <c r="E43" s="929">
        <v>1</v>
      </c>
      <c r="F43" s="1068"/>
      <c r="G43" s="845">
        <f t="shared" si="4"/>
        <v>0</v>
      </c>
      <c r="H43" s="846"/>
      <c r="I43" s="619"/>
    </row>
    <row r="44" spans="1:9" s="620" customFormat="1" ht="15" x14ac:dyDescent="0.25">
      <c r="A44" s="615">
        <v>105</v>
      </c>
      <c r="B44" s="616">
        <v>210810048</v>
      </c>
      <c r="C44" s="927" t="s">
        <v>1026</v>
      </c>
      <c r="D44" s="931" t="s">
        <v>148</v>
      </c>
      <c r="E44" s="929">
        <v>1</v>
      </c>
      <c r="F44" s="1068"/>
      <c r="G44" s="845">
        <f t="shared" si="4"/>
        <v>0</v>
      </c>
      <c r="H44" s="846"/>
      <c r="I44" s="619"/>
    </row>
    <row r="45" spans="1:9" s="620" customFormat="1" ht="15" x14ac:dyDescent="0.25">
      <c r="A45" s="615">
        <v>106</v>
      </c>
      <c r="B45" s="616">
        <v>210810048</v>
      </c>
      <c r="C45" s="927" t="s">
        <v>1027</v>
      </c>
      <c r="D45" s="931" t="s">
        <v>148</v>
      </c>
      <c r="E45" s="929">
        <v>1</v>
      </c>
      <c r="F45" s="1068"/>
      <c r="G45" s="845">
        <f t="shared" si="4"/>
        <v>0</v>
      </c>
      <c r="H45" s="846"/>
      <c r="I45" s="619"/>
    </row>
    <row r="46" spans="1:9" s="620" customFormat="1" ht="15" x14ac:dyDescent="0.25">
      <c r="A46" s="615">
        <v>107</v>
      </c>
      <c r="B46" s="616">
        <v>210810048</v>
      </c>
      <c r="C46" s="927" t="s">
        <v>1028</v>
      </c>
      <c r="D46" s="931" t="s">
        <v>148</v>
      </c>
      <c r="E46" s="929">
        <v>1</v>
      </c>
      <c r="F46" s="1068"/>
      <c r="G46" s="845">
        <f t="shared" si="4"/>
        <v>0</v>
      </c>
      <c r="H46" s="846"/>
      <c r="I46" s="619"/>
    </row>
    <row r="47" spans="1:9" s="620" customFormat="1" ht="15" x14ac:dyDescent="0.25">
      <c r="A47" s="615">
        <v>108</v>
      </c>
      <c r="B47" s="616">
        <v>210810052</v>
      </c>
      <c r="C47" s="927" t="s">
        <v>1029</v>
      </c>
      <c r="D47" s="931" t="s">
        <v>148</v>
      </c>
      <c r="E47" s="929">
        <v>1</v>
      </c>
      <c r="F47" s="1068"/>
      <c r="G47" s="845">
        <f t="shared" si="4"/>
        <v>0</v>
      </c>
      <c r="H47" s="846"/>
      <c r="I47" s="619"/>
    </row>
    <row r="48" spans="1:9" s="620" customFormat="1" ht="15" x14ac:dyDescent="0.25">
      <c r="A48" s="615">
        <v>109</v>
      </c>
      <c r="B48" s="616">
        <v>210810048</v>
      </c>
      <c r="C48" s="927" t="s">
        <v>1030</v>
      </c>
      <c r="D48" s="931" t="s">
        <v>148</v>
      </c>
      <c r="E48" s="929">
        <v>1</v>
      </c>
      <c r="F48" s="1068"/>
      <c r="G48" s="845">
        <f t="shared" si="4"/>
        <v>0</v>
      </c>
      <c r="H48" s="846"/>
      <c r="I48" s="619"/>
    </row>
    <row r="49" spans="1:9" s="315" customFormat="1" ht="15.75" thickBot="1" x14ac:dyDescent="0.3">
      <c r="A49" s="855"/>
      <c r="B49" s="856"/>
      <c r="C49" s="857"/>
      <c r="D49" s="857"/>
      <c r="E49" s="858"/>
      <c r="F49" s="859"/>
      <c r="G49" s="860"/>
      <c r="H49" s="861"/>
      <c r="I49" s="862"/>
    </row>
    <row r="50" spans="1:9" s="442" customFormat="1" ht="15" thickBot="1" x14ac:dyDescent="0.25">
      <c r="A50" s="772"/>
      <c r="B50" s="773"/>
      <c r="C50" s="774" t="s">
        <v>114</v>
      </c>
      <c r="D50" s="774"/>
      <c r="E50" s="775"/>
      <c r="F50" s="776"/>
      <c r="G50" s="777">
        <f>SUM(G40:G49)</f>
        <v>0</v>
      </c>
      <c r="H50" s="778"/>
      <c r="I50" s="779">
        <f>SUM(I40:I49)</f>
        <v>0</v>
      </c>
    </row>
    <row r="51" spans="1:9" s="442" customFormat="1" ht="14.25" x14ac:dyDescent="0.2">
      <c r="A51" s="829"/>
      <c r="B51" s="830"/>
      <c r="C51" s="831"/>
      <c r="D51" s="831"/>
      <c r="E51" s="832"/>
      <c r="F51" s="833"/>
      <c r="G51" s="834"/>
      <c r="H51" s="835"/>
      <c r="I51" s="836"/>
    </row>
  </sheetData>
  <protectedRanges>
    <protectedRange sqref="F23" name="Oblast1_2"/>
    <protectedRange sqref="F26" name="Oblast1_1_1"/>
  </protectedRanges>
  <autoFilter ref="A7:I51"/>
  <customSheetViews>
    <customSheetView guid="{30B10D60-758F-4E0B-9F03-5879C6CAFDF6}" scale="130" showPageBreaks="1" showAutoFilter="1" view="pageBreakPreview">
      <pane ySplit="7" topLeftCell="A8" activePane="bottomLeft" state="frozen"/>
      <selection pane="bottomLeft" activeCell="A8" sqref="A8:XFD8"/>
      <pageMargins left="0.70866141732283472" right="0.70866141732283472" top="0.78740157480314965" bottom="0.78740157480314965" header="0.31496062992125984" footer="0.31496062992125984"/>
      <pageSetup paperSize="9" scale="99" orientation="landscape" r:id="rId1"/>
      <headerFooter>
        <oddFooter>&amp;CMEDICINÁLNÍ PLYNY&amp;Rstránka &amp;P z &amp;N</oddFooter>
      </headerFooter>
      <autoFilter ref="A7:I51"/>
    </customSheetView>
  </customSheetViews>
  <mergeCells count="1">
    <mergeCell ref="A4:I4"/>
  </mergeCells>
  <pageMargins left="0.70866141732283472" right="0.70866141732283472" top="0.78740157480314965" bottom="0.78740157480314965" header="0.31496062992125984" footer="0.31496062992125984"/>
  <pageSetup paperSize="9" scale="99" orientation="landscape" r:id="rId2"/>
  <headerFooter>
    <oddFooter>&amp;CMEDICINÁLNÍ PLYNY&amp;Rstránka &amp;P z &amp;N</oddFooter>
  </headerFooter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G50"/>
  <sheetViews>
    <sheetView view="pageBreakPreview" zoomScale="115" zoomScaleNormal="100" zoomScaleSheetLayoutView="115" workbookViewId="0">
      <selection activeCell="M16" sqref="M16"/>
    </sheetView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140625" customWidth="1"/>
    <col min="7" max="7" width="19.42578125" customWidth="1"/>
    <col min="8" max="8" width="16.7109375" customWidth="1"/>
    <col min="9" max="9" width="3.4257812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08" t="str">
        <f>'SO01 Krycí list'!C4:G4</f>
        <v>Rekonstrukce oddělení ortopedie</v>
      </c>
      <c r="D4" s="1209"/>
      <c r="E4" s="1209"/>
      <c r="F4" s="1209"/>
      <c r="G4" s="1210"/>
      <c r="H4" s="938" t="s">
        <v>621</v>
      </c>
      <c r="I4" s="84"/>
    </row>
    <row r="5" spans="1:59" ht="19.5" customHeight="1" x14ac:dyDescent="0.2">
      <c r="A5" s="85"/>
      <c r="B5" s="86"/>
      <c r="C5" s="1208" t="str">
        <f>'SO01 Krycí list'!C5:G5</f>
        <v>v pavilonu "B" nemocnice Šumperk</v>
      </c>
      <c r="D5" s="1209"/>
      <c r="E5" s="1209"/>
      <c r="F5" s="1209"/>
      <c r="G5" s="1210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208" t="str">
        <f>'SO01 Krycí list'!C7:G7</f>
        <v>SO 01 Vlastní objekt</v>
      </c>
      <c r="D7" s="1209"/>
      <c r="E7" s="1209"/>
      <c r="F7" s="1209"/>
      <c r="G7" s="1210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432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651" t="s">
        <v>622</v>
      </c>
      <c r="B10" s="91"/>
      <c r="C10" s="1156" t="str">
        <f>'SO01 Krycí list'!C10:E10</f>
        <v>Město Šumperk</v>
      </c>
      <c r="D10" s="1156"/>
      <c r="E10" s="115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213" t="str">
        <f>'SO01 Krycí list'!C11:E11</f>
        <v>Nemocnice Šumperk a.s.</v>
      </c>
      <c r="D11" s="1213"/>
      <c r="E11" s="1213"/>
      <c r="F11" s="100"/>
      <c r="G11" s="92" t="s">
        <v>96</v>
      </c>
      <c r="H11" s="91"/>
      <c r="I11" s="101">
        <f>IF(PocetMJ=0,,ROUND((H41+H43)/PocetMJ,1))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189"/>
      <c r="I13" s="1228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32"/>
      <c r="H14" s="1233"/>
      <c r="I14" s="1234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'07rek'!E26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'07rek'!F26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292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'07rek'!G26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'07rek'!H26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'07rek'!I26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128">
        <f>SUM(D21:D24)</f>
        <v>0</v>
      </c>
      <c r="E25" s="129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x14ac:dyDescent="0.2">
      <c r="A26" s="130" t="s">
        <v>123</v>
      </c>
      <c r="B26" s="131"/>
      <c r="C26" s="1181" t="s">
        <v>101</v>
      </c>
      <c r="D26" s="1182"/>
      <c r="E26" s="1183"/>
      <c r="F26" s="119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43" t="s">
        <v>460</v>
      </c>
      <c r="D27" s="1158"/>
      <c r="E27" s="1159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222"/>
      <c r="D34" s="1167"/>
      <c r="E34" s="1168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69"/>
      <c r="D35" s="1170"/>
      <c r="E35" s="1171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75"/>
      <c r="D36" s="1176"/>
      <c r="E36" s="1177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72"/>
      <c r="D37" s="1173"/>
      <c r="E37" s="1174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x14ac:dyDescent="0.2">
      <c r="A38" s="54" t="s">
        <v>137</v>
      </c>
      <c r="B38" s="29"/>
      <c r="C38" s="29"/>
      <c r="D38" s="29"/>
      <c r="E38" s="29"/>
      <c r="F38" s="91"/>
      <c r="G38" s="91"/>
      <c r="H38" s="91"/>
      <c r="I38" s="93"/>
    </row>
    <row r="39" spans="1:9" x14ac:dyDescent="0.2">
      <c r="A39" s="54"/>
      <c r="B39" s="1235" t="s">
        <v>319</v>
      </c>
      <c r="C39" s="1235"/>
      <c r="D39" s="1235"/>
      <c r="E39" s="1235"/>
      <c r="F39" s="1235"/>
      <c r="G39" s="1235"/>
      <c r="H39" s="1235"/>
      <c r="I39" s="84"/>
    </row>
    <row r="40" spans="1:9" x14ac:dyDescent="0.2">
      <c r="A40" s="54"/>
      <c r="B40" s="1235"/>
      <c r="C40" s="1235"/>
      <c r="D40" s="1235"/>
      <c r="E40" s="1235"/>
      <c r="F40" s="1235"/>
      <c r="G40" s="1235"/>
      <c r="H40" s="1235"/>
      <c r="I40" s="84"/>
    </row>
    <row r="41" spans="1:9" x14ac:dyDescent="0.2">
      <c r="A41" s="54"/>
      <c r="B41" s="1235"/>
      <c r="C41" s="1235"/>
      <c r="D41" s="1235"/>
      <c r="E41" s="1235"/>
      <c r="F41" s="1235"/>
      <c r="G41" s="1235"/>
      <c r="H41" s="1235"/>
      <c r="I41" s="84"/>
    </row>
    <row r="42" spans="1:9" x14ac:dyDescent="0.2">
      <c r="A42" s="54"/>
      <c r="B42" s="1235"/>
      <c r="C42" s="1235"/>
      <c r="D42" s="1235"/>
      <c r="E42" s="1235"/>
      <c r="F42" s="1235"/>
      <c r="G42" s="1235"/>
      <c r="H42" s="1235"/>
      <c r="I42" s="84"/>
    </row>
    <row r="43" spans="1:9" ht="44.25" customHeight="1" x14ac:dyDescent="0.2">
      <c r="A43" s="54"/>
      <c r="B43" s="1235"/>
      <c r="C43" s="1235"/>
      <c r="D43" s="1235"/>
      <c r="E43" s="1235"/>
      <c r="F43" s="1235"/>
      <c r="G43" s="1235"/>
      <c r="H43" s="1235"/>
      <c r="I43" s="84"/>
    </row>
    <row r="44" spans="1:9" ht="8.25" customHeight="1" thickBot="1" x14ac:dyDescent="0.25">
      <c r="A44" s="147"/>
      <c r="B44" s="148"/>
      <c r="C44" s="148"/>
      <c r="D44" s="148"/>
      <c r="E44" s="148"/>
      <c r="F44" s="148"/>
      <c r="G44" s="148"/>
      <c r="H44" s="148"/>
      <c r="I44" s="149"/>
    </row>
    <row r="47" spans="1:9" x14ac:dyDescent="0.2">
      <c r="B47" s="332"/>
    </row>
    <row r="48" spans="1:9" x14ac:dyDescent="0.2">
      <c r="B48" s="332"/>
    </row>
    <row r="49" spans="2:2" x14ac:dyDescent="0.2">
      <c r="B49" s="333"/>
    </row>
    <row r="50" spans="2:2" x14ac:dyDescent="0.2">
      <c r="B50" s="332"/>
    </row>
  </sheetData>
  <customSheetViews>
    <customSheetView guid="{30B10D60-758F-4E0B-9F03-5879C6CAFDF6}" scale="115" showPageBreak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0">
    <mergeCell ref="C37:E37"/>
    <mergeCell ref="B39:H43"/>
    <mergeCell ref="C31:E31"/>
    <mergeCell ref="C32:E32"/>
    <mergeCell ref="C33:E33"/>
    <mergeCell ref="C34:E34"/>
    <mergeCell ref="C35:E35"/>
    <mergeCell ref="C36:E36"/>
    <mergeCell ref="H13:I13"/>
    <mergeCell ref="B14:E14"/>
    <mergeCell ref="G14:I14"/>
    <mergeCell ref="A16:E16"/>
    <mergeCell ref="F16:I16"/>
    <mergeCell ref="C4:G4"/>
    <mergeCell ref="C5:G5"/>
    <mergeCell ref="C7:G7"/>
    <mergeCell ref="C9:G9"/>
    <mergeCell ref="C30:E30"/>
    <mergeCell ref="F29:G29"/>
    <mergeCell ref="C12:E12"/>
    <mergeCell ref="D13:E13"/>
    <mergeCell ref="C27:E27"/>
    <mergeCell ref="C28:D28"/>
    <mergeCell ref="C26:E26"/>
    <mergeCell ref="C29:E29"/>
    <mergeCell ref="H5:I5"/>
    <mergeCell ref="H6:I6"/>
    <mergeCell ref="H7:I7"/>
    <mergeCell ref="C11:E11"/>
    <mergeCell ref="C10:E10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65537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65537" r:id="rId5"/>
      </mc:Fallback>
    </mc:AlternateContent>
    <mc:AlternateContent xmlns:mc="http://schemas.openxmlformats.org/markup-compatibility/2006">
      <mc:Choice Requires="x14">
        <oleObject progId="Word.Picture.6" shapeId="65538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65538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35"/>
  <sheetViews>
    <sheetView view="pageBreakPreview" zoomScale="130" zoomScaleNormal="100" zoomScaleSheetLayoutView="130" workbookViewId="0"/>
  </sheetViews>
  <sheetFormatPr defaultRowHeight="12.75" x14ac:dyDescent="0.2"/>
  <cols>
    <col min="1" max="1" width="4.7109375" customWidth="1"/>
    <col min="2" max="2" width="6.140625" customWidth="1"/>
    <col min="3" max="3" width="11.42578125" customWidth="1"/>
    <col min="4" max="4" width="7.85546875" customWidth="1"/>
    <col min="5" max="9" width="11.7109375" customWidth="1"/>
    <col min="11" max="50" width="0" hidden="1" customWidth="1"/>
  </cols>
  <sheetData>
    <row r="1" spans="1:55" s="11" customFormat="1" ht="16.5" customHeight="1" thickTop="1" x14ac:dyDescent="0.25">
      <c r="A1" s="367" t="s">
        <v>49</v>
      </c>
      <c r="B1" s="368"/>
      <c r="C1" s="390" t="str">
        <f>'SO01 Krycí list'!C4:G4</f>
        <v>Rekonstrukce oddělení ortopedie</v>
      </c>
      <c r="D1" s="391"/>
      <c r="E1" s="391"/>
      <c r="F1" s="391"/>
      <c r="G1" s="391"/>
      <c r="H1" s="391"/>
      <c r="I1" s="392"/>
    </row>
    <row r="2" spans="1:55" s="11" customFormat="1" ht="16.5" customHeight="1" x14ac:dyDescent="0.25">
      <c r="A2" s="334"/>
      <c r="B2" s="335"/>
      <c r="C2" s="393" t="str">
        <f>'SO01 Krycí list'!C5:G5</f>
        <v>v pavilonu "B" nemocnice Šumperk</v>
      </c>
      <c r="D2" s="394"/>
      <c r="E2" s="394"/>
      <c r="F2" s="394"/>
      <c r="G2" s="394"/>
      <c r="H2" s="394"/>
      <c r="I2" s="395"/>
    </row>
    <row r="3" spans="1:55" ht="12.75" customHeight="1" x14ac:dyDescent="0.2">
      <c r="A3" s="275" t="s">
        <v>50</v>
      </c>
      <c r="B3" s="276"/>
      <c r="C3" s="282" t="str">
        <f>'SO01 Krycí list'!C7:G7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tr">
        <f>'07 silnoproud'!C9:G9</f>
        <v>Silnoproudé zařízení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ht="13.5" thickBot="1" x14ac:dyDescent="0.25">
      <c r="A9" s="369" t="s">
        <v>315</v>
      </c>
      <c r="B9" s="31" t="s">
        <v>337</v>
      </c>
      <c r="C9" s="267"/>
      <c r="D9" s="263"/>
      <c r="E9" s="33" t="s">
        <v>63</v>
      </c>
      <c r="F9" s="33" t="s">
        <v>63</v>
      </c>
      <c r="G9" s="33">
        <f>'07pol'!G18</f>
        <v>0</v>
      </c>
      <c r="H9" s="35" t="s">
        <v>63</v>
      </c>
      <c r="I9" s="33" t="s">
        <v>63</v>
      </c>
      <c r="BC9" s="269"/>
    </row>
    <row r="10" spans="1:55" s="268" customFormat="1" ht="13.5" thickBot="1" x14ac:dyDescent="0.25">
      <c r="A10" s="369" t="s">
        <v>315</v>
      </c>
      <c r="B10" s="36" t="s">
        <v>424</v>
      </c>
      <c r="C10" s="270"/>
      <c r="D10" s="264"/>
      <c r="E10" s="34" t="s">
        <v>63</v>
      </c>
      <c r="F10" s="34" t="s">
        <v>63</v>
      </c>
      <c r="G10" s="34" t="s">
        <v>63</v>
      </c>
      <c r="H10" s="34">
        <f>'07pol'!G82</f>
        <v>0</v>
      </c>
      <c r="I10" s="34" t="s">
        <v>63</v>
      </c>
    </row>
    <row r="11" spans="1:55" s="268" customFormat="1" x14ac:dyDescent="0.2">
      <c r="A11" s="369" t="s">
        <v>315</v>
      </c>
      <c r="B11" s="36" t="s">
        <v>515</v>
      </c>
      <c r="C11" s="270"/>
      <c r="D11" s="264"/>
      <c r="E11" s="34" t="s">
        <v>63</v>
      </c>
      <c r="F11" s="34" t="s">
        <v>63</v>
      </c>
      <c r="G11" s="34" t="s">
        <v>63</v>
      </c>
      <c r="H11" s="34">
        <f>'07pol'!G107</f>
        <v>0</v>
      </c>
      <c r="I11" s="34" t="s">
        <v>63</v>
      </c>
    </row>
    <row r="12" spans="1:55" s="268" customFormat="1" x14ac:dyDescent="0.2">
      <c r="A12" s="370" t="s">
        <v>315</v>
      </c>
      <c r="B12" s="36" t="s">
        <v>338</v>
      </c>
      <c r="C12" s="270"/>
      <c r="D12" s="264"/>
      <c r="E12" s="34" t="s">
        <v>63</v>
      </c>
      <c r="F12" s="34" t="s">
        <v>63</v>
      </c>
      <c r="G12" s="34" t="s">
        <v>63</v>
      </c>
      <c r="H12" s="34">
        <f>'07pol'!G213</f>
        <v>0</v>
      </c>
      <c r="I12" s="34" t="s">
        <v>63</v>
      </c>
      <c r="BC12" s="269"/>
    </row>
    <row r="13" spans="1:55" s="268" customFormat="1" x14ac:dyDescent="0.2">
      <c r="A13" s="370" t="s">
        <v>315</v>
      </c>
      <c r="B13" s="268" t="s">
        <v>339</v>
      </c>
      <c r="C13" s="270"/>
      <c r="D13" s="264"/>
      <c r="E13" s="34" t="s">
        <v>63</v>
      </c>
      <c r="F13" s="34" t="s">
        <v>63</v>
      </c>
      <c r="G13" s="34" t="s">
        <v>63</v>
      </c>
      <c r="H13" s="34">
        <f>'07pol'!G276</f>
        <v>0</v>
      </c>
      <c r="I13" s="34" t="s">
        <v>63</v>
      </c>
    </row>
    <row r="14" spans="1:55" s="268" customFormat="1" x14ac:dyDescent="0.2">
      <c r="A14" s="370" t="s">
        <v>604</v>
      </c>
      <c r="B14" s="650" t="s">
        <v>605</v>
      </c>
      <c r="C14" s="270"/>
      <c r="D14" s="264"/>
      <c r="E14" s="34" t="s">
        <v>63</v>
      </c>
      <c r="F14" s="34" t="s">
        <v>63</v>
      </c>
      <c r="G14" s="34" t="s">
        <v>63</v>
      </c>
      <c r="H14" s="34">
        <f>'07pol'!G300</f>
        <v>0</v>
      </c>
      <c r="I14" s="34" t="s">
        <v>63</v>
      </c>
    </row>
    <row r="15" spans="1:55" s="268" customFormat="1" x14ac:dyDescent="0.2">
      <c r="A15" s="370"/>
      <c r="B15" s="36"/>
      <c r="C15" s="270"/>
      <c r="D15" s="264"/>
      <c r="E15" s="34" t="s">
        <v>63</v>
      </c>
      <c r="F15" s="34" t="s">
        <v>63</v>
      </c>
      <c r="G15" s="34" t="s">
        <v>63</v>
      </c>
      <c r="H15" s="34" t="s">
        <v>63</v>
      </c>
      <c r="I15" s="34" t="s">
        <v>63</v>
      </c>
    </row>
    <row r="16" spans="1:55" s="268" customFormat="1" x14ac:dyDescent="0.2">
      <c r="A16" s="329"/>
      <c r="B16" s="36"/>
      <c r="C16" s="270"/>
      <c r="D16" s="264"/>
      <c r="E16" s="34" t="s">
        <v>63</v>
      </c>
      <c r="F16" s="34" t="s">
        <v>63</v>
      </c>
      <c r="G16" s="34" t="s">
        <v>63</v>
      </c>
      <c r="H16" s="34" t="s">
        <v>63</v>
      </c>
      <c r="I16" s="34" t="s">
        <v>63</v>
      </c>
    </row>
    <row r="17" spans="1:9" s="268" customFormat="1" x14ac:dyDescent="0.2">
      <c r="A17" s="329"/>
      <c r="B17" s="36"/>
      <c r="C17" s="270"/>
      <c r="D17" s="264"/>
      <c r="E17" s="34" t="s">
        <v>63</v>
      </c>
      <c r="F17" s="34" t="s">
        <v>63</v>
      </c>
      <c r="G17" s="34" t="s">
        <v>63</v>
      </c>
      <c r="H17" s="34" t="s">
        <v>63</v>
      </c>
      <c r="I17" s="34" t="s">
        <v>63</v>
      </c>
    </row>
    <row r="18" spans="1:9" s="268" customFormat="1" x14ac:dyDescent="0.2">
      <c r="A18" s="329"/>
      <c r="B18" s="36"/>
      <c r="C18" s="270"/>
      <c r="D18" s="264"/>
      <c r="E18" s="34" t="s">
        <v>63</v>
      </c>
      <c r="F18" s="34" t="s">
        <v>63</v>
      </c>
      <c r="G18" s="34" t="s">
        <v>63</v>
      </c>
      <c r="H18" s="34" t="s">
        <v>63</v>
      </c>
      <c r="I18" s="34" t="s">
        <v>63</v>
      </c>
    </row>
    <row r="19" spans="1:9" s="29" customFormat="1" x14ac:dyDescent="0.2">
      <c r="A19" s="344"/>
      <c r="B19" s="36" t="s">
        <v>314</v>
      </c>
      <c r="C19" s="37"/>
      <c r="D19" s="1087"/>
      <c r="E19" s="34" t="s">
        <v>63</v>
      </c>
      <c r="F19" s="34" t="s">
        <v>63</v>
      </c>
      <c r="G19" s="34" t="s">
        <v>63</v>
      </c>
      <c r="H19" s="34">
        <f>'07pol'!G309</f>
        <v>0</v>
      </c>
      <c r="I19" s="34" t="s">
        <v>63</v>
      </c>
    </row>
    <row r="20" spans="1:9" s="29" customFormat="1" x14ac:dyDescent="0.2">
      <c r="A20" s="344" t="s">
        <v>61</v>
      </c>
      <c r="B20" s="36" t="s">
        <v>316</v>
      </c>
      <c r="C20" s="37"/>
      <c r="D20" s="1087"/>
      <c r="E20" s="34" t="s">
        <v>63</v>
      </c>
      <c r="F20" s="34" t="s">
        <v>63</v>
      </c>
      <c r="G20" s="34" t="s">
        <v>63</v>
      </c>
      <c r="H20" s="34" t="s">
        <v>63</v>
      </c>
      <c r="I20" s="34">
        <f>'07pol'!G322</f>
        <v>0</v>
      </c>
    </row>
    <row r="21" spans="1:9" s="29" customFormat="1" x14ac:dyDescent="0.2">
      <c r="A21" s="344" t="s">
        <v>340</v>
      </c>
      <c r="B21" s="36" t="s">
        <v>341</v>
      </c>
      <c r="C21" s="37"/>
      <c r="D21" s="1087"/>
      <c r="E21" s="34" t="s">
        <v>63</v>
      </c>
      <c r="F21" s="34" t="s">
        <v>63</v>
      </c>
      <c r="G21" s="34" t="s">
        <v>63</v>
      </c>
      <c r="H21" s="34" t="s">
        <v>63</v>
      </c>
      <c r="I21" s="34" t="s">
        <v>63</v>
      </c>
    </row>
    <row r="22" spans="1:9" s="29" customFormat="1" x14ac:dyDescent="0.2">
      <c r="A22" s="372"/>
      <c r="B22" s="373" t="s">
        <v>433</v>
      </c>
      <c r="C22" s="1085" t="s">
        <v>342</v>
      </c>
      <c r="D22" s="1088" t="s">
        <v>343</v>
      </c>
      <c r="E22" s="34" t="s">
        <v>63</v>
      </c>
      <c r="F22" s="34" t="s">
        <v>63</v>
      </c>
      <c r="G22" s="34" t="s">
        <v>63</v>
      </c>
      <c r="H22" s="34" t="s">
        <v>63</v>
      </c>
      <c r="I22" s="34" t="s">
        <v>63</v>
      </c>
    </row>
    <row r="23" spans="1:9" s="29" customFormat="1" x14ac:dyDescent="0.2">
      <c r="A23" s="372"/>
      <c r="B23" s="374">
        <v>6</v>
      </c>
      <c r="C23" s="1086" t="s">
        <v>344</v>
      </c>
      <c r="D23" s="1088">
        <f>SUM(H10:H14)</f>
        <v>0</v>
      </c>
      <c r="E23" s="34" t="s">
        <v>63</v>
      </c>
      <c r="F23" s="34" t="s">
        <v>63</v>
      </c>
      <c r="G23" s="34" t="s">
        <v>63</v>
      </c>
      <c r="H23" s="375" t="str">
        <f>IF(D23=0,"--------------",ROUND(D23*B23/100,0))</f>
        <v>--------------</v>
      </c>
      <c r="I23" s="34" t="s">
        <v>63</v>
      </c>
    </row>
    <row r="24" spans="1:9" s="29" customFormat="1" x14ac:dyDescent="0.2">
      <c r="A24" s="372"/>
      <c r="B24" s="374">
        <v>2</v>
      </c>
      <c r="C24" s="1086" t="s">
        <v>345</v>
      </c>
      <c r="D24" s="1088"/>
      <c r="E24" s="34" t="s">
        <v>63</v>
      </c>
      <c r="F24" s="34" t="s">
        <v>63</v>
      </c>
      <c r="G24" s="34" t="s">
        <v>63</v>
      </c>
      <c r="H24" s="375" t="str">
        <f>IF(D24=0,"--------------",ROUND(D24*B24/100,0))</f>
        <v>--------------</v>
      </c>
      <c r="I24" s="34" t="s">
        <v>63</v>
      </c>
    </row>
    <row r="25" spans="1:9" s="29" customFormat="1" x14ac:dyDescent="0.2">
      <c r="A25" s="1084"/>
      <c r="B25" s="374">
        <v>1</v>
      </c>
      <c r="C25" s="1086" t="s">
        <v>346</v>
      </c>
      <c r="D25" s="1088"/>
      <c r="E25" s="34" t="s">
        <v>63</v>
      </c>
      <c r="F25" s="34" t="s">
        <v>63</v>
      </c>
      <c r="G25" s="34" t="s">
        <v>63</v>
      </c>
      <c r="H25" s="375" t="str">
        <f>IF(D25=0,"--------------",ROUND(D25*B25/100,0))</f>
        <v>--------------</v>
      </c>
      <c r="I25" s="34" t="s">
        <v>63</v>
      </c>
    </row>
    <row r="26" spans="1:9" s="44" customFormat="1" ht="13.5" thickBot="1" x14ac:dyDescent="0.25">
      <c r="A26" s="1079"/>
      <c r="B26" s="1080" t="s">
        <v>70</v>
      </c>
      <c r="C26" s="1080"/>
      <c r="D26" s="1081"/>
      <c r="E26" s="1082" t="str">
        <f>IF(SUM(E9:E25)&gt;0,SUM(E9:E25),"--------------")</f>
        <v>--------------</v>
      </c>
      <c r="F26" s="1082" t="str">
        <f>IF(SUM(F9:F25)&gt;0,SUM(F9:F25),"--------------")</f>
        <v>--------------</v>
      </c>
      <c r="G26" s="1082" t="str">
        <f>IF(SUM(G9:G25)&gt;0,SUM(G9:G25),"--------------")</f>
        <v>--------------</v>
      </c>
      <c r="H26" s="1082" t="str">
        <f>IF(SUM(H9:H25)&gt;0,SUM(H9:H25),"--------------")</f>
        <v>--------------</v>
      </c>
      <c r="I26" s="1083" t="str">
        <f>IF(SUM(I9:I25)&gt;0,SUM(I9:I25),"--------------")</f>
        <v>--------------</v>
      </c>
    </row>
    <row r="27" spans="1:9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">
      <c r="F29" s="74"/>
      <c r="G29" s="75"/>
      <c r="H29" s="75"/>
      <c r="I29" s="76"/>
    </row>
    <row r="30" spans="1:9" x14ac:dyDescent="0.2">
      <c r="F30" s="74"/>
      <c r="G30" s="75"/>
      <c r="H30" s="75"/>
      <c r="I30" s="76"/>
    </row>
    <row r="31" spans="1:9" x14ac:dyDescent="0.2">
      <c r="F31" s="74"/>
      <c r="G31" s="75"/>
      <c r="H31" s="75"/>
      <c r="I31" s="76"/>
    </row>
    <row r="32" spans="1:9" x14ac:dyDescent="0.2">
      <c r="F32" s="74"/>
      <c r="G32" s="75"/>
      <c r="H32" s="75"/>
      <c r="I32" s="76"/>
    </row>
    <row r="33" spans="6:9" x14ac:dyDescent="0.2">
      <c r="F33" s="74"/>
      <c r="G33" s="75"/>
      <c r="H33" s="75"/>
      <c r="I33" s="76"/>
    </row>
    <row r="34" spans="6:9" x14ac:dyDescent="0.2">
      <c r="F34" s="74"/>
      <c r="G34" s="75"/>
      <c r="H34" s="75"/>
      <c r="I34" s="76"/>
    </row>
    <row r="35" spans="6:9" x14ac:dyDescent="0.2">
      <c r="F35" s="74"/>
      <c r="G35" s="75"/>
      <c r="H35" s="75"/>
      <c r="I35" s="76"/>
    </row>
  </sheetData>
  <customSheetViews>
    <customSheetView guid="{30B10D60-758F-4E0B-9F03-5879C6CAFDF6}" scale="130" showPageBreaks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322"/>
  <sheetViews>
    <sheetView view="pageBreakPreview" zoomScale="130" zoomScaleNormal="100" zoomScaleSheetLayoutView="130" workbookViewId="0">
      <pane ySplit="7" topLeftCell="A8" activePane="bottomLeft" state="frozen"/>
      <selection activeCell="M16" sqref="M16"/>
      <selection pane="bottomLeft" activeCell="A8" sqref="A8"/>
    </sheetView>
  </sheetViews>
  <sheetFormatPr defaultColWidth="9.140625" defaultRowHeight="12.75" x14ac:dyDescent="0.2"/>
  <cols>
    <col min="1" max="1" width="4.42578125" style="1" customWidth="1"/>
    <col min="2" max="2" width="15" style="1" customWidth="1"/>
    <col min="3" max="3" width="47.5703125" style="1" customWidth="1"/>
    <col min="4" max="4" width="4.5703125" style="1" customWidth="1"/>
    <col min="5" max="5" width="9.140625" style="10" customWidth="1"/>
    <col min="6" max="6" width="12.28515625" style="554" customWidth="1"/>
    <col min="7" max="7" width="14.7109375" style="539" customWidth="1"/>
    <col min="8" max="8" width="11.85546875" style="1" customWidth="1"/>
    <col min="9" max="9" width="13.7109375" style="520" customWidth="1"/>
    <col min="10" max="16384" width="9.140625" style="1"/>
  </cols>
  <sheetData>
    <row r="1" spans="1:9" customFormat="1" ht="16.5" thickTop="1" x14ac:dyDescent="0.25">
      <c r="A1" s="273" t="s">
        <v>49</v>
      </c>
      <c r="B1" s="286"/>
      <c r="C1" s="279" t="str">
        <f>'SO01 Krycí list'!$C$4&amp;" "&amp;'SO01 Krycí list'!$C$5</f>
        <v>Rekonstrukce oddělení ortopedie v pavilonu "B" nemocnice Šumperk</v>
      </c>
      <c r="D1" s="289"/>
      <c r="E1" s="388"/>
      <c r="F1" s="568"/>
      <c r="G1" s="529"/>
      <c r="H1" s="388"/>
      <c r="I1" s="589"/>
    </row>
    <row r="2" spans="1:9" customFormat="1" x14ac:dyDescent="0.2">
      <c r="A2" s="275" t="s">
        <v>50</v>
      </c>
      <c r="B2" s="287"/>
      <c r="C2" s="282" t="str">
        <f>'SO01 Krycí list'!$C$7</f>
        <v>SO 01 Vlastní objekt</v>
      </c>
      <c r="D2" s="290"/>
      <c r="E2" s="287"/>
      <c r="F2" s="541"/>
      <c r="G2" s="530"/>
      <c r="H2" s="12" t="s">
        <v>52</v>
      </c>
      <c r="I2" s="768">
        <f>'07 silnoproud'!H12</f>
        <v>2016021</v>
      </c>
    </row>
    <row r="3" spans="1:9" customFormat="1" ht="13.5" thickBot="1" x14ac:dyDescent="0.25">
      <c r="A3" s="277" t="s">
        <v>53</v>
      </c>
      <c r="B3" s="288"/>
      <c r="C3" s="285" t="str">
        <f>'07rek'!C4</f>
        <v>Silnoproudé zařízení</v>
      </c>
      <c r="D3" s="291"/>
      <c r="E3" s="288"/>
      <c r="F3" s="542"/>
      <c r="G3" s="531"/>
      <c r="H3" s="14" t="s">
        <v>54</v>
      </c>
      <c r="I3" s="604">
        <f>'SO01 Krycí list'!C28</f>
        <v>42635</v>
      </c>
    </row>
    <row r="4" spans="1:9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9" ht="6" customHeight="1" x14ac:dyDescent="0.2">
      <c r="B5" s="2"/>
      <c r="C5" s="3"/>
      <c r="D5" s="3"/>
      <c r="E5" s="4"/>
      <c r="F5" s="543"/>
      <c r="G5" s="532"/>
    </row>
    <row r="6" spans="1:9" ht="6" customHeight="1" thickBot="1" x14ac:dyDescent="0.25">
      <c r="A6" s="5"/>
      <c r="B6" s="6"/>
      <c r="C6" s="6"/>
      <c r="D6" s="7"/>
      <c r="E6" s="8"/>
      <c r="F6" s="544"/>
      <c r="G6" s="533"/>
      <c r="H6" s="7"/>
      <c r="I6" s="522"/>
    </row>
    <row r="7" spans="1:9" ht="15.75" thickBot="1" x14ac:dyDescent="0.3">
      <c r="A7" s="300" t="s">
        <v>292</v>
      </c>
      <c r="B7" s="301" t="s">
        <v>293</v>
      </c>
      <c r="C7" s="302" t="s">
        <v>294</v>
      </c>
      <c r="D7" s="302" t="s">
        <v>295</v>
      </c>
      <c r="E7" s="509" t="s">
        <v>51</v>
      </c>
      <c r="F7" s="546" t="s">
        <v>296</v>
      </c>
      <c r="G7" s="557" t="s">
        <v>297</v>
      </c>
      <c r="H7" s="304" t="s">
        <v>298</v>
      </c>
      <c r="I7" s="305" t="s">
        <v>299</v>
      </c>
    </row>
    <row r="8" spans="1:9" s="421" customFormat="1" ht="19.899999999999999" customHeight="1" x14ac:dyDescent="0.25">
      <c r="A8" s="415" t="s">
        <v>325</v>
      </c>
      <c r="B8" s="416"/>
      <c r="C8" s="417"/>
      <c r="D8" s="417"/>
      <c r="E8" s="418"/>
      <c r="F8" s="569"/>
      <c r="G8" s="579"/>
      <c r="H8" s="419"/>
      <c r="I8" s="420"/>
    </row>
    <row r="9" spans="1:9" s="315" customFormat="1" ht="15" x14ac:dyDescent="0.25">
      <c r="A9" s="309">
        <v>1</v>
      </c>
      <c r="B9" s="310">
        <v>1</v>
      </c>
      <c r="C9" s="311" t="s">
        <v>479</v>
      </c>
      <c r="D9" s="311" t="s">
        <v>275</v>
      </c>
      <c r="E9" s="312">
        <v>1</v>
      </c>
      <c r="F9" s="1252">
        <f>'07spec'!G44</f>
        <v>0</v>
      </c>
      <c r="G9" s="559">
        <f>E9*F9</f>
        <v>0</v>
      </c>
      <c r="H9" s="313">
        <v>0</v>
      </c>
      <c r="I9" s="314">
        <f>E9*H9</f>
        <v>0</v>
      </c>
    </row>
    <row r="10" spans="1:9" s="315" customFormat="1" ht="15" x14ac:dyDescent="0.25">
      <c r="A10" s="309">
        <v>2</v>
      </c>
      <c r="B10" s="310">
        <v>2</v>
      </c>
      <c r="C10" s="311" t="s">
        <v>478</v>
      </c>
      <c r="D10" s="311" t="s">
        <v>275</v>
      </c>
      <c r="E10" s="312">
        <v>1</v>
      </c>
      <c r="F10" s="1252">
        <f>'07spec'!G83</f>
        <v>0</v>
      </c>
      <c r="G10" s="559">
        <f>E10*F10</f>
        <v>0</v>
      </c>
      <c r="H10" s="313">
        <v>0</v>
      </c>
      <c r="I10" s="314">
        <f>E10*H10</f>
        <v>0</v>
      </c>
    </row>
    <row r="11" spans="1:9" s="428" customFormat="1" ht="15" x14ac:dyDescent="0.25">
      <c r="A11" s="436">
        <v>3</v>
      </c>
      <c r="B11" s="437">
        <v>3</v>
      </c>
      <c r="C11" s="438" t="s">
        <v>480</v>
      </c>
      <c r="D11" s="438" t="s">
        <v>275</v>
      </c>
      <c r="E11" s="439">
        <v>1</v>
      </c>
      <c r="F11" s="1252">
        <f>'07spec'!G94</f>
        <v>0</v>
      </c>
      <c r="G11" s="580">
        <f>E11*F11</f>
        <v>0</v>
      </c>
      <c r="H11" s="440">
        <v>0</v>
      </c>
      <c r="I11" s="441">
        <f>E11*H11</f>
        <v>0</v>
      </c>
    </row>
    <row r="12" spans="1:9" s="428" customFormat="1" ht="15" x14ac:dyDescent="0.25">
      <c r="A12" s="436">
        <v>4</v>
      </c>
      <c r="B12" s="437">
        <v>4</v>
      </c>
      <c r="C12" s="438" t="s">
        <v>1039</v>
      </c>
      <c r="D12" s="438" t="s">
        <v>275</v>
      </c>
      <c r="E12" s="439">
        <v>12</v>
      </c>
      <c r="F12" s="570"/>
      <c r="G12" s="580">
        <f>E12*F12</f>
        <v>0</v>
      </c>
      <c r="H12" s="440">
        <v>0</v>
      </c>
      <c r="I12" s="441">
        <f>E12*H12</f>
        <v>0</v>
      </c>
    </row>
    <row r="13" spans="1:9" s="428" customFormat="1" ht="15" x14ac:dyDescent="0.25">
      <c r="A13" s="436"/>
      <c r="B13" s="437"/>
      <c r="C13" s="639" t="s">
        <v>1040</v>
      </c>
      <c r="D13" s="438"/>
      <c r="E13" s="439"/>
      <c r="F13" s="1252"/>
      <c r="G13" s="580"/>
      <c r="H13" s="440"/>
      <c r="I13" s="441"/>
    </row>
    <row r="14" spans="1:9" s="428" customFormat="1" ht="15" x14ac:dyDescent="0.25">
      <c r="A14" s="436">
        <v>5</v>
      </c>
      <c r="B14" s="437">
        <v>5</v>
      </c>
      <c r="C14" s="438" t="s">
        <v>1041</v>
      </c>
      <c r="D14" s="438" t="s">
        <v>275</v>
      </c>
      <c r="E14" s="439">
        <v>12</v>
      </c>
      <c r="F14" s="570"/>
      <c r="G14" s="580">
        <f>E14*F14</f>
        <v>0</v>
      </c>
      <c r="H14" s="440">
        <v>0</v>
      </c>
      <c r="I14" s="441">
        <f>E14*H14</f>
        <v>0</v>
      </c>
    </row>
    <row r="15" spans="1:9" s="428" customFormat="1" ht="15" x14ac:dyDescent="0.25">
      <c r="A15" s="436"/>
      <c r="B15" s="437"/>
      <c r="C15" s="639" t="s">
        <v>1042</v>
      </c>
      <c r="D15" s="438"/>
      <c r="E15" s="439"/>
      <c r="F15" s="1252"/>
      <c r="G15" s="580"/>
      <c r="H15" s="440"/>
      <c r="I15" s="441"/>
    </row>
    <row r="16" spans="1:9" s="428" customFormat="1" ht="15" x14ac:dyDescent="0.25">
      <c r="A16" s="422"/>
      <c r="B16" s="423"/>
      <c r="C16" s="424" t="s">
        <v>326</v>
      </c>
      <c r="D16" s="424"/>
      <c r="E16" s="425"/>
      <c r="F16" s="571"/>
      <c r="G16" s="581">
        <f>SUM(G9:G15)</f>
        <v>0</v>
      </c>
      <c r="H16" s="426"/>
      <c r="I16" s="427"/>
    </row>
    <row r="17" spans="1:9" s="428" customFormat="1" ht="15" x14ac:dyDescent="0.25">
      <c r="A17" s="429"/>
      <c r="B17" s="430"/>
      <c r="C17" s="431" t="s">
        <v>327</v>
      </c>
      <c r="D17" s="431" t="s">
        <v>433</v>
      </c>
      <c r="E17" s="519"/>
      <c r="F17" s="572">
        <f>G16</f>
        <v>0</v>
      </c>
      <c r="G17" s="582">
        <f>E17*F17/100</f>
        <v>0</v>
      </c>
      <c r="H17" s="432"/>
      <c r="I17" s="433"/>
    </row>
    <row r="18" spans="1:9" s="322" customFormat="1" ht="14.25" x14ac:dyDescent="0.2">
      <c r="A18" s="316"/>
      <c r="B18" s="317"/>
      <c r="C18" s="318" t="s">
        <v>420</v>
      </c>
      <c r="D18" s="318"/>
      <c r="E18" s="319"/>
      <c r="F18" s="573"/>
      <c r="G18" s="583">
        <f>SUM(G9:G14)</f>
        <v>0</v>
      </c>
      <c r="H18" s="320"/>
      <c r="I18" s="321">
        <f>SUM(I9:I14)</f>
        <v>0</v>
      </c>
    </row>
    <row r="19" spans="1:9" s="308" customFormat="1" ht="19.899999999999999" customHeight="1" x14ac:dyDescent="0.25">
      <c r="A19" s="362" t="s">
        <v>409</v>
      </c>
      <c r="B19" s="363"/>
      <c r="C19" s="405"/>
      <c r="D19" s="405"/>
      <c r="E19" s="364"/>
      <c r="F19" s="574"/>
      <c r="G19" s="584"/>
      <c r="H19" s="306"/>
      <c r="I19" s="307"/>
    </row>
    <row r="20" spans="1:9" s="631" customFormat="1" ht="19.899999999999999" customHeight="1" x14ac:dyDescent="0.25">
      <c r="A20" s="626" t="s">
        <v>481</v>
      </c>
      <c r="B20" s="627"/>
      <c r="C20" s="628"/>
      <c r="D20" s="628"/>
      <c r="E20" s="629"/>
      <c r="F20" s="630"/>
      <c r="G20" s="692"/>
      <c r="H20" s="630"/>
      <c r="I20" s="851"/>
    </row>
    <row r="21" spans="1:9" s="638" customFormat="1" ht="15" x14ac:dyDescent="0.2">
      <c r="A21" s="632">
        <v>6</v>
      </c>
      <c r="B21" s="633">
        <v>519222</v>
      </c>
      <c r="C21" s="634" t="s">
        <v>482</v>
      </c>
      <c r="D21" s="634" t="s">
        <v>275</v>
      </c>
      <c r="E21" s="635">
        <v>7</v>
      </c>
      <c r="F21" s="575"/>
      <c r="G21" s="588">
        <f>E21*F21</f>
        <v>0</v>
      </c>
      <c r="H21" s="636">
        <v>0</v>
      </c>
      <c r="I21" s="637">
        <f>E21*H21</f>
        <v>0</v>
      </c>
    </row>
    <row r="22" spans="1:9" s="638" customFormat="1" ht="15" x14ac:dyDescent="0.2">
      <c r="A22" s="632">
        <v>7</v>
      </c>
      <c r="B22" s="633">
        <v>592232</v>
      </c>
      <c r="C22" s="634" t="s">
        <v>483</v>
      </c>
      <c r="D22" s="634" t="s">
        <v>275</v>
      </c>
      <c r="E22" s="635">
        <v>7</v>
      </c>
      <c r="F22" s="575"/>
      <c r="G22" s="588">
        <f>E22*F22</f>
        <v>0</v>
      </c>
      <c r="H22" s="636">
        <v>0</v>
      </c>
      <c r="I22" s="637">
        <f>E22*H22</f>
        <v>0</v>
      </c>
    </row>
    <row r="23" spans="1:9" s="638" customFormat="1" x14ac:dyDescent="0.2">
      <c r="A23" s="632"/>
      <c r="B23" s="633"/>
      <c r="C23" s="639" t="s">
        <v>484</v>
      </c>
      <c r="D23" s="634"/>
      <c r="E23" s="635"/>
      <c r="F23" s="636"/>
      <c r="G23" s="588"/>
      <c r="H23" s="636"/>
      <c r="I23" s="637"/>
    </row>
    <row r="24" spans="1:9" s="638" customFormat="1" ht="15" x14ac:dyDescent="0.2">
      <c r="A24" s="632">
        <v>8</v>
      </c>
      <c r="B24" s="633">
        <v>519224</v>
      </c>
      <c r="C24" s="634" t="s">
        <v>485</v>
      </c>
      <c r="D24" s="634" t="s">
        <v>275</v>
      </c>
      <c r="E24" s="635">
        <v>6</v>
      </c>
      <c r="F24" s="575"/>
      <c r="G24" s="588">
        <f>E24*F24</f>
        <v>0</v>
      </c>
      <c r="H24" s="636">
        <v>0</v>
      </c>
      <c r="I24" s="637">
        <f>E24*H24</f>
        <v>0</v>
      </c>
    </row>
    <row r="25" spans="1:9" s="638" customFormat="1" ht="15" x14ac:dyDescent="0.2">
      <c r="A25" s="632">
        <v>9</v>
      </c>
      <c r="B25" s="633">
        <v>592233</v>
      </c>
      <c r="C25" s="634" t="s">
        <v>486</v>
      </c>
      <c r="D25" s="634" t="s">
        <v>275</v>
      </c>
      <c r="E25" s="635">
        <v>6</v>
      </c>
      <c r="F25" s="575"/>
      <c r="G25" s="588">
        <f>E25*F25</f>
        <v>0</v>
      </c>
      <c r="H25" s="636">
        <v>0</v>
      </c>
      <c r="I25" s="637">
        <f>E25*H25</f>
        <v>0</v>
      </c>
    </row>
    <row r="26" spans="1:9" s="638" customFormat="1" x14ac:dyDescent="0.2">
      <c r="A26" s="632"/>
      <c r="B26" s="633"/>
      <c r="C26" s="639" t="s">
        <v>487</v>
      </c>
      <c r="D26" s="634"/>
      <c r="E26" s="635"/>
      <c r="F26" s="636"/>
      <c r="G26" s="588"/>
      <c r="H26" s="636"/>
      <c r="I26" s="637"/>
    </row>
    <row r="27" spans="1:9" s="638" customFormat="1" ht="15" x14ac:dyDescent="0.2">
      <c r="A27" s="632">
        <v>10</v>
      </c>
      <c r="B27" s="633">
        <v>519231</v>
      </c>
      <c r="C27" s="634" t="s">
        <v>858</v>
      </c>
      <c r="D27" s="634" t="s">
        <v>275</v>
      </c>
      <c r="E27" s="635">
        <v>8</v>
      </c>
      <c r="F27" s="575"/>
      <c r="G27" s="588">
        <f>E27*F27</f>
        <v>0</v>
      </c>
      <c r="H27" s="636">
        <v>0</v>
      </c>
      <c r="I27" s="637">
        <f>E27*H27</f>
        <v>0</v>
      </c>
    </row>
    <row r="28" spans="1:9" s="638" customFormat="1" x14ac:dyDescent="0.2">
      <c r="A28" s="632"/>
      <c r="B28" s="633"/>
      <c r="C28" s="639" t="s">
        <v>488</v>
      </c>
      <c r="D28" s="634"/>
      <c r="E28" s="635"/>
      <c r="F28" s="636"/>
      <c r="G28" s="588"/>
      <c r="H28" s="636"/>
      <c r="I28" s="637"/>
    </row>
    <row r="29" spans="1:9" s="638" customFormat="1" ht="15" x14ac:dyDescent="0.2">
      <c r="A29" s="632">
        <v>11</v>
      </c>
      <c r="B29" s="633">
        <v>519252</v>
      </c>
      <c r="C29" s="634" t="s">
        <v>859</v>
      </c>
      <c r="D29" s="634" t="s">
        <v>275</v>
      </c>
      <c r="E29" s="635">
        <v>10</v>
      </c>
      <c r="F29" s="575"/>
      <c r="G29" s="588">
        <f>E29*F29</f>
        <v>0</v>
      </c>
      <c r="H29" s="636">
        <v>0</v>
      </c>
      <c r="I29" s="637">
        <f>E29*H29</f>
        <v>0</v>
      </c>
    </row>
    <row r="30" spans="1:9" s="638" customFormat="1" ht="15" x14ac:dyDescent="0.2">
      <c r="A30" s="632">
        <v>12</v>
      </c>
      <c r="B30" s="633">
        <v>592233</v>
      </c>
      <c r="C30" s="634" t="s">
        <v>486</v>
      </c>
      <c r="D30" s="634" t="s">
        <v>275</v>
      </c>
      <c r="E30" s="635">
        <v>10</v>
      </c>
      <c r="F30" s="575"/>
      <c r="G30" s="588">
        <f>E30*F30</f>
        <v>0</v>
      </c>
      <c r="H30" s="636">
        <v>0</v>
      </c>
      <c r="I30" s="637">
        <f>E30*H30</f>
        <v>0</v>
      </c>
    </row>
    <row r="31" spans="1:9" s="638" customFormat="1" x14ac:dyDescent="0.2">
      <c r="A31" s="632"/>
      <c r="B31" s="633"/>
      <c r="C31" s="639" t="s">
        <v>856</v>
      </c>
      <c r="D31" s="634"/>
      <c r="E31" s="635"/>
      <c r="F31" s="636"/>
      <c r="G31" s="588"/>
      <c r="H31" s="636"/>
      <c r="I31" s="637"/>
    </row>
    <row r="32" spans="1:9" s="638" customFormat="1" ht="15" x14ac:dyDescent="0.2">
      <c r="A32" s="632">
        <v>13</v>
      </c>
      <c r="B32" s="633">
        <v>513202</v>
      </c>
      <c r="C32" s="634" t="s">
        <v>489</v>
      </c>
      <c r="D32" s="634" t="s">
        <v>275</v>
      </c>
      <c r="E32" s="635">
        <v>13</v>
      </c>
      <c r="F32" s="575"/>
      <c r="G32" s="588">
        <f>E32*F32</f>
        <v>0</v>
      </c>
      <c r="H32" s="636">
        <v>0</v>
      </c>
      <c r="I32" s="637">
        <f>E32*H32</f>
        <v>0</v>
      </c>
    </row>
    <row r="33" spans="1:9" s="638" customFormat="1" ht="15" x14ac:dyDescent="0.2">
      <c r="A33" s="632">
        <v>14</v>
      </c>
      <c r="B33" s="633">
        <v>592231</v>
      </c>
      <c r="C33" s="634" t="s">
        <v>490</v>
      </c>
      <c r="D33" s="634" t="s">
        <v>275</v>
      </c>
      <c r="E33" s="635">
        <v>13</v>
      </c>
      <c r="F33" s="575"/>
      <c r="G33" s="588">
        <f>E33*F33</f>
        <v>0</v>
      </c>
      <c r="H33" s="636">
        <v>0</v>
      </c>
      <c r="I33" s="637">
        <f>E33*H33</f>
        <v>0</v>
      </c>
    </row>
    <row r="34" spans="1:9" s="638" customFormat="1" x14ac:dyDescent="0.2">
      <c r="A34" s="632"/>
      <c r="B34" s="633"/>
      <c r="C34" s="639" t="s">
        <v>491</v>
      </c>
      <c r="D34" s="634"/>
      <c r="E34" s="635"/>
      <c r="F34" s="636"/>
      <c r="G34" s="588"/>
      <c r="H34" s="636"/>
      <c r="I34" s="637"/>
    </row>
    <row r="35" spans="1:9" s="638" customFormat="1" ht="15" x14ac:dyDescent="0.2">
      <c r="A35" s="632">
        <v>15</v>
      </c>
      <c r="B35" s="633">
        <v>513200</v>
      </c>
      <c r="C35" s="634" t="s">
        <v>492</v>
      </c>
      <c r="D35" s="634" t="s">
        <v>275</v>
      </c>
      <c r="E35" s="635">
        <v>15</v>
      </c>
      <c r="F35" s="575"/>
      <c r="G35" s="588">
        <f>E35*F35</f>
        <v>0</v>
      </c>
      <c r="H35" s="636">
        <v>0</v>
      </c>
      <c r="I35" s="637">
        <f>E35*H35</f>
        <v>0</v>
      </c>
    </row>
    <row r="36" spans="1:9" s="638" customFormat="1" ht="15" x14ac:dyDescent="0.2">
      <c r="A36" s="632">
        <v>16</v>
      </c>
      <c r="B36" s="633">
        <v>592202</v>
      </c>
      <c r="C36" s="634" t="s">
        <v>493</v>
      </c>
      <c r="D36" s="634" t="s">
        <v>275</v>
      </c>
      <c r="E36" s="635">
        <v>15</v>
      </c>
      <c r="F36" s="575"/>
      <c r="G36" s="588">
        <f>E36*F36</f>
        <v>0</v>
      </c>
      <c r="H36" s="636">
        <v>0</v>
      </c>
      <c r="I36" s="637">
        <f>E36*H36</f>
        <v>0</v>
      </c>
    </row>
    <row r="37" spans="1:9" s="638" customFormat="1" x14ac:dyDescent="0.2">
      <c r="A37" s="632"/>
      <c r="B37" s="633"/>
      <c r="C37" s="639" t="s">
        <v>494</v>
      </c>
      <c r="D37" s="634"/>
      <c r="E37" s="635"/>
      <c r="F37" s="636"/>
      <c r="G37" s="588"/>
      <c r="H37" s="636"/>
      <c r="I37" s="637"/>
    </row>
    <row r="38" spans="1:9" s="638" customFormat="1" ht="15" x14ac:dyDescent="0.2">
      <c r="A38" s="632">
        <v>17</v>
      </c>
      <c r="B38" s="633">
        <v>513226</v>
      </c>
      <c r="C38" s="634" t="s">
        <v>495</v>
      </c>
      <c r="D38" s="634" t="s">
        <v>275</v>
      </c>
      <c r="E38" s="635">
        <v>19</v>
      </c>
      <c r="F38" s="575"/>
      <c r="G38" s="588">
        <f>E38*F38</f>
        <v>0</v>
      </c>
      <c r="H38" s="636">
        <v>0</v>
      </c>
      <c r="I38" s="637">
        <f>E38*H38</f>
        <v>0</v>
      </c>
    </row>
    <row r="39" spans="1:9" s="638" customFormat="1" ht="15" x14ac:dyDescent="0.2">
      <c r="A39" s="632">
        <v>18</v>
      </c>
      <c r="B39" s="633">
        <v>592231</v>
      </c>
      <c r="C39" s="634" t="s">
        <v>496</v>
      </c>
      <c r="D39" s="634" t="s">
        <v>275</v>
      </c>
      <c r="E39" s="635">
        <v>38</v>
      </c>
      <c r="F39" s="575"/>
      <c r="G39" s="588">
        <f>E39*F39</f>
        <v>0</v>
      </c>
      <c r="H39" s="636">
        <v>0</v>
      </c>
      <c r="I39" s="637">
        <f>E39*H39</f>
        <v>0</v>
      </c>
    </row>
    <row r="40" spans="1:9" s="638" customFormat="1" x14ac:dyDescent="0.2">
      <c r="A40" s="632"/>
      <c r="B40" s="633"/>
      <c r="C40" s="639" t="s">
        <v>497</v>
      </c>
      <c r="D40" s="634"/>
      <c r="E40" s="635"/>
      <c r="F40" s="636"/>
      <c r="G40" s="588"/>
      <c r="H40" s="636"/>
      <c r="I40" s="637"/>
    </row>
    <row r="41" spans="1:9" s="638" customFormat="1" ht="15" x14ac:dyDescent="0.2">
      <c r="A41" s="632">
        <v>19</v>
      </c>
      <c r="B41" s="633">
        <v>513227</v>
      </c>
      <c r="C41" s="634" t="s">
        <v>498</v>
      </c>
      <c r="D41" s="634" t="s">
        <v>275</v>
      </c>
      <c r="E41" s="635">
        <v>12</v>
      </c>
      <c r="F41" s="575"/>
      <c r="G41" s="588">
        <f>E41*F41</f>
        <v>0</v>
      </c>
      <c r="H41" s="636">
        <v>0</v>
      </c>
      <c r="I41" s="637">
        <f>E41*H41</f>
        <v>0</v>
      </c>
    </row>
    <row r="42" spans="1:9" s="638" customFormat="1" ht="15" x14ac:dyDescent="0.2">
      <c r="A42" s="632">
        <v>20</v>
      </c>
      <c r="B42" s="633">
        <v>592231</v>
      </c>
      <c r="C42" s="634" t="s">
        <v>496</v>
      </c>
      <c r="D42" s="634" t="s">
        <v>275</v>
      </c>
      <c r="E42" s="635">
        <v>24</v>
      </c>
      <c r="F42" s="575"/>
      <c r="G42" s="588">
        <f>E42*F42</f>
        <v>0</v>
      </c>
      <c r="H42" s="636">
        <v>0</v>
      </c>
      <c r="I42" s="637">
        <f>E42*H42</f>
        <v>0</v>
      </c>
    </row>
    <row r="43" spans="1:9" s="638" customFormat="1" x14ac:dyDescent="0.2">
      <c r="A43" s="632"/>
      <c r="B43" s="633"/>
      <c r="C43" s="639" t="s">
        <v>499</v>
      </c>
      <c r="D43" s="634"/>
      <c r="E43" s="635"/>
      <c r="F43" s="636"/>
      <c r="G43" s="588"/>
      <c r="H43" s="636"/>
      <c r="I43" s="637"/>
    </row>
    <row r="44" spans="1:9" s="638" customFormat="1" ht="15" x14ac:dyDescent="0.2">
      <c r="A44" s="632">
        <v>21</v>
      </c>
      <c r="B44" s="633">
        <v>513251</v>
      </c>
      <c r="C44" s="634" t="s">
        <v>500</v>
      </c>
      <c r="D44" s="634" t="s">
        <v>275</v>
      </c>
      <c r="E44" s="635">
        <v>18</v>
      </c>
      <c r="F44" s="575"/>
      <c r="G44" s="588">
        <f>E44*F44</f>
        <v>0</v>
      </c>
      <c r="H44" s="636">
        <v>0</v>
      </c>
      <c r="I44" s="637">
        <f>E44*H44</f>
        <v>0</v>
      </c>
    </row>
    <row r="45" spans="1:9" s="638" customFormat="1" ht="15" x14ac:dyDescent="0.2">
      <c r="A45" s="632">
        <v>22</v>
      </c>
      <c r="B45" s="633">
        <v>592153</v>
      </c>
      <c r="C45" s="634" t="s">
        <v>501</v>
      </c>
      <c r="D45" s="634" t="s">
        <v>275</v>
      </c>
      <c r="E45" s="635">
        <v>18</v>
      </c>
      <c r="F45" s="575"/>
      <c r="G45" s="588">
        <f>E45*F45</f>
        <v>0</v>
      </c>
      <c r="H45" s="636">
        <v>0</v>
      </c>
      <c r="I45" s="637">
        <f>E45*H45</f>
        <v>0</v>
      </c>
    </row>
    <row r="46" spans="1:9" s="638" customFormat="1" x14ac:dyDescent="0.2">
      <c r="A46" s="632"/>
      <c r="B46" s="633"/>
      <c r="C46" s="639" t="s">
        <v>499</v>
      </c>
      <c r="D46" s="634"/>
      <c r="E46" s="635"/>
      <c r="F46" s="636"/>
      <c r="G46" s="588"/>
      <c r="H46" s="636"/>
      <c r="I46" s="637"/>
    </row>
    <row r="47" spans="1:9" s="638" customFormat="1" ht="15" x14ac:dyDescent="0.2">
      <c r="A47" s="632">
        <v>23</v>
      </c>
      <c r="B47" s="633">
        <v>513252</v>
      </c>
      <c r="C47" s="634" t="s">
        <v>502</v>
      </c>
      <c r="D47" s="634" t="s">
        <v>275</v>
      </c>
      <c r="E47" s="635">
        <v>29</v>
      </c>
      <c r="F47" s="575"/>
      <c r="G47" s="588">
        <f>E47*F47</f>
        <v>0</v>
      </c>
      <c r="H47" s="636">
        <v>0</v>
      </c>
      <c r="I47" s="637">
        <f>E47*H47</f>
        <v>0</v>
      </c>
    </row>
    <row r="48" spans="1:9" s="638" customFormat="1" ht="15" x14ac:dyDescent="0.2">
      <c r="A48" s="632">
        <v>24</v>
      </c>
      <c r="B48" s="633">
        <v>592152</v>
      </c>
      <c r="C48" s="634" t="s">
        <v>503</v>
      </c>
      <c r="D48" s="634" t="s">
        <v>275</v>
      </c>
      <c r="E48" s="635">
        <v>29</v>
      </c>
      <c r="F48" s="575"/>
      <c r="G48" s="588">
        <f>E48*F48</f>
        <v>0</v>
      </c>
      <c r="H48" s="636">
        <v>0</v>
      </c>
      <c r="I48" s="637">
        <f>E48*H48</f>
        <v>0</v>
      </c>
    </row>
    <row r="49" spans="1:9" s="638" customFormat="1" x14ac:dyDescent="0.2">
      <c r="A49" s="632"/>
      <c r="B49" s="633"/>
      <c r="C49" s="639" t="s">
        <v>504</v>
      </c>
      <c r="D49" s="634"/>
      <c r="E49" s="635"/>
      <c r="F49" s="636"/>
      <c r="G49" s="588"/>
      <c r="H49" s="636"/>
      <c r="I49" s="637"/>
    </row>
    <row r="50" spans="1:9" s="638" customFormat="1" ht="15" x14ac:dyDescent="0.2">
      <c r="A50" s="632">
        <v>25</v>
      </c>
      <c r="B50" s="633">
        <v>519232</v>
      </c>
      <c r="C50" s="634" t="s">
        <v>505</v>
      </c>
      <c r="D50" s="634" t="s">
        <v>275</v>
      </c>
      <c r="E50" s="635">
        <v>3</v>
      </c>
      <c r="F50" s="575"/>
      <c r="G50" s="588">
        <f>E50*F50</f>
        <v>0</v>
      </c>
      <c r="H50" s="636">
        <v>0</v>
      </c>
      <c r="I50" s="637">
        <f>E50*H50</f>
        <v>0</v>
      </c>
    </row>
    <row r="51" spans="1:9" s="638" customFormat="1" ht="15" x14ac:dyDescent="0.2">
      <c r="A51" s="632">
        <v>26</v>
      </c>
      <c r="B51" s="633">
        <v>592278</v>
      </c>
      <c r="C51" s="634" t="s">
        <v>506</v>
      </c>
      <c r="D51" s="634" t="s">
        <v>275</v>
      </c>
      <c r="E51" s="635">
        <v>6</v>
      </c>
      <c r="F51" s="575"/>
      <c r="G51" s="588">
        <f>E51*F51</f>
        <v>0</v>
      </c>
      <c r="H51" s="636">
        <v>0</v>
      </c>
      <c r="I51" s="637">
        <f>E51*H51</f>
        <v>0</v>
      </c>
    </row>
    <row r="52" spans="1:9" s="638" customFormat="1" x14ac:dyDescent="0.2">
      <c r="A52" s="632"/>
      <c r="B52" s="633"/>
      <c r="C52" s="639" t="s">
        <v>864</v>
      </c>
      <c r="D52" s="634"/>
      <c r="E52" s="635"/>
      <c r="F52" s="636"/>
      <c r="G52" s="588"/>
      <c r="H52" s="636"/>
      <c r="I52" s="637"/>
    </row>
    <row r="53" spans="1:9" s="638" customFormat="1" ht="15" x14ac:dyDescent="0.2">
      <c r="A53" s="632">
        <v>27</v>
      </c>
      <c r="B53" s="633">
        <v>519233</v>
      </c>
      <c r="C53" s="634" t="s">
        <v>507</v>
      </c>
      <c r="D53" s="634" t="s">
        <v>275</v>
      </c>
      <c r="E53" s="635">
        <v>2</v>
      </c>
      <c r="F53" s="575"/>
      <c r="G53" s="588">
        <f>E53*F53</f>
        <v>0</v>
      </c>
      <c r="H53" s="636">
        <v>0</v>
      </c>
      <c r="I53" s="637">
        <f>E53*H53</f>
        <v>0</v>
      </c>
    </row>
    <row r="54" spans="1:9" s="638" customFormat="1" ht="15" x14ac:dyDescent="0.2">
      <c r="A54" s="632">
        <v>28</v>
      </c>
      <c r="B54" s="633">
        <v>592278</v>
      </c>
      <c r="C54" s="634" t="s">
        <v>506</v>
      </c>
      <c r="D54" s="634" t="s">
        <v>275</v>
      </c>
      <c r="E54" s="635">
        <v>4</v>
      </c>
      <c r="F54" s="575"/>
      <c r="G54" s="588">
        <f>E54*F54</f>
        <v>0</v>
      </c>
      <c r="H54" s="636">
        <v>0</v>
      </c>
      <c r="I54" s="637">
        <f>E54*H54</f>
        <v>0</v>
      </c>
    </row>
    <row r="55" spans="1:9" s="638" customFormat="1" x14ac:dyDescent="0.2">
      <c r="A55" s="632"/>
      <c r="B55" s="633"/>
      <c r="C55" s="639" t="s">
        <v>864</v>
      </c>
      <c r="D55" s="634"/>
      <c r="E55" s="635"/>
      <c r="F55" s="636"/>
      <c r="G55" s="588"/>
      <c r="H55" s="636"/>
      <c r="I55" s="637"/>
    </row>
    <row r="56" spans="1:9" s="638" customFormat="1" ht="15" x14ac:dyDescent="0.2">
      <c r="A56" s="632">
        <v>29</v>
      </c>
      <c r="B56" s="633">
        <v>515203</v>
      </c>
      <c r="C56" s="634" t="s">
        <v>860</v>
      </c>
      <c r="D56" s="634" t="s">
        <v>275</v>
      </c>
      <c r="E56" s="635">
        <v>1</v>
      </c>
      <c r="F56" s="575"/>
      <c r="G56" s="588">
        <f>E56*F56</f>
        <v>0</v>
      </c>
      <c r="H56" s="636">
        <v>0</v>
      </c>
      <c r="I56" s="637">
        <f>E56*H56</f>
        <v>0</v>
      </c>
    </row>
    <row r="57" spans="1:9" s="638" customFormat="1" ht="15" x14ac:dyDescent="0.2">
      <c r="A57" s="632">
        <v>30</v>
      </c>
      <c r="B57" s="633">
        <v>592123</v>
      </c>
      <c r="C57" s="634" t="s">
        <v>508</v>
      </c>
      <c r="D57" s="634" t="s">
        <v>275</v>
      </c>
      <c r="E57" s="635">
        <v>4</v>
      </c>
      <c r="F57" s="575"/>
      <c r="G57" s="588">
        <f>E57*F57</f>
        <v>0</v>
      </c>
      <c r="H57" s="636">
        <v>0</v>
      </c>
      <c r="I57" s="637">
        <f>E57*H57</f>
        <v>0</v>
      </c>
    </row>
    <row r="58" spans="1:9" s="638" customFormat="1" x14ac:dyDescent="0.2">
      <c r="A58" s="632"/>
      <c r="B58" s="633"/>
      <c r="C58" s="639" t="s">
        <v>865</v>
      </c>
      <c r="D58" s="634"/>
      <c r="E58" s="635"/>
      <c r="F58" s="636"/>
      <c r="G58" s="588"/>
      <c r="H58" s="636"/>
      <c r="I58" s="637"/>
    </row>
    <row r="59" spans="1:9" s="638" customFormat="1" ht="15" x14ac:dyDescent="0.2">
      <c r="A59" s="632">
        <v>31</v>
      </c>
      <c r="B59" s="633">
        <v>513254</v>
      </c>
      <c r="C59" s="634" t="s">
        <v>861</v>
      </c>
      <c r="D59" s="634" t="s">
        <v>275</v>
      </c>
      <c r="E59" s="635">
        <v>9</v>
      </c>
      <c r="F59" s="575"/>
      <c r="G59" s="588">
        <f>E59*F59</f>
        <v>0</v>
      </c>
      <c r="H59" s="636">
        <v>0</v>
      </c>
      <c r="I59" s="637">
        <f>E59*H59</f>
        <v>0</v>
      </c>
    </row>
    <row r="60" spans="1:9" s="638" customFormat="1" x14ac:dyDescent="0.2">
      <c r="A60" s="632"/>
      <c r="B60" s="633"/>
      <c r="C60" s="639" t="s">
        <v>509</v>
      </c>
      <c r="D60" s="634"/>
      <c r="E60" s="635"/>
      <c r="F60" s="636"/>
      <c r="G60" s="588"/>
      <c r="H60" s="636"/>
      <c r="I60" s="637"/>
    </row>
    <row r="61" spans="1:9" s="638" customFormat="1" ht="15" x14ac:dyDescent="0.2">
      <c r="A61" s="632">
        <v>32</v>
      </c>
      <c r="B61" s="633">
        <v>513225</v>
      </c>
      <c r="C61" s="634" t="s">
        <v>862</v>
      </c>
      <c r="D61" s="634" t="s">
        <v>275</v>
      </c>
      <c r="E61" s="635">
        <v>5</v>
      </c>
      <c r="F61" s="575"/>
      <c r="G61" s="588">
        <f>E61*F61</f>
        <v>0</v>
      </c>
      <c r="H61" s="636">
        <v>0</v>
      </c>
      <c r="I61" s="637">
        <f>E61*H61</f>
        <v>0</v>
      </c>
    </row>
    <row r="62" spans="1:9" s="638" customFormat="1" x14ac:dyDescent="0.2">
      <c r="A62" s="632"/>
      <c r="B62" s="633"/>
      <c r="C62" s="639" t="s">
        <v>509</v>
      </c>
      <c r="D62" s="634"/>
      <c r="E62" s="635"/>
      <c r="F62" s="636"/>
      <c r="G62" s="588"/>
      <c r="H62" s="636"/>
      <c r="I62" s="637"/>
    </row>
    <row r="63" spans="1:9" s="638" customFormat="1" ht="15" x14ac:dyDescent="0.2">
      <c r="A63" s="632">
        <v>33</v>
      </c>
      <c r="B63" s="633">
        <v>513241</v>
      </c>
      <c r="C63" s="634" t="s">
        <v>510</v>
      </c>
      <c r="D63" s="634" t="s">
        <v>275</v>
      </c>
      <c r="E63" s="635">
        <v>13</v>
      </c>
      <c r="F63" s="575"/>
      <c r="G63" s="588">
        <f>E63*F63</f>
        <v>0</v>
      </c>
      <c r="H63" s="636">
        <v>0</v>
      </c>
      <c r="I63" s="637">
        <f>E63*H63</f>
        <v>0</v>
      </c>
    </row>
    <row r="64" spans="1:9" s="638" customFormat="1" ht="15" x14ac:dyDescent="0.2">
      <c r="A64" s="632">
        <v>34</v>
      </c>
      <c r="B64" s="633">
        <v>592123</v>
      </c>
      <c r="C64" s="634" t="s">
        <v>511</v>
      </c>
      <c r="D64" s="634" t="s">
        <v>275</v>
      </c>
      <c r="E64" s="635">
        <v>26</v>
      </c>
      <c r="F64" s="575"/>
      <c r="G64" s="588">
        <f>E64*F64</f>
        <v>0</v>
      </c>
      <c r="H64" s="636">
        <v>0</v>
      </c>
      <c r="I64" s="637">
        <f>E64*H64</f>
        <v>0</v>
      </c>
    </row>
    <row r="65" spans="1:9" s="638" customFormat="1" x14ac:dyDescent="0.2">
      <c r="A65" s="632"/>
      <c r="B65" s="633"/>
      <c r="C65" s="639" t="s">
        <v>866</v>
      </c>
      <c r="D65" s="634"/>
      <c r="E65" s="635"/>
      <c r="F65" s="636"/>
      <c r="G65" s="588"/>
      <c r="H65" s="636"/>
      <c r="I65" s="637"/>
    </row>
    <row r="66" spans="1:9" s="638" customFormat="1" ht="15" x14ac:dyDescent="0.2">
      <c r="A66" s="632">
        <v>35</v>
      </c>
      <c r="B66" s="633">
        <v>513242</v>
      </c>
      <c r="C66" s="634" t="s">
        <v>512</v>
      </c>
      <c r="D66" s="634" t="s">
        <v>275</v>
      </c>
      <c r="E66" s="635">
        <v>10</v>
      </c>
      <c r="F66" s="575"/>
      <c r="G66" s="588">
        <f>E66*F66</f>
        <v>0</v>
      </c>
      <c r="H66" s="636">
        <v>0</v>
      </c>
      <c r="I66" s="637">
        <f>E66*H66</f>
        <v>0</v>
      </c>
    </row>
    <row r="67" spans="1:9" s="638" customFormat="1" ht="15" x14ac:dyDescent="0.2">
      <c r="A67" s="632">
        <v>36</v>
      </c>
      <c r="B67" s="633">
        <v>592123</v>
      </c>
      <c r="C67" s="634" t="s">
        <v>511</v>
      </c>
      <c r="D67" s="634" t="s">
        <v>275</v>
      </c>
      <c r="E67" s="635">
        <v>30</v>
      </c>
      <c r="F67" s="575"/>
      <c r="G67" s="588">
        <f>E67*F67</f>
        <v>0</v>
      </c>
      <c r="H67" s="636">
        <v>0</v>
      </c>
      <c r="I67" s="637">
        <f>E67*H67</f>
        <v>0</v>
      </c>
    </row>
    <row r="68" spans="1:9" s="638" customFormat="1" x14ac:dyDescent="0.2">
      <c r="A68" s="632"/>
      <c r="B68" s="633"/>
      <c r="C68" s="639" t="s">
        <v>867</v>
      </c>
      <c r="D68" s="634"/>
      <c r="E68" s="635"/>
      <c r="F68" s="636"/>
      <c r="G68" s="588"/>
      <c r="H68" s="636"/>
      <c r="I68" s="637"/>
    </row>
    <row r="69" spans="1:9" s="638" customFormat="1" ht="15" x14ac:dyDescent="0.2">
      <c r="A69" s="632">
        <v>37</v>
      </c>
      <c r="B69" s="633">
        <v>513244</v>
      </c>
      <c r="C69" s="634" t="s">
        <v>1037</v>
      </c>
      <c r="D69" s="634" t="s">
        <v>275</v>
      </c>
      <c r="E69" s="635">
        <v>5</v>
      </c>
      <c r="F69" s="575"/>
      <c r="G69" s="588">
        <f>E69*F69</f>
        <v>0</v>
      </c>
      <c r="H69" s="636">
        <v>0</v>
      </c>
      <c r="I69" s="637">
        <f>E69*H69</f>
        <v>0</v>
      </c>
    </row>
    <row r="70" spans="1:9" s="638" customFormat="1" ht="15" x14ac:dyDescent="0.2">
      <c r="A70" s="632">
        <v>38</v>
      </c>
      <c r="B70" s="633">
        <v>592123</v>
      </c>
      <c r="C70" s="634" t="s">
        <v>511</v>
      </c>
      <c r="D70" s="634" t="s">
        <v>275</v>
      </c>
      <c r="E70" s="635">
        <v>20</v>
      </c>
      <c r="F70" s="575"/>
      <c r="G70" s="588">
        <f>E70*F70</f>
        <v>0</v>
      </c>
      <c r="H70" s="636">
        <v>0</v>
      </c>
      <c r="I70" s="637">
        <f>E70*H70</f>
        <v>0</v>
      </c>
    </row>
    <row r="71" spans="1:9" s="638" customFormat="1" x14ac:dyDescent="0.2">
      <c r="A71" s="632"/>
      <c r="B71" s="633"/>
      <c r="C71" s="639" t="s">
        <v>868</v>
      </c>
      <c r="D71" s="634"/>
      <c r="E71" s="635"/>
      <c r="F71" s="636"/>
      <c r="G71" s="588"/>
      <c r="H71" s="636"/>
      <c r="I71" s="637"/>
    </row>
    <row r="72" spans="1:9" s="638" customFormat="1" ht="15" x14ac:dyDescent="0.2">
      <c r="A72" s="632">
        <v>39</v>
      </c>
      <c r="B72" s="633">
        <v>513245</v>
      </c>
      <c r="C72" s="634" t="s">
        <v>1038</v>
      </c>
      <c r="D72" s="634" t="s">
        <v>275</v>
      </c>
      <c r="E72" s="635">
        <v>4</v>
      </c>
      <c r="F72" s="575"/>
      <c r="G72" s="588">
        <f>E72*F72</f>
        <v>0</v>
      </c>
      <c r="H72" s="636">
        <v>0</v>
      </c>
      <c r="I72" s="637">
        <f>E72*H72</f>
        <v>0</v>
      </c>
    </row>
    <row r="73" spans="1:9" s="638" customFormat="1" ht="15" x14ac:dyDescent="0.2">
      <c r="A73" s="632">
        <v>40</v>
      </c>
      <c r="B73" s="633">
        <v>592123</v>
      </c>
      <c r="C73" s="634" t="s">
        <v>511</v>
      </c>
      <c r="D73" s="634" t="s">
        <v>275</v>
      </c>
      <c r="E73" s="635">
        <v>12</v>
      </c>
      <c r="F73" s="575"/>
      <c r="G73" s="588">
        <f>E73*F73</f>
        <v>0</v>
      </c>
      <c r="H73" s="636">
        <v>0</v>
      </c>
      <c r="I73" s="637">
        <f>E73*H73</f>
        <v>0</v>
      </c>
    </row>
    <row r="74" spans="1:9" s="638" customFormat="1" x14ac:dyDescent="0.2">
      <c r="A74" s="632"/>
      <c r="B74" s="633"/>
      <c r="C74" s="639" t="s">
        <v>869</v>
      </c>
      <c r="D74" s="634"/>
      <c r="E74" s="635"/>
      <c r="F74" s="636"/>
      <c r="G74" s="588"/>
      <c r="H74" s="636"/>
      <c r="I74" s="637"/>
    </row>
    <row r="75" spans="1:9" s="638" customFormat="1" ht="15" x14ac:dyDescent="0.2">
      <c r="A75" s="632">
        <v>41</v>
      </c>
      <c r="B75" s="633">
        <v>513248</v>
      </c>
      <c r="C75" s="634" t="s">
        <v>513</v>
      </c>
      <c r="D75" s="634" t="s">
        <v>275</v>
      </c>
      <c r="E75" s="635">
        <v>8</v>
      </c>
      <c r="F75" s="575"/>
      <c r="G75" s="588">
        <f>E75*F75</f>
        <v>0</v>
      </c>
      <c r="H75" s="636">
        <v>0</v>
      </c>
      <c r="I75" s="637">
        <f>E75*H75</f>
        <v>0</v>
      </c>
    </row>
    <row r="76" spans="1:9" s="638" customFormat="1" ht="15" x14ac:dyDescent="0.2">
      <c r="A76" s="632">
        <v>42</v>
      </c>
      <c r="B76" s="633">
        <v>592126</v>
      </c>
      <c r="C76" s="634" t="s">
        <v>514</v>
      </c>
      <c r="D76" s="634" t="s">
        <v>275</v>
      </c>
      <c r="E76" s="635">
        <v>16</v>
      </c>
      <c r="F76" s="575"/>
      <c r="G76" s="588">
        <f>E76*F76</f>
        <v>0</v>
      </c>
      <c r="H76" s="636">
        <v>0</v>
      </c>
      <c r="I76" s="637">
        <f>E76*H76</f>
        <v>0</v>
      </c>
    </row>
    <row r="77" spans="1:9" s="638" customFormat="1" x14ac:dyDescent="0.2">
      <c r="A77" s="632"/>
      <c r="B77" s="633"/>
      <c r="C77" s="639" t="s">
        <v>509</v>
      </c>
      <c r="D77" s="634"/>
      <c r="E77" s="635"/>
      <c r="F77" s="636"/>
      <c r="G77" s="588"/>
      <c r="H77" s="636"/>
      <c r="I77" s="637"/>
    </row>
    <row r="78" spans="1:9" s="638" customFormat="1" ht="15" x14ac:dyDescent="0.2">
      <c r="A78" s="632">
        <v>43</v>
      </c>
      <c r="B78" s="633">
        <v>513246</v>
      </c>
      <c r="C78" s="634" t="s">
        <v>863</v>
      </c>
      <c r="D78" s="634" t="s">
        <v>275</v>
      </c>
      <c r="E78" s="635">
        <v>5</v>
      </c>
      <c r="F78" s="575"/>
      <c r="G78" s="588">
        <f>E78*F78</f>
        <v>0</v>
      </c>
      <c r="H78" s="636">
        <v>0</v>
      </c>
      <c r="I78" s="637">
        <f>E78*H78</f>
        <v>0</v>
      </c>
    </row>
    <row r="79" spans="1:9" s="638" customFormat="1" ht="15" x14ac:dyDescent="0.2">
      <c r="A79" s="632">
        <v>44</v>
      </c>
      <c r="B79" s="633">
        <v>592123</v>
      </c>
      <c r="C79" s="634" t="s">
        <v>511</v>
      </c>
      <c r="D79" s="634" t="s">
        <v>275</v>
      </c>
      <c r="E79" s="635">
        <v>10</v>
      </c>
      <c r="F79" s="575"/>
      <c r="G79" s="588">
        <f>E79*F79</f>
        <v>0</v>
      </c>
      <c r="H79" s="636">
        <v>0</v>
      </c>
      <c r="I79" s="637">
        <f>E79*H79</f>
        <v>0</v>
      </c>
    </row>
    <row r="80" spans="1:9" s="638" customFormat="1" x14ac:dyDescent="0.2">
      <c r="A80" s="632"/>
      <c r="B80" s="633"/>
      <c r="C80" s="639" t="s">
        <v>870</v>
      </c>
      <c r="D80" s="634"/>
      <c r="E80" s="635"/>
      <c r="F80" s="636"/>
      <c r="G80" s="588"/>
      <c r="H80" s="636"/>
      <c r="I80" s="637"/>
    </row>
    <row r="81" spans="1:9" s="315" customFormat="1" ht="15.75" thickBot="1" x14ac:dyDescent="0.3">
      <c r="A81" s="434"/>
      <c r="B81" s="406"/>
      <c r="C81" s="446"/>
      <c r="D81" s="446"/>
      <c r="E81" s="446"/>
      <c r="F81" s="576"/>
      <c r="G81" s="585"/>
      <c r="H81" s="435"/>
      <c r="I81" s="365"/>
    </row>
    <row r="82" spans="1:9" s="322" customFormat="1" ht="15" thickBot="1" x14ac:dyDescent="0.25">
      <c r="A82" s="447"/>
      <c r="B82" s="448"/>
      <c r="C82" s="449" t="s">
        <v>421</v>
      </c>
      <c r="D82" s="449"/>
      <c r="E82" s="450"/>
      <c r="F82" s="577"/>
      <c r="G82" s="586">
        <f>SUM(G20:G81)</f>
        <v>0</v>
      </c>
      <c r="H82" s="451"/>
      <c r="I82" s="452">
        <f>SUM(I23:I77)</f>
        <v>0</v>
      </c>
    </row>
    <row r="83" spans="1:9" s="315" customFormat="1" ht="15" x14ac:dyDescent="0.25">
      <c r="A83" s="402"/>
      <c r="B83" s="408"/>
      <c r="C83" s="407"/>
      <c r="D83" s="407"/>
      <c r="E83" s="407"/>
      <c r="F83" s="578"/>
      <c r="G83" s="587"/>
      <c r="H83" s="403"/>
      <c r="I83" s="404"/>
    </row>
    <row r="84" spans="1:9" s="640" customFormat="1" ht="15.75" x14ac:dyDescent="0.25">
      <c r="A84" s="626" t="s">
        <v>537</v>
      </c>
      <c r="F84" s="641"/>
      <c r="G84" s="693"/>
      <c r="H84" s="641"/>
      <c r="I84" s="642"/>
    </row>
    <row r="85" spans="1:9" s="638" customFormat="1" ht="15" x14ac:dyDescent="0.25">
      <c r="A85" s="771">
        <v>45</v>
      </c>
      <c r="B85" s="633">
        <v>210201201</v>
      </c>
      <c r="C85" s="634" t="s">
        <v>516</v>
      </c>
      <c r="D85" s="634" t="s">
        <v>275</v>
      </c>
      <c r="E85" s="635">
        <v>7</v>
      </c>
      <c r="F85" s="649"/>
      <c r="G85" s="588">
        <f t="shared" ref="G85:G102" si="0">E85*F85</f>
        <v>0</v>
      </c>
      <c r="H85" s="605">
        <v>0.67800000000000005</v>
      </c>
      <c r="I85" s="637">
        <f t="shared" ref="I85:I102" si="1">E85*H85</f>
        <v>4.7460000000000004</v>
      </c>
    </row>
    <row r="86" spans="1:9" s="638" customFormat="1" ht="15" x14ac:dyDescent="0.25">
      <c r="A86" s="771">
        <v>46</v>
      </c>
      <c r="B86" s="633">
        <v>210201201</v>
      </c>
      <c r="C86" s="634" t="s">
        <v>517</v>
      </c>
      <c r="D86" s="634" t="s">
        <v>275</v>
      </c>
      <c r="E86" s="635">
        <v>6</v>
      </c>
      <c r="F86" s="649"/>
      <c r="G86" s="588">
        <f t="shared" si="0"/>
        <v>0</v>
      </c>
      <c r="H86" s="605">
        <v>0.67800000000000005</v>
      </c>
      <c r="I86" s="637">
        <f t="shared" si="1"/>
        <v>4.0680000000000005</v>
      </c>
    </row>
    <row r="87" spans="1:9" s="638" customFormat="1" ht="15" x14ac:dyDescent="0.25">
      <c r="A87" s="771">
        <v>47</v>
      </c>
      <c r="B87" s="633">
        <v>210201031</v>
      </c>
      <c r="C87" s="634" t="s">
        <v>518</v>
      </c>
      <c r="D87" s="634" t="s">
        <v>275</v>
      </c>
      <c r="E87" s="635">
        <v>8</v>
      </c>
      <c r="F87" s="649"/>
      <c r="G87" s="588">
        <f t="shared" si="0"/>
        <v>0</v>
      </c>
      <c r="H87" s="605">
        <v>0.67800000000000005</v>
      </c>
      <c r="I87" s="637">
        <f t="shared" si="1"/>
        <v>5.4240000000000004</v>
      </c>
    </row>
    <row r="88" spans="1:9" s="638" customFormat="1" ht="15" x14ac:dyDescent="0.25">
      <c r="A88" s="771">
        <v>48</v>
      </c>
      <c r="B88" s="633">
        <v>210201031</v>
      </c>
      <c r="C88" s="634" t="s">
        <v>519</v>
      </c>
      <c r="D88" s="634" t="s">
        <v>275</v>
      </c>
      <c r="E88" s="635">
        <v>10</v>
      </c>
      <c r="F88" s="649"/>
      <c r="G88" s="588">
        <f>E88*F88</f>
        <v>0</v>
      </c>
      <c r="H88" s="605">
        <v>0.67800000000000005</v>
      </c>
      <c r="I88" s="637">
        <f t="shared" si="1"/>
        <v>6.78</v>
      </c>
    </row>
    <row r="89" spans="1:9" s="638" customFormat="1" ht="15" x14ac:dyDescent="0.25">
      <c r="A89" s="771">
        <v>49</v>
      </c>
      <c r="B89" s="633">
        <v>210201201</v>
      </c>
      <c r="C89" s="634" t="s">
        <v>520</v>
      </c>
      <c r="D89" s="634" t="s">
        <v>275</v>
      </c>
      <c r="E89" s="635">
        <v>13</v>
      </c>
      <c r="F89" s="649"/>
      <c r="G89" s="588">
        <f t="shared" si="0"/>
        <v>0</v>
      </c>
      <c r="H89" s="605">
        <v>0.67800000000000005</v>
      </c>
      <c r="I89" s="637">
        <f t="shared" si="1"/>
        <v>8.8140000000000001</v>
      </c>
    </row>
    <row r="90" spans="1:9" s="638" customFormat="1" ht="15" x14ac:dyDescent="0.25">
      <c r="A90" s="771">
        <v>50</v>
      </c>
      <c r="B90" s="633">
        <v>210201201</v>
      </c>
      <c r="C90" s="634" t="s">
        <v>521</v>
      </c>
      <c r="D90" s="634" t="s">
        <v>275</v>
      </c>
      <c r="E90" s="635">
        <v>15</v>
      </c>
      <c r="F90" s="649"/>
      <c r="G90" s="588">
        <f>E90*F90</f>
        <v>0</v>
      </c>
      <c r="H90" s="605">
        <v>0.72</v>
      </c>
      <c r="I90" s="637">
        <f>E90*H90</f>
        <v>10.799999999999999</v>
      </c>
    </row>
    <row r="91" spans="1:9" s="638" customFormat="1" ht="15" x14ac:dyDescent="0.25">
      <c r="A91" s="771">
        <v>51</v>
      </c>
      <c r="B91" s="633">
        <v>210201031</v>
      </c>
      <c r="C91" s="634" t="s">
        <v>522</v>
      </c>
      <c r="D91" s="634" t="s">
        <v>275</v>
      </c>
      <c r="E91" s="635">
        <v>19</v>
      </c>
      <c r="F91" s="649"/>
      <c r="G91" s="588">
        <f t="shared" si="0"/>
        <v>0</v>
      </c>
      <c r="H91" s="605">
        <v>0.67800000000000005</v>
      </c>
      <c r="I91" s="637">
        <f t="shared" si="1"/>
        <v>12.882000000000001</v>
      </c>
    </row>
    <row r="92" spans="1:9" s="638" customFormat="1" ht="15" x14ac:dyDescent="0.25">
      <c r="A92" s="771">
        <v>52</v>
      </c>
      <c r="B92" s="633">
        <v>210201201</v>
      </c>
      <c r="C92" s="634" t="s">
        <v>523</v>
      </c>
      <c r="D92" s="634" t="s">
        <v>275</v>
      </c>
      <c r="E92" s="635">
        <v>12</v>
      </c>
      <c r="F92" s="649"/>
      <c r="G92" s="588">
        <f>E92*F92</f>
        <v>0</v>
      </c>
      <c r="H92" s="605">
        <v>0.72</v>
      </c>
      <c r="I92" s="637">
        <f>E92*H92</f>
        <v>8.64</v>
      </c>
    </row>
    <row r="93" spans="1:9" s="638" customFormat="1" ht="15" x14ac:dyDescent="0.25">
      <c r="A93" s="771">
        <v>53</v>
      </c>
      <c r="B93" s="633">
        <v>210201001</v>
      </c>
      <c r="C93" s="634" t="s">
        <v>524</v>
      </c>
      <c r="D93" s="634" t="s">
        <v>275</v>
      </c>
      <c r="E93" s="635">
        <v>18</v>
      </c>
      <c r="F93" s="649"/>
      <c r="G93" s="588">
        <f t="shared" si="0"/>
        <v>0</v>
      </c>
      <c r="H93" s="605">
        <v>0.52</v>
      </c>
      <c r="I93" s="637">
        <f t="shared" si="1"/>
        <v>9.36</v>
      </c>
    </row>
    <row r="94" spans="1:9" s="638" customFormat="1" ht="15" x14ac:dyDescent="0.25">
      <c r="A94" s="771">
        <v>54</v>
      </c>
      <c r="B94" s="633">
        <v>210201001</v>
      </c>
      <c r="C94" s="634" t="s">
        <v>525</v>
      </c>
      <c r="D94" s="634" t="s">
        <v>275</v>
      </c>
      <c r="E94" s="635">
        <v>29</v>
      </c>
      <c r="F94" s="649"/>
      <c r="G94" s="588">
        <f t="shared" si="0"/>
        <v>0</v>
      </c>
      <c r="H94" s="605">
        <v>0.80100000000000005</v>
      </c>
      <c r="I94" s="637">
        <f t="shared" si="1"/>
        <v>23.229000000000003</v>
      </c>
    </row>
    <row r="95" spans="1:9" s="638" customFormat="1" ht="15" x14ac:dyDescent="0.25">
      <c r="A95" s="771">
        <v>55</v>
      </c>
      <c r="B95" s="633">
        <v>210201201</v>
      </c>
      <c r="C95" s="634" t="s">
        <v>526</v>
      </c>
      <c r="D95" s="634" t="s">
        <v>275</v>
      </c>
      <c r="E95" s="635">
        <v>3</v>
      </c>
      <c r="F95" s="649"/>
      <c r="G95" s="588">
        <f t="shared" si="0"/>
        <v>0</v>
      </c>
      <c r="H95" s="605">
        <v>0.86399999999999999</v>
      </c>
      <c r="I95" s="637">
        <f t="shared" si="1"/>
        <v>2.5920000000000001</v>
      </c>
    </row>
    <row r="96" spans="1:9" s="638" customFormat="1" ht="15" x14ac:dyDescent="0.25">
      <c r="A96" s="771">
        <v>56</v>
      </c>
      <c r="B96" s="633">
        <v>210201201</v>
      </c>
      <c r="C96" s="634" t="s">
        <v>527</v>
      </c>
      <c r="D96" s="634" t="s">
        <v>275</v>
      </c>
      <c r="E96" s="635">
        <v>2</v>
      </c>
      <c r="F96" s="649"/>
      <c r="G96" s="588">
        <f>E96*F96</f>
        <v>0</v>
      </c>
      <c r="H96" s="605">
        <v>0.86399999999999999</v>
      </c>
      <c r="I96" s="637">
        <f>E96*H96</f>
        <v>1.728</v>
      </c>
    </row>
    <row r="97" spans="1:9" s="638" customFormat="1" ht="15" x14ac:dyDescent="0.25">
      <c r="A97" s="771">
        <v>57</v>
      </c>
      <c r="B97" s="633">
        <v>210201023</v>
      </c>
      <c r="C97" s="634" t="s">
        <v>528</v>
      </c>
      <c r="D97" s="634" t="s">
        <v>275</v>
      </c>
      <c r="E97" s="635">
        <v>1</v>
      </c>
      <c r="F97" s="649"/>
      <c r="G97" s="588">
        <f>E97*F97</f>
        <v>0</v>
      </c>
      <c r="H97" s="605">
        <v>0.86399999999999999</v>
      </c>
      <c r="I97" s="637">
        <f>E97*H97</f>
        <v>0.86399999999999999</v>
      </c>
    </row>
    <row r="98" spans="1:9" s="638" customFormat="1" ht="15" x14ac:dyDescent="0.25">
      <c r="A98" s="771">
        <v>58</v>
      </c>
      <c r="B98" s="633">
        <v>210201023</v>
      </c>
      <c r="C98" s="634" t="s">
        <v>529</v>
      </c>
      <c r="D98" s="634" t="s">
        <v>275</v>
      </c>
      <c r="E98" s="635">
        <v>9</v>
      </c>
      <c r="F98" s="649"/>
      <c r="G98" s="588">
        <f t="shared" si="0"/>
        <v>0</v>
      </c>
      <c r="H98" s="605">
        <v>1.17</v>
      </c>
      <c r="I98" s="637">
        <f t="shared" si="1"/>
        <v>10.53</v>
      </c>
    </row>
    <row r="99" spans="1:9" s="638" customFormat="1" ht="15" x14ac:dyDescent="0.25">
      <c r="A99" s="771">
        <v>59</v>
      </c>
      <c r="B99" s="633">
        <v>210201023</v>
      </c>
      <c r="C99" s="634" t="s">
        <v>530</v>
      </c>
      <c r="D99" s="634" t="s">
        <v>275</v>
      </c>
      <c r="E99" s="635">
        <v>5</v>
      </c>
      <c r="F99" s="649"/>
      <c r="G99" s="588">
        <f t="shared" si="0"/>
        <v>0</v>
      </c>
      <c r="H99" s="605">
        <v>1.17</v>
      </c>
      <c r="I99" s="637">
        <f t="shared" si="1"/>
        <v>5.85</v>
      </c>
    </row>
    <row r="100" spans="1:9" s="638" customFormat="1" ht="15" x14ac:dyDescent="0.25">
      <c r="A100" s="771">
        <v>60</v>
      </c>
      <c r="B100" s="633">
        <v>210201052</v>
      </c>
      <c r="C100" s="634" t="s">
        <v>531</v>
      </c>
      <c r="D100" s="634" t="s">
        <v>275</v>
      </c>
      <c r="E100" s="635">
        <v>13</v>
      </c>
      <c r="F100" s="649"/>
      <c r="G100" s="588">
        <f t="shared" si="0"/>
        <v>0</v>
      </c>
      <c r="H100" s="605">
        <v>0.91200000000000003</v>
      </c>
      <c r="I100" s="637">
        <f t="shared" si="1"/>
        <v>11.856</v>
      </c>
    </row>
    <row r="101" spans="1:9" s="638" customFormat="1" ht="15" x14ac:dyDescent="0.25">
      <c r="A101" s="771">
        <v>61</v>
      </c>
      <c r="B101" s="633">
        <v>210201053</v>
      </c>
      <c r="C101" s="634" t="s">
        <v>532</v>
      </c>
      <c r="D101" s="634" t="s">
        <v>275</v>
      </c>
      <c r="E101" s="635">
        <v>10</v>
      </c>
      <c r="F101" s="649"/>
      <c r="G101" s="588">
        <f t="shared" si="0"/>
        <v>0</v>
      </c>
      <c r="H101" s="605">
        <v>1.012</v>
      </c>
      <c r="I101" s="637">
        <f t="shared" si="1"/>
        <v>10.120000000000001</v>
      </c>
    </row>
    <row r="102" spans="1:9" s="638" customFormat="1" ht="15" x14ac:dyDescent="0.25">
      <c r="A102" s="771">
        <v>62</v>
      </c>
      <c r="B102" s="633">
        <v>210201003</v>
      </c>
      <c r="C102" s="634" t="s">
        <v>533</v>
      </c>
      <c r="D102" s="634" t="s">
        <v>275</v>
      </c>
      <c r="E102" s="635">
        <v>5</v>
      </c>
      <c r="F102" s="649"/>
      <c r="G102" s="588">
        <f t="shared" si="0"/>
        <v>0</v>
      </c>
      <c r="H102" s="605">
        <v>1.1719999999999999</v>
      </c>
      <c r="I102" s="637">
        <f t="shared" si="1"/>
        <v>5.8599999999999994</v>
      </c>
    </row>
    <row r="103" spans="1:9" s="638" customFormat="1" ht="15" x14ac:dyDescent="0.25">
      <c r="A103" s="771">
        <v>63</v>
      </c>
      <c r="B103" s="633">
        <v>210201053</v>
      </c>
      <c r="C103" s="634" t="s">
        <v>534</v>
      </c>
      <c r="D103" s="634" t="s">
        <v>275</v>
      </c>
      <c r="E103" s="635">
        <v>4</v>
      </c>
      <c r="F103" s="649"/>
      <c r="G103" s="588">
        <f>E103*F103</f>
        <v>0</v>
      </c>
      <c r="H103" s="605">
        <v>1.012</v>
      </c>
      <c r="I103" s="637">
        <f>E103*H103</f>
        <v>4.048</v>
      </c>
    </row>
    <row r="104" spans="1:9" s="638" customFormat="1" ht="15" x14ac:dyDescent="0.25">
      <c r="A104" s="771">
        <v>64</v>
      </c>
      <c r="B104" s="633">
        <v>210201052</v>
      </c>
      <c r="C104" s="634" t="s">
        <v>535</v>
      </c>
      <c r="D104" s="634" t="s">
        <v>275</v>
      </c>
      <c r="E104" s="635">
        <v>8</v>
      </c>
      <c r="F104" s="649"/>
      <c r="G104" s="588">
        <f>E104*F104</f>
        <v>0</v>
      </c>
      <c r="H104" s="605">
        <v>0.91200000000000003</v>
      </c>
      <c r="I104" s="637">
        <f>E104*H104</f>
        <v>7.2960000000000003</v>
      </c>
    </row>
    <row r="105" spans="1:9" s="638" customFormat="1" ht="15" x14ac:dyDescent="0.25">
      <c r="A105" s="771">
        <v>65</v>
      </c>
      <c r="B105" s="633">
        <v>210201052</v>
      </c>
      <c r="C105" s="634" t="s">
        <v>536</v>
      </c>
      <c r="D105" s="634" t="s">
        <v>275</v>
      </c>
      <c r="E105" s="635">
        <v>5</v>
      </c>
      <c r="F105" s="649"/>
      <c r="G105" s="588">
        <f>E105*F105</f>
        <v>0</v>
      </c>
      <c r="H105" s="605">
        <v>0.91200000000000003</v>
      </c>
      <c r="I105" s="637">
        <f>E105*H105</f>
        <v>4.5600000000000005</v>
      </c>
    </row>
    <row r="106" spans="1:9" s="638" customFormat="1" ht="13.5" thickBot="1" x14ac:dyDescent="0.25">
      <c r="A106" s="643"/>
      <c r="B106" s="644"/>
      <c r="C106" s="645"/>
      <c r="D106" s="645"/>
      <c r="E106" s="646"/>
      <c r="F106" s="647"/>
      <c r="G106" s="694"/>
      <c r="H106" s="647"/>
      <c r="I106" s="648"/>
    </row>
    <row r="107" spans="1:9" s="442" customFormat="1" ht="15" thickBot="1" x14ac:dyDescent="0.25">
      <c r="A107" s="772"/>
      <c r="B107" s="773"/>
      <c r="C107" s="774" t="s">
        <v>114</v>
      </c>
      <c r="D107" s="774"/>
      <c r="E107" s="775"/>
      <c r="F107" s="776"/>
      <c r="G107" s="777">
        <f>SUM(G85:G106)</f>
        <v>0</v>
      </c>
      <c r="H107" s="778"/>
      <c r="I107" s="779">
        <f>SUM(I85:I106)</f>
        <v>160.04699999999997</v>
      </c>
    </row>
    <row r="108" spans="1:9" s="638" customFormat="1" x14ac:dyDescent="0.2">
      <c r="A108" s="643"/>
      <c r="B108" s="644"/>
      <c r="C108" s="645"/>
      <c r="D108" s="645"/>
      <c r="E108" s="646"/>
      <c r="F108" s="647"/>
      <c r="G108" s="694"/>
      <c r="H108" s="647"/>
      <c r="I108" s="648"/>
    </row>
    <row r="109" spans="1:9" s="421" customFormat="1" ht="15.75" x14ac:dyDescent="0.25">
      <c r="A109" s="780" t="s">
        <v>300</v>
      </c>
      <c r="B109" s="781"/>
      <c r="C109" s="782"/>
      <c r="D109" s="782"/>
      <c r="E109" s="783"/>
      <c r="F109" s="784"/>
      <c r="G109" s="785"/>
      <c r="H109" s="786"/>
      <c r="I109" s="787"/>
    </row>
    <row r="110" spans="1:9" s="620" customFormat="1" ht="15" x14ac:dyDescent="0.25">
      <c r="A110" s="615">
        <v>66</v>
      </c>
      <c r="B110" s="616">
        <v>171107</v>
      </c>
      <c r="C110" s="617" t="s">
        <v>328</v>
      </c>
      <c r="D110" s="617" t="s">
        <v>435</v>
      </c>
      <c r="E110" s="618">
        <v>126</v>
      </c>
      <c r="F110" s="850"/>
      <c r="G110" s="845">
        <f t="shared" ref="G110:G133" si="2">E110*F110</f>
        <v>0</v>
      </c>
      <c r="H110" s="846">
        <v>0</v>
      </c>
      <c r="I110" s="619">
        <f t="shared" ref="I110:I133" si="3">E110*H110</f>
        <v>0</v>
      </c>
    </row>
    <row r="111" spans="1:9" s="620" customFormat="1" ht="15" x14ac:dyDescent="0.25">
      <c r="A111" s="615">
        <v>67</v>
      </c>
      <c r="B111" s="616">
        <v>171110</v>
      </c>
      <c r="C111" s="617" t="s">
        <v>538</v>
      </c>
      <c r="D111" s="617" t="s">
        <v>435</v>
      </c>
      <c r="E111" s="618">
        <v>70</v>
      </c>
      <c r="F111" s="850"/>
      <c r="G111" s="845">
        <f t="shared" si="2"/>
        <v>0</v>
      </c>
      <c r="H111" s="846">
        <v>0</v>
      </c>
      <c r="I111" s="619">
        <f t="shared" si="3"/>
        <v>0</v>
      </c>
    </row>
    <row r="112" spans="1:9" s="620" customFormat="1" ht="15" x14ac:dyDescent="0.25">
      <c r="A112" s="615">
        <v>68</v>
      </c>
      <c r="B112" s="616">
        <v>101005</v>
      </c>
      <c r="C112" s="617" t="s">
        <v>355</v>
      </c>
      <c r="D112" s="617" t="s">
        <v>435</v>
      </c>
      <c r="E112" s="618">
        <v>381</v>
      </c>
      <c r="F112" s="850"/>
      <c r="G112" s="845">
        <f t="shared" si="2"/>
        <v>0</v>
      </c>
      <c r="H112" s="846">
        <v>0</v>
      </c>
      <c r="I112" s="619">
        <f t="shared" si="3"/>
        <v>0</v>
      </c>
    </row>
    <row r="113" spans="1:9" s="620" customFormat="1" ht="15" x14ac:dyDescent="0.25">
      <c r="A113" s="615">
        <v>69</v>
      </c>
      <c r="B113" s="616">
        <v>101105</v>
      </c>
      <c r="C113" s="617" t="s">
        <v>356</v>
      </c>
      <c r="D113" s="617" t="s">
        <v>435</v>
      </c>
      <c r="E113" s="618">
        <v>233</v>
      </c>
      <c r="F113" s="850"/>
      <c r="G113" s="845">
        <f t="shared" si="2"/>
        <v>0</v>
      </c>
      <c r="H113" s="846">
        <v>0</v>
      </c>
      <c r="I113" s="619">
        <f t="shared" si="3"/>
        <v>0</v>
      </c>
    </row>
    <row r="114" spans="1:9" s="620" customFormat="1" ht="15" x14ac:dyDescent="0.25">
      <c r="A114" s="615">
        <v>70</v>
      </c>
      <c r="B114" s="616">
        <v>101105</v>
      </c>
      <c r="C114" s="617" t="s">
        <v>871</v>
      </c>
      <c r="D114" s="617" t="s">
        <v>435</v>
      </c>
      <c r="E114" s="618">
        <v>1189</v>
      </c>
      <c r="F114" s="850"/>
      <c r="G114" s="845">
        <f t="shared" si="2"/>
        <v>0</v>
      </c>
      <c r="H114" s="846">
        <v>0</v>
      </c>
      <c r="I114" s="619">
        <f t="shared" si="3"/>
        <v>0</v>
      </c>
    </row>
    <row r="115" spans="1:9" s="620" customFormat="1" ht="15" x14ac:dyDescent="0.25">
      <c r="A115" s="615">
        <v>71</v>
      </c>
      <c r="B115" s="616">
        <v>101106</v>
      </c>
      <c r="C115" s="617" t="s">
        <v>301</v>
      </c>
      <c r="D115" s="617" t="s">
        <v>435</v>
      </c>
      <c r="E115" s="618">
        <v>1158</v>
      </c>
      <c r="F115" s="850"/>
      <c r="G115" s="845">
        <f t="shared" si="2"/>
        <v>0</v>
      </c>
      <c r="H115" s="846">
        <v>0</v>
      </c>
      <c r="I115" s="619">
        <f t="shared" si="3"/>
        <v>0</v>
      </c>
    </row>
    <row r="116" spans="1:9" s="620" customFormat="1" ht="15" x14ac:dyDescent="0.25">
      <c r="A116" s="615">
        <v>72</v>
      </c>
      <c r="B116" s="616">
        <v>101305</v>
      </c>
      <c r="C116" s="617" t="s">
        <v>302</v>
      </c>
      <c r="D116" s="617" t="s">
        <v>435</v>
      </c>
      <c r="E116" s="618">
        <v>254</v>
      </c>
      <c r="F116" s="850"/>
      <c r="G116" s="845">
        <f t="shared" si="2"/>
        <v>0</v>
      </c>
      <c r="H116" s="846">
        <v>0</v>
      </c>
      <c r="I116" s="619">
        <f t="shared" si="3"/>
        <v>0</v>
      </c>
    </row>
    <row r="117" spans="1:9" s="620" customFormat="1" ht="15" x14ac:dyDescent="0.25">
      <c r="A117" s="615">
        <v>73</v>
      </c>
      <c r="B117" s="616">
        <v>101307</v>
      </c>
      <c r="C117" s="617" t="s">
        <v>539</v>
      </c>
      <c r="D117" s="617" t="s">
        <v>435</v>
      </c>
      <c r="E117" s="618">
        <v>31</v>
      </c>
      <c r="F117" s="850"/>
      <c r="G117" s="845">
        <f t="shared" si="2"/>
        <v>0</v>
      </c>
      <c r="H117" s="846">
        <v>0</v>
      </c>
      <c r="I117" s="619">
        <f t="shared" si="3"/>
        <v>0</v>
      </c>
    </row>
    <row r="118" spans="1:9" s="620" customFormat="1" ht="15" x14ac:dyDescent="0.25">
      <c r="A118" s="615">
        <v>74</v>
      </c>
      <c r="B118" s="616">
        <v>101405</v>
      </c>
      <c r="C118" s="617" t="s">
        <v>426</v>
      </c>
      <c r="D118" s="617" t="s">
        <v>435</v>
      </c>
      <c r="E118" s="618">
        <v>146</v>
      </c>
      <c r="F118" s="850"/>
      <c r="G118" s="845">
        <f t="shared" si="2"/>
        <v>0</v>
      </c>
      <c r="H118" s="846">
        <v>0</v>
      </c>
      <c r="I118" s="619">
        <f t="shared" si="3"/>
        <v>0</v>
      </c>
    </row>
    <row r="119" spans="1:9" s="620" customFormat="1" ht="15" x14ac:dyDescent="0.25">
      <c r="A119" s="615">
        <v>75</v>
      </c>
      <c r="B119" s="616">
        <v>101505</v>
      </c>
      <c r="C119" s="617" t="s">
        <v>540</v>
      </c>
      <c r="D119" s="617" t="s">
        <v>435</v>
      </c>
      <c r="E119" s="618">
        <v>33</v>
      </c>
      <c r="F119" s="850"/>
      <c r="G119" s="845">
        <f t="shared" si="2"/>
        <v>0</v>
      </c>
      <c r="H119" s="846">
        <v>0</v>
      </c>
      <c r="I119" s="619">
        <f t="shared" si="3"/>
        <v>0</v>
      </c>
    </row>
    <row r="120" spans="1:9" s="620" customFormat="1" ht="15" x14ac:dyDescent="0.25">
      <c r="A120" s="615">
        <v>76</v>
      </c>
      <c r="B120" s="616">
        <v>142310</v>
      </c>
      <c r="C120" s="617" t="s">
        <v>872</v>
      </c>
      <c r="D120" s="617" t="s">
        <v>435</v>
      </c>
      <c r="E120" s="618">
        <v>72</v>
      </c>
      <c r="F120" s="850"/>
      <c r="G120" s="845">
        <f t="shared" si="2"/>
        <v>0</v>
      </c>
      <c r="H120" s="846">
        <v>0</v>
      </c>
      <c r="I120" s="619">
        <f t="shared" si="3"/>
        <v>0</v>
      </c>
    </row>
    <row r="121" spans="1:9" s="620" customFormat="1" ht="15" x14ac:dyDescent="0.25">
      <c r="A121" s="615">
        <v>77</v>
      </c>
      <c r="B121" s="616">
        <v>142311</v>
      </c>
      <c r="C121" s="617" t="s">
        <v>873</v>
      </c>
      <c r="D121" s="617" t="s">
        <v>435</v>
      </c>
      <c r="E121" s="618">
        <v>87</v>
      </c>
      <c r="F121" s="850"/>
      <c r="G121" s="845">
        <f t="shared" si="2"/>
        <v>0</v>
      </c>
      <c r="H121" s="846">
        <v>0</v>
      </c>
      <c r="I121" s="619">
        <f t="shared" si="3"/>
        <v>0</v>
      </c>
    </row>
    <row r="122" spans="1:9" s="620" customFormat="1" ht="15" x14ac:dyDescent="0.25">
      <c r="A122" s="615">
        <v>78</v>
      </c>
      <c r="B122" s="616">
        <v>204210</v>
      </c>
      <c r="C122" s="617" t="s">
        <v>874</v>
      </c>
      <c r="D122" s="617" t="s">
        <v>435</v>
      </c>
      <c r="E122" s="618">
        <v>72</v>
      </c>
      <c r="F122" s="850"/>
      <c r="G122" s="845">
        <f t="shared" si="2"/>
        <v>0</v>
      </c>
      <c r="H122" s="846">
        <v>0</v>
      </c>
      <c r="I122" s="619">
        <f t="shared" si="3"/>
        <v>0</v>
      </c>
    </row>
    <row r="123" spans="1:9" s="620" customFormat="1" ht="15" x14ac:dyDescent="0.25">
      <c r="A123" s="615">
        <v>79</v>
      </c>
      <c r="B123" s="616">
        <v>209404</v>
      </c>
      <c r="C123" s="617" t="s">
        <v>875</v>
      </c>
      <c r="D123" s="617" t="s">
        <v>435</v>
      </c>
      <c r="E123" s="618">
        <v>102</v>
      </c>
      <c r="F123" s="850"/>
      <c r="G123" s="845">
        <f t="shared" si="2"/>
        <v>0</v>
      </c>
      <c r="H123" s="846">
        <v>0</v>
      </c>
      <c r="I123" s="619">
        <f t="shared" si="3"/>
        <v>0</v>
      </c>
    </row>
    <row r="124" spans="1:9" s="620" customFormat="1" ht="15" x14ac:dyDescent="0.25">
      <c r="A124" s="615">
        <v>80</v>
      </c>
      <c r="B124" s="616">
        <v>191408</v>
      </c>
      <c r="C124" s="617" t="s">
        <v>303</v>
      </c>
      <c r="D124" s="617" t="s">
        <v>275</v>
      </c>
      <c r="E124" s="618">
        <v>48</v>
      </c>
      <c r="F124" s="850"/>
      <c r="G124" s="845">
        <f t="shared" si="2"/>
        <v>0</v>
      </c>
      <c r="H124" s="846">
        <v>0</v>
      </c>
      <c r="I124" s="619">
        <f t="shared" si="3"/>
        <v>0</v>
      </c>
    </row>
    <row r="125" spans="1:9" s="620" customFormat="1" ht="15" x14ac:dyDescent="0.25">
      <c r="A125" s="615">
        <v>81</v>
      </c>
      <c r="B125" s="616">
        <v>190108</v>
      </c>
      <c r="C125" s="617" t="s">
        <v>304</v>
      </c>
      <c r="D125" s="617" t="s">
        <v>275</v>
      </c>
      <c r="E125" s="618">
        <v>144</v>
      </c>
      <c r="F125" s="850"/>
      <c r="G125" s="845">
        <f t="shared" si="2"/>
        <v>0</v>
      </c>
      <c r="H125" s="846">
        <v>0</v>
      </c>
      <c r="I125" s="619">
        <f t="shared" si="3"/>
        <v>0</v>
      </c>
    </row>
    <row r="126" spans="1:9" s="620" customFormat="1" ht="15" x14ac:dyDescent="0.25">
      <c r="A126" s="615">
        <v>82</v>
      </c>
      <c r="B126" s="616">
        <v>125</v>
      </c>
      <c r="C126" s="617" t="s">
        <v>413</v>
      </c>
      <c r="D126" s="617" t="s">
        <v>435</v>
      </c>
      <c r="E126" s="618">
        <v>0.6</v>
      </c>
      <c r="F126" s="850"/>
      <c r="G126" s="845">
        <f t="shared" si="2"/>
        <v>0</v>
      </c>
      <c r="H126" s="846">
        <v>0</v>
      </c>
      <c r="I126" s="619">
        <f t="shared" si="3"/>
        <v>0</v>
      </c>
    </row>
    <row r="127" spans="1:9" s="620" customFormat="1" ht="15" x14ac:dyDescent="0.25">
      <c r="A127" s="615">
        <v>83</v>
      </c>
      <c r="B127" s="616">
        <v>191510</v>
      </c>
      <c r="C127" s="617" t="s">
        <v>410</v>
      </c>
      <c r="D127" s="617" t="s">
        <v>275</v>
      </c>
      <c r="E127" s="618">
        <v>4</v>
      </c>
      <c r="F127" s="850"/>
      <c r="G127" s="845">
        <f t="shared" si="2"/>
        <v>0</v>
      </c>
      <c r="H127" s="846">
        <v>0</v>
      </c>
      <c r="I127" s="619">
        <f t="shared" si="3"/>
        <v>0</v>
      </c>
    </row>
    <row r="128" spans="1:9" s="620" customFormat="1" ht="15" x14ac:dyDescent="0.25">
      <c r="A128" s="615">
        <v>84</v>
      </c>
      <c r="B128" s="616">
        <v>190110</v>
      </c>
      <c r="C128" s="617" t="s">
        <v>411</v>
      </c>
      <c r="D128" s="617" t="s">
        <v>275</v>
      </c>
      <c r="E128" s="618">
        <v>16</v>
      </c>
      <c r="F128" s="850"/>
      <c r="G128" s="845">
        <f t="shared" si="2"/>
        <v>0</v>
      </c>
      <c r="H128" s="846">
        <v>0</v>
      </c>
      <c r="I128" s="619">
        <f t="shared" si="3"/>
        <v>0</v>
      </c>
    </row>
    <row r="129" spans="1:9" s="620" customFormat="1" ht="15" x14ac:dyDescent="0.25">
      <c r="A129" s="615">
        <v>85</v>
      </c>
      <c r="B129" s="616">
        <v>191511</v>
      </c>
      <c r="C129" s="617" t="s">
        <v>412</v>
      </c>
      <c r="D129" s="617" t="s">
        <v>275</v>
      </c>
      <c r="E129" s="618">
        <v>4</v>
      </c>
      <c r="F129" s="850"/>
      <c r="G129" s="845">
        <f t="shared" si="2"/>
        <v>0</v>
      </c>
      <c r="H129" s="846">
        <v>0</v>
      </c>
      <c r="I129" s="619">
        <f t="shared" si="3"/>
        <v>0</v>
      </c>
    </row>
    <row r="130" spans="1:9" s="620" customFormat="1" ht="15" x14ac:dyDescent="0.25">
      <c r="A130" s="615">
        <v>86</v>
      </c>
      <c r="B130" s="616">
        <v>190110</v>
      </c>
      <c r="C130" s="617" t="s">
        <v>411</v>
      </c>
      <c r="D130" s="617" t="s">
        <v>275</v>
      </c>
      <c r="E130" s="618">
        <v>4</v>
      </c>
      <c r="F130" s="850"/>
      <c r="G130" s="845">
        <f t="shared" si="2"/>
        <v>0</v>
      </c>
      <c r="H130" s="846">
        <v>0</v>
      </c>
      <c r="I130" s="619">
        <f t="shared" si="3"/>
        <v>0</v>
      </c>
    </row>
    <row r="131" spans="1:9" s="620" customFormat="1" ht="15" x14ac:dyDescent="0.25">
      <c r="A131" s="615">
        <v>87</v>
      </c>
      <c r="B131" s="616">
        <v>190111</v>
      </c>
      <c r="C131" s="617" t="s">
        <v>357</v>
      </c>
      <c r="D131" s="617" t="s">
        <v>275</v>
      </c>
      <c r="E131" s="618">
        <v>12</v>
      </c>
      <c r="F131" s="850"/>
      <c r="G131" s="845">
        <f t="shared" si="2"/>
        <v>0</v>
      </c>
      <c r="H131" s="846">
        <v>0</v>
      </c>
      <c r="I131" s="619">
        <f t="shared" si="3"/>
        <v>0</v>
      </c>
    </row>
    <row r="132" spans="1:9" s="620" customFormat="1" ht="15" x14ac:dyDescent="0.25">
      <c r="A132" s="615">
        <v>88</v>
      </c>
      <c r="B132" s="616">
        <v>124</v>
      </c>
      <c r="C132" s="617" t="s">
        <v>541</v>
      </c>
      <c r="D132" s="617" t="s">
        <v>435</v>
      </c>
      <c r="E132" s="618">
        <v>0.42</v>
      </c>
      <c r="F132" s="850"/>
      <c r="G132" s="845">
        <f t="shared" si="2"/>
        <v>0</v>
      </c>
      <c r="H132" s="846">
        <v>0</v>
      </c>
      <c r="I132" s="619">
        <f t="shared" si="3"/>
        <v>0</v>
      </c>
    </row>
    <row r="133" spans="1:9" s="852" customFormat="1" ht="15" x14ac:dyDescent="0.25">
      <c r="A133" s="615">
        <v>89</v>
      </c>
      <c r="B133" s="616">
        <v>125</v>
      </c>
      <c r="C133" s="617" t="s">
        <v>413</v>
      </c>
      <c r="D133" s="617" t="s">
        <v>435</v>
      </c>
      <c r="E133" s="618">
        <v>0.2</v>
      </c>
      <c r="F133" s="850"/>
      <c r="G133" s="845">
        <f t="shared" si="2"/>
        <v>0</v>
      </c>
      <c r="H133" s="846">
        <v>0</v>
      </c>
      <c r="I133" s="619">
        <f t="shared" si="3"/>
        <v>0</v>
      </c>
    </row>
    <row r="134" spans="1:9" s="853" customFormat="1" ht="15" x14ac:dyDescent="0.25">
      <c r="A134" s="366"/>
      <c r="B134" s="796"/>
      <c r="C134" s="797" t="s">
        <v>329</v>
      </c>
      <c r="D134" s="798"/>
      <c r="E134" s="799"/>
      <c r="F134" s="550"/>
      <c r="G134" s="800"/>
      <c r="H134" s="801"/>
      <c r="I134" s="802"/>
    </row>
    <row r="135" spans="1:9" s="620" customFormat="1" ht="15" x14ac:dyDescent="0.25">
      <c r="A135" s="615">
        <v>90</v>
      </c>
      <c r="B135" s="616">
        <v>313131</v>
      </c>
      <c r="C135" s="617" t="s">
        <v>542</v>
      </c>
      <c r="D135" s="617" t="s">
        <v>275</v>
      </c>
      <c r="E135" s="618">
        <v>172</v>
      </c>
      <c r="F135" s="850"/>
      <c r="G135" s="845">
        <f t="shared" ref="G135:G175" si="4">E135*F135</f>
        <v>0</v>
      </c>
      <c r="H135" s="846">
        <v>0</v>
      </c>
      <c r="I135" s="619">
        <f t="shared" ref="I135:I175" si="5">E135*H135</f>
        <v>0</v>
      </c>
    </row>
    <row r="136" spans="1:9" s="620" customFormat="1" ht="15" x14ac:dyDescent="0.25">
      <c r="A136" s="615">
        <v>91</v>
      </c>
      <c r="B136" s="616">
        <v>313132</v>
      </c>
      <c r="C136" s="617" t="s">
        <v>543</v>
      </c>
      <c r="D136" s="617" t="s">
        <v>275</v>
      </c>
      <c r="E136" s="618">
        <v>1</v>
      </c>
      <c r="F136" s="850"/>
      <c r="G136" s="845">
        <f t="shared" si="4"/>
        <v>0</v>
      </c>
      <c r="H136" s="846">
        <v>0</v>
      </c>
      <c r="I136" s="619">
        <f t="shared" si="5"/>
        <v>0</v>
      </c>
    </row>
    <row r="137" spans="1:9" s="620" customFormat="1" ht="15" x14ac:dyDescent="0.25">
      <c r="A137" s="615">
        <v>92</v>
      </c>
      <c r="B137" s="616">
        <v>311111</v>
      </c>
      <c r="C137" s="617" t="s">
        <v>876</v>
      </c>
      <c r="D137" s="617" t="s">
        <v>275</v>
      </c>
      <c r="E137" s="618">
        <v>38</v>
      </c>
      <c r="F137" s="850"/>
      <c r="G137" s="845">
        <f t="shared" si="4"/>
        <v>0</v>
      </c>
      <c r="H137" s="846">
        <v>0</v>
      </c>
      <c r="I137" s="619">
        <f t="shared" si="5"/>
        <v>0</v>
      </c>
    </row>
    <row r="138" spans="1:9" s="620" customFormat="1" ht="15" x14ac:dyDescent="0.25">
      <c r="A138" s="615">
        <v>93</v>
      </c>
      <c r="B138" s="616">
        <v>312002</v>
      </c>
      <c r="C138" s="617" t="s">
        <v>877</v>
      </c>
      <c r="D138" s="617" t="s">
        <v>275</v>
      </c>
      <c r="E138" s="618">
        <v>3</v>
      </c>
      <c r="F138" s="850"/>
      <c r="G138" s="845">
        <f t="shared" si="4"/>
        <v>0</v>
      </c>
      <c r="H138" s="846">
        <v>0</v>
      </c>
      <c r="I138" s="619">
        <f t="shared" si="5"/>
        <v>0</v>
      </c>
    </row>
    <row r="139" spans="1:9" s="620" customFormat="1" ht="15" x14ac:dyDescent="0.25">
      <c r="A139" s="615">
        <v>94</v>
      </c>
      <c r="B139" s="616">
        <v>312012</v>
      </c>
      <c r="C139" s="617" t="s">
        <v>878</v>
      </c>
      <c r="D139" s="617" t="s">
        <v>275</v>
      </c>
      <c r="E139" s="618">
        <v>16</v>
      </c>
      <c r="F139" s="850"/>
      <c r="G139" s="845">
        <f t="shared" si="4"/>
        <v>0</v>
      </c>
      <c r="H139" s="846">
        <v>0</v>
      </c>
      <c r="I139" s="619">
        <f t="shared" si="5"/>
        <v>0</v>
      </c>
    </row>
    <row r="140" spans="1:9" s="620" customFormat="1" ht="15" x14ac:dyDescent="0.25">
      <c r="A140" s="615">
        <v>95</v>
      </c>
      <c r="B140" s="616">
        <v>321122</v>
      </c>
      <c r="C140" s="617" t="s">
        <v>879</v>
      </c>
      <c r="D140" s="617" t="s">
        <v>435</v>
      </c>
      <c r="E140" s="618">
        <v>86</v>
      </c>
      <c r="F140" s="850"/>
      <c r="G140" s="845">
        <f t="shared" si="4"/>
        <v>0</v>
      </c>
      <c r="H140" s="846">
        <v>0</v>
      </c>
      <c r="I140" s="619">
        <f t="shared" si="5"/>
        <v>0</v>
      </c>
    </row>
    <row r="141" spans="1:9" s="620" customFormat="1" ht="15" x14ac:dyDescent="0.25">
      <c r="A141" s="615">
        <v>96</v>
      </c>
      <c r="B141" s="616">
        <v>321133</v>
      </c>
      <c r="C141" s="617" t="s">
        <v>880</v>
      </c>
      <c r="D141" s="617" t="s">
        <v>435</v>
      </c>
      <c r="E141" s="618">
        <v>32</v>
      </c>
      <c r="F141" s="850"/>
      <c r="G141" s="845">
        <f t="shared" si="4"/>
        <v>0</v>
      </c>
      <c r="H141" s="846">
        <v>0</v>
      </c>
      <c r="I141" s="619">
        <f t="shared" si="5"/>
        <v>0</v>
      </c>
    </row>
    <row r="142" spans="1:9" s="620" customFormat="1" ht="15" x14ac:dyDescent="0.25">
      <c r="A142" s="615">
        <v>97</v>
      </c>
      <c r="B142" s="616">
        <v>333101</v>
      </c>
      <c r="C142" s="617" t="s">
        <v>881</v>
      </c>
      <c r="D142" s="617" t="s">
        <v>435</v>
      </c>
      <c r="E142" s="618">
        <v>128</v>
      </c>
      <c r="F142" s="850"/>
      <c r="G142" s="845">
        <f t="shared" si="4"/>
        <v>0</v>
      </c>
      <c r="H142" s="846">
        <v>0</v>
      </c>
      <c r="I142" s="619">
        <f t="shared" si="5"/>
        <v>0</v>
      </c>
    </row>
    <row r="143" spans="1:9" s="620" customFormat="1" ht="15" x14ac:dyDescent="0.25">
      <c r="A143" s="615">
        <v>98</v>
      </c>
      <c r="B143" s="616">
        <v>333104</v>
      </c>
      <c r="C143" s="617" t="s">
        <v>882</v>
      </c>
      <c r="D143" s="617" t="s">
        <v>275</v>
      </c>
      <c r="E143" s="618">
        <v>8</v>
      </c>
      <c r="F143" s="850"/>
      <c r="G143" s="845">
        <f t="shared" si="4"/>
        <v>0</v>
      </c>
      <c r="H143" s="846">
        <v>0</v>
      </c>
      <c r="I143" s="619">
        <f t="shared" si="5"/>
        <v>0</v>
      </c>
    </row>
    <row r="144" spans="1:9" s="620" customFormat="1" ht="15" x14ac:dyDescent="0.25">
      <c r="A144" s="615">
        <v>99</v>
      </c>
      <c r="B144" s="616">
        <v>333105</v>
      </c>
      <c r="C144" s="617" t="s">
        <v>883</v>
      </c>
      <c r="D144" s="617" t="s">
        <v>275</v>
      </c>
      <c r="E144" s="618">
        <v>2</v>
      </c>
      <c r="F144" s="850"/>
      <c r="G144" s="845">
        <f t="shared" si="4"/>
        <v>0</v>
      </c>
      <c r="H144" s="846">
        <v>0</v>
      </c>
      <c r="I144" s="619">
        <f t="shared" si="5"/>
        <v>0</v>
      </c>
    </row>
    <row r="145" spans="1:9" s="620" customFormat="1" ht="15" x14ac:dyDescent="0.25">
      <c r="A145" s="615">
        <v>100</v>
      </c>
      <c r="B145" s="616">
        <v>333131</v>
      </c>
      <c r="C145" s="617" t="s">
        <v>884</v>
      </c>
      <c r="D145" s="617" t="s">
        <v>435</v>
      </c>
      <c r="E145" s="618">
        <v>64</v>
      </c>
      <c r="F145" s="850"/>
      <c r="G145" s="845">
        <f t="shared" si="4"/>
        <v>0</v>
      </c>
      <c r="H145" s="846">
        <v>0</v>
      </c>
      <c r="I145" s="619">
        <f t="shared" si="5"/>
        <v>0</v>
      </c>
    </row>
    <row r="146" spans="1:9" s="620" customFormat="1" ht="15" x14ac:dyDescent="0.25">
      <c r="A146" s="615">
        <v>101</v>
      </c>
      <c r="B146" s="616">
        <v>333151</v>
      </c>
      <c r="C146" s="617" t="s">
        <v>545</v>
      </c>
      <c r="D146" s="617" t="s">
        <v>435</v>
      </c>
      <c r="E146" s="618">
        <v>206</v>
      </c>
      <c r="F146" s="850"/>
      <c r="G146" s="845">
        <f t="shared" si="4"/>
        <v>0</v>
      </c>
      <c r="H146" s="846">
        <v>0</v>
      </c>
      <c r="I146" s="619">
        <f t="shared" si="5"/>
        <v>0</v>
      </c>
    </row>
    <row r="147" spans="1:9" s="620" customFormat="1" ht="15" x14ac:dyDescent="0.25">
      <c r="A147" s="615">
        <v>102</v>
      </c>
      <c r="B147" s="616">
        <v>333152</v>
      </c>
      <c r="C147" s="617" t="s">
        <v>546</v>
      </c>
      <c r="D147" s="617" t="s">
        <v>275</v>
      </c>
      <c r="E147" s="618">
        <v>8</v>
      </c>
      <c r="F147" s="850"/>
      <c r="G147" s="845">
        <f t="shared" si="4"/>
        <v>0</v>
      </c>
      <c r="H147" s="846">
        <v>0</v>
      </c>
      <c r="I147" s="619">
        <f t="shared" si="5"/>
        <v>0</v>
      </c>
    </row>
    <row r="148" spans="1:9" s="620" customFormat="1" ht="15" x14ac:dyDescent="0.25">
      <c r="A148" s="615">
        <v>103</v>
      </c>
      <c r="B148" s="616">
        <v>333154</v>
      </c>
      <c r="C148" s="617" t="s">
        <v>547</v>
      </c>
      <c r="D148" s="617" t="s">
        <v>275</v>
      </c>
      <c r="E148" s="618">
        <v>17</v>
      </c>
      <c r="F148" s="850"/>
      <c r="G148" s="845">
        <f t="shared" si="4"/>
        <v>0</v>
      </c>
      <c r="H148" s="846">
        <v>0</v>
      </c>
      <c r="I148" s="619">
        <f t="shared" si="5"/>
        <v>0</v>
      </c>
    </row>
    <row r="149" spans="1:9" s="620" customFormat="1" ht="15" x14ac:dyDescent="0.25">
      <c r="A149" s="615">
        <v>104</v>
      </c>
      <c r="B149" s="616">
        <v>333155</v>
      </c>
      <c r="C149" s="617" t="s">
        <v>548</v>
      </c>
      <c r="D149" s="617" t="s">
        <v>275</v>
      </c>
      <c r="E149" s="618">
        <v>19</v>
      </c>
      <c r="F149" s="850"/>
      <c r="G149" s="845">
        <f t="shared" si="4"/>
        <v>0</v>
      </c>
      <c r="H149" s="846">
        <v>0</v>
      </c>
      <c r="I149" s="619">
        <f t="shared" si="5"/>
        <v>0</v>
      </c>
    </row>
    <row r="150" spans="1:9" s="620" customFormat="1" ht="15" x14ac:dyDescent="0.25">
      <c r="A150" s="615">
        <v>105</v>
      </c>
      <c r="B150" s="616">
        <v>333156</v>
      </c>
      <c r="C150" s="617" t="s">
        <v>549</v>
      </c>
      <c r="D150" s="617" t="s">
        <v>275</v>
      </c>
      <c r="E150" s="618">
        <v>7</v>
      </c>
      <c r="F150" s="850"/>
      <c r="G150" s="845">
        <f t="shared" si="4"/>
        <v>0</v>
      </c>
      <c r="H150" s="846">
        <v>0</v>
      </c>
      <c r="I150" s="619">
        <f t="shared" si="5"/>
        <v>0</v>
      </c>
    </row>
    <row r="151" spans="1:9" s="620" customFormat="1" ht="15" x14ac:dyDescent="0.25">
      <c r="A151" s="615">
        <v>106</v>
      </c>
      <c r="B151" s="616">
        <v>333157</v>
      </c>
      <c r="C151" s="617" t="s">
        <v>550</v>
      </c>
      <c r="D151" s="617" t="s">
        <v>275</v>
      </c>
      <c r="E151" s="618">
        <v>2</v>
      </c>
      <c r="F151" s="850"/>
      <c r="G151" s="845">
        <f t="shared" si="4"/>
        <v>0</v>
      </c>
      <c r="H151" s="846">
        <v>0</v>
      </c>
      <c r="I151" s="619">
        <f t="shared" si="5"/>
        <v>0</v>
      </c>
    </row>
    <row r="152" spans="1:9" s="620" customFormat="1" ht="15" x14ac:dyDescent="0.25">
      <c r="A152" s="615">
        <v>107</v>
      </c>
      <c r="B152" s="616">
        <v>333161</v>
      </c>
      <c r="C152" s="617" t="s">
        <v>551</v>
      </c>
      <c r="D152" s="617" t="s">
        <v>435</v>
      </c>
      <c r="E152" s="618">
        <v>126</v>
      </c>
      <c r="F152" s="850"/>
      <c r="G152" s="845">
        <f t="shared" si="4"/>
        <v>0</v>
      </c>
      <c r="H152" s="846">
        <v>0</v>
      </c>
      <c r="I152" s="619">
        <f t="shared" si="5"/>
        <v>0</v>
      </c>
    </row>
    <row r="153" spans="1:9" s="620" customFormat="1" ht="15" x14ac:dyDescent="0.25">
      <c r="A153" s="615">
        <v>108</v>
      </c>
      <c r="B153" s="616">
        <v>333162</v>
      </c>
      <c r="C153" s="617" t="s">
        <v>552</v>
      </c>
      <c r="D153" s="617" t="s">
        <v>275</v>
      </c>
      <c r="E153" s="618">
        <v>4</v>
      </c>
      <c r="F153" s="850"/>
      <c r="G153" s="845">
        <f t="shared" si="4"/>
        <v>0</v>
      </c>
      <c r="H153" s="846">
        <v>0</v>
      </c>
      <c r="I153" s="619">
        <f t="shared" si="5"/>
        <v>0</v>
      </c>
    </row>
    <row r="154" spans="1:9" s="620" customFormat="1" ht="15" x14ac:dyDescent="0.25">
      <c r="A154" s="615">
        <v>109</v>
      </c>
      <c r="B154" s="616">
        <v>333164</v>
      </c>
      <c r="C154" s="617" t="s">
        <v>553</v>
      </c>
      <c r="D154" s="617" t="s">
        <v>275</v>
      </c>
      <c r="E154" s="618">
        <v>11</v>
      </c>
      <c r="F154" s="850"/>
      <c r="G154" s="845">
        <f t="shared" si="4"/>
        <v>0</v>
      </c>
      <c r="H154" s="846">
        <v>0</v>
      </c>
      <c r="I154" s="619">
        <f t="shared" si="5"/>
        <v>0</v>
      </c>
    </row>
    <row r="155" spans="1:9" s="620" customFormat="1" ht="15" x14ac:dyDescent="0.25">
      <c r="A155" s="615">
        <v>110</v>
      </c>
      <c r="B155" s="616">
        <v>333165</v>
      </c>
      <c r="C155" s="617" t="s">
        <v>554</v>
      </c>
      <c r="D155" s="617" t="s">
        <v>275</v>
      </c>
      <c r="E155" s="618">
        <v>4</v>
      </c>
      <c r="F155" s="850"/>
      <c r="G155" s="845">
        <f t="shared" si="4"/>
        <v>0</v>
      </c>
      <c r="H155" s="846">
        <v>0</v>
      </c>
      <c r="I155" s="619">
        <f t="shared" si="5"/>
        <v>0</v>
      </c>
    </row>
    <row r="156" spans="1:9" s="620" customFormat="1" ht="15" x14ac:dyDescent="0.25">
      <c r="A156" s="615">
        <v>111</v>
      </c>
      <c r="B156" s="616">
        <v>333166</v>
      </c>
      <c r="C156" s="617" t="s">
        <v>555</v>
      </c>
      <c r="D156" s="617" t="s">
        <v>275</v>
      </c>
      <c r="E156" s="618">
        <v>8</v>
      </c>
      <c r="F156" s="850"/>
      <c r="G156" s="845">
        <f t="shared" si="4"/>
        <v>0</v>
      </c>
      <c r="H156" s="846">
        <v>0</v>
      </c>
      <c r="I156" s="619">
        <f t="shared" si="5"/>
        <v>0</v>
      </c>
    </row>
    <row r="157" spans="1:9" s="620" customFormat="1" ht="15" x14ac:dyDescent="0.25">
      <c r="A157" s="615">
        <v>112</v>
      </c>
      <c r="B157" s="616">
        <v>333167</v>
      </c>
      <c r="C157" s="617" t="s">
        <v>556</v>
      </c>
      <c r="D157" s="617" t="s">
        <v>275</v>
      </c>
      <c r="E157" s="618">
        <v>4</v>
      </c>
      <c r="F157" s="850"/>
      <c r="G157" s="845">
        <f t="shared" si="4"/>
        <v>0</v>
      </c>
      <c r="H157" s="846">
        <v>0</v>
      </c>
      <c r="I157" s="619">
        <f t="shared" si="5"/>
        <v>0</v>
      </c>
    </row>
    <row r="158" spans="1:9" s="620" customFormat="1" ht="15" x14ac:dyDescent="0.25">
      <c r="A158" s="615">
        <v>113</v>
      </c>
      <c r="B158" s="616">
        <v>333134</v>
      </c>
      <c r="C158" s="617" t="s">
        <v>885</v>
      </c>
      <c r="D158" s="617" t="s">
        <v>275</v>
      </c>
      <c r="E158" s="618">
        <v>13</v>
      </c>
      <c r="F158" s="850"/>
      <c r="G158" s="845">
        <f t="shared" si="4"/>
        <v>0</v>
      </c>
      <c r="H158" s="846">
        <v>0</v>
      </c>
      <c r="I158" s="619">
        <f t="shared" si="5"/>
        <v>0</v>
      </c>
    </row>
    <row r="159" spans="1:9" s="620" customFormat="1" ht="15" x14ac:dyDescent="0.25">
      <c r="A159" s="615">
        <v>114</v>
      </c>
      <c r="B159" s="616">
        <v>333135</v>
      </c>
      <c r="C159" s="617" t="s">
        <v>886</v>
      </c>
      <c r="D159" s="617" t="s">
        <v>275</v>
      </c>
      <c r="E159" s="618">
        <v>30</v>
      </c>
      <c r="F159" s="850"/>
      <c r="G159" s="845">
        <f t="shared" si="4"/>
        <v>0</v>
      </c>
      <c r="H159" s="846">
        <v>0</v>
      </c>
      <c r="I159" s="619">
        <f t="shared" si="5"/>
        <v>0</v>
      </c>
    </row>
    <row r="160" spans="1:9" s="620" customFormat="1" ht="15" x14ac:dyDescent="0.25">
      <c r="A160" s="615">
        <v>115</v>
      </c>
      <c r="B160" s="616">
        <v>340211</v>
      </c>
      <c r="C160" s="617" t="s">
        <v>557</v>
      </c>
      <c r="D160" s="617" t="s">
        <v>435</v>
      </c>
      <c r="E160" s="618">
        <v>60</v>
      </c>
      <c r="F160" s="850"/>
      <c r="G160" s="845">
        <f t="shared" si="4"/>
        <v>0</v>
      </c>
      <c r="H160" s="846">
        <v>0</v>
      </c>
      <c r="I160" s="619">
        <f t="shared" si="5"/>
        <v>0</v>
      </c>
    </row>
    <row r="161" spans="1:9" s="620" customFormat="1" ht="15" x14ac:dyDescent="0.25">
      <c r="A161" s="615">
        <v>116</v>
      </c>
      <c r="B161" s="616">
        <v>340212</v>
      </c>
      <c r="C161" s="617" t="s">
        <v>558</v>
      </c>
      <c r="D161" s="617" t="s">
        <v>275</v>
      </c>
      <c r="E161" s="618">
        <v>24</v>
      </c>
      <c r="F161" s="850"/>
      <c r="G161" s="845">
        <f t="shared" si="4"/>
        <v>0</v>
      </c>
      <c r="H161" s="846">
        <v>0</v>
      </c>
      <c r="I161" s="619">
        <f t="shared" si="5"/>
        <v>0</v>
      </c>
    </row>
    <row r="162" spans="1:9" s="620" customFormat="1" ht="15" x14ac:dyDescent="0.25">
      <c r="A162" s="615">
        <v>117</v>
      </c>
      <c r="B162" s="616">
        <v>340213</v>
      </c>
      <c r="C162" s="617" t="s">
        <v>559</v>
      </c>
      <c r="D162" s="617" t="s">
        <v>275</v>
      </c>
      <c r="E162" s="618">
        <v>18</v>
      </c>
      <c r="F162" s="850"/>
      <c r="G162" s="845">
        <f t="shared" si="4"/>
        <v>0</v>
      </c>
      <c r="H162" s="846">
        <v>0</v>
      </c>
      <c r="I162" s="619">
        <f t="shared" si="5"/>
        <v>0</v>
      </c>
    </row>
    <row r="163" spans="1:9" s="620" customFormat="1" ht="15" x14ac:dyDescent="0.25">
      <c r="A163" s="615">
        <v>118</v>
      </c>
      <c r="B163" s="616">
        <v>340232</v>
      </c>
      <c r="C163" s="617" t="s">
        <v>560</v>
      </c>
      <c r="D163" s="617" t="s">
        <v>275</v>
      </c>
      <c r="E163" s="618">
        <v>102</v>
      </c>
      <c r="F163" s="850"/>
      <c r="G163" s="845">
        <f t="shared" si="4"/>
        <v>0</v>
      </c>
      <c r="H163" s="846">
        <v>0</v>
      </c>
      <c r="I163" s="619">
        <f t="shared" si="5"/>
        <v>0</v>
      </c>
    </row>
    <row r="164" spans="1:9" s="620" customFormat="1" ht="15" x14ac:dyDescent="0.25">
      <c r="A164" s="615">
        <v>119</v>
      </c>
      <c r="B164" s="616">
        <v>356004</v>
      </c>
      <c r="C164" s="617" t="s">
        <v>887</v>
      </c>
      <c r="D164" s="617" t="s">
        <v>435</v>
      </c>
      <c r="E164" s="618">
        <v>46</v>
      </c>
      <c r="F164" s="850"/>
      <c r="G164" s="845">
        <f t="shared" si="4"/>
        <v>0</v>
      </c>
      <c r="H164" s="846">
        <v>0</v>
      </c>
      <c r="I164" s="619">
        <f t="shared" si="5"/>
        <v>0</v>
      </c>
    </row>
    <row r="165" spans="1:9" s="620" customFormat="1" ht="15" x14ac:dyDescent="0.25">
      <c r="A165" s="615">
        <v>120</v>
      </c>
      <c r="B165" s="616">
        <v>356404</v>
      </c>
      <c r="C165" s="617" t="s">
        <v>888</v>
      </c>
      <c r="D165" s="617" t="s">
        <v>435</v>
      </c>
      <c r="E165" s="618">
        <v>46</v>
      </c>
      <c r="F165" s="850"/>
      <c r="G165" s="845">
        <f t="shared" si="4"/>
        <v>0</v>
      </c>
      <c r="H165" s="846">
        <v>0</v>
      </c>
      <c r="I165" s="619">
        <f t="shared" si="5"/>
        <v>0</v>
      </c>
    </row>
    <row r="166" spans="1:9" s="620" customFormat="1" ht="15" x14ac:dyDescent="0.25">
      <c r="A166" s="615">
        <v>121</v>
      </c>
      <c r="B166" s="616">
        <v>311117</v>
      </c>
      <c r="C166" s="617" t="s">
        <v>358</v>
      </c>
      <c r="D166" s="617" t="s">
        <v>275</v>
      </c>
      <c r="E166" s="618">
        <v>17</v>
      </c>
      <c r="F166" s="850"/>
      <c r="G166" s="845">
        <f t="shared" si="4"/>
        <v>0</v>
      </c>
      <c r="H166" s="846">
        <v>0</v>
      </c>
      <c r="I166" s="619">
        <f t="shared" si="5"/>
        <v>0</v>
      </c>
    </row>
    <row r="167" spans="1:9" s="620" customFormat="1" ht="15" x14ac:dyDescent="0.25">
      <c r="A167" s="615">
        <v>122</v>
      </c>
      <c r="B167" s="616">
        <v>313113</v>
      </c>
      <c r="C167" s="617" t="s">
        <v>544</v>
      </c>
      <c r="D167" s="617" t="s">
        <v>275</v>
      </c>
      <c r="E167" s="618">
        <v>226</v>
      </c>
      <c r="F167" s="850"/>
      <c r="G167" s="845">
        <f t="shared" si="4"/>
        <v>0</v>
      </c>
      <c r="H167" s="846">
        <v>0</v>
      </c>
      <c r="I167" s="619">
        <f t="shared" si="5"/>
        <v>0</v>
      </c>
    </row>
    <row r="168" spans="1:9" s="620" customFormat="1" ht="15" x14ac:dyDescent="0.25">
      <c r="A168" s="615">
        <v>123</v>
      </c>
      <c r="B168" s="616">
        <v>312002</v>
      </c>
      <c r="C168" s="617" t="s">
        <v>889</v>
      </c>
      <c r="D168" s="617" t="s">
        <v>275</v>
      </c>
      <c r="E168" s="618">
        <v>12</v>
      </c>
      <c r="F168" s="850"/>
      <c r="G168" s="845">
        <f t="shared" si="4"/>
        <v>0</v>
      </c>
      <c r="H168" s="846">
        <v>0</v>
      </c>
      <c r="I168" s="619">
        <f t="shared" si="5"/>
        <v>0</v>
      </c>
    </row>
    <row r="169" spans="1:9" s="620" customFormat="1" ht="15" x14ac:dyDescent="0.25">
      <c r="A169" s="615">
        <v>124</v>
      </c>
      <c r="B169" s="616">
        <v>199411</v>
      </c>
      <c r="C169" s="617" t="s">
        <v>890</v>
      </c>
      <c r="D169" s="617" t="s">
        <v>275</v>
      </c>
      <c r="E169" s="618">
        <v>12</v>
      </c>
      <c r="F169" s="850"/>
      <c r="G169" s="845">
        <f t="shared" si="4"/>
        <v>0</v>
      </c>
      <c r="H169" s="846">
        <v>0</v>
      </c>
      <c r="I169" s="619">
        <f t="shared" si="5"/>
        <v>0</v>
      </c>
    </row>
    <row r="170" spans="1:9" s="620" customFormat="1" ht="15" x14ac:dyDescent="0.25">
      <c r="A170" s="615">
        <v>125</v>
      </c>
      <c r="B170" s="616">
        <v>420001</v>
      </c>
      <c r="C170" s="617" t="s">
        <v>891</v>
      </c>
      <c r="D170" s="617" t="s">
        <v>275</v>
      </c>
      <c r="E170" s="618">
        <v>59</v>
      </c>
      <c r="F170" s="850"/>
      <c r="G170" s="845">
        <f t="shared" si="4"/>
        <v>0</v>
      </c>
      <c r="H170" s="846">
        <v>0</v>
      </c>
      <c r="I170" s="619">
        <f t="shared" si="5"/>
        <v>0</v>
      </c>
    </row>
    <row r="171" spans="1:9" s="620" customFormat="1" ht="15" x14ac:dyDescent="0.25">
      <c r="A171" s="615">
        <v>126</v>
      </c>
      <c r="B171" s="616">
        <v>420091</v>
      </c>
      <c r="C171" s="617" t="s">
        <v>305</v>
      </c>
      <c r="D171" s="617" t="s">
        <v>275</v>
      </c>
      <c r="E171" s="618">
        <v>59</v>
      </c>
      <c r="F171" s="850"/>
      <c r="G171" s="845">
        <f t="shared" si="4"/>
        <v>0</v>
      </c>
      <c r="H171" s="846">
        <v>0</v>
      </c>
      <c r="I171" s="619">
        <f t="shared" si="5"/>
        <v>0</v>
      </c>
    </row>
    <row r="172" spans="1:9" s="620" customFormat="1" ht="15" x14ac:dyDescent="0.25">
      <c r="A172" s="615">
        <v>127</v>
      </c>
      <c r="B172" s="616">
        <v>420002</v>
      </c>
      <c r="C172" s="617" t="s">
        <v>892</v>
      </c>
      <c r="D172" s="617" t="s">
        <v>275</v>
      </c>
      <c r="E172" s="618">
        <v>91</v>
      </c>
      <c r="F172" s="850"/>
      <c r="G172" s="845">
        <f t="shared" si="4"/>
        <v>0</v>
      </c>
      <c r="H172" s="846">
        <v>0</v>
      </c>
      <c r="I172" s="619">
        <f t="shared" si="5"/>
        <v>0</v>
      </c>
    </row>
    <row r="173" spans="1:9" s="620" customFormat="1" ht="15" x14ac:dyDescent="0.25">
      <c r="A173" s="615">
        <v>128</v>
      </c>
      <c r="B173" s="616">
        <v>420091</v>
      </c>
      <c r="C173" s="617" t="s">
        <v>305</v>
      </c>
      <c r="D173" s="617" t="s">
        <v>275</v>
      </c>
      <c r="E173" s="618">
        <v>91</v>
      </c>
      <c r="F173" s="850"/>
      <c r="G173" s="845">
        <f t="shared" si="4"/>
        <v>0</v>
      </c>
      <c r="H173" s="846">
        <v>0</v>
      </c>
      <c r="I173" s="619">
        <f t="shared" si="5"/>
        <v>0</v>
      </c>
    </row>
    <row r="174" spans="1:9" s="620" customFormat="1" ht="15" x14ac:dyDescent="0.25">
      <c r="A174" s="615">
        <v>129</v>
      </c>
      <c r="B174" s="616">
        <v>420004</v>
      </c>
      <c r="C174" s="617" t="s">
        <v>893</v>
      </c>
      <c r="D174" s="617" t="s">
        <v>275</v>
      </c>
      <c r="E174" s="618">
        <v>28</v>
      </c>
      <c r="F174" s="850"/>
      <c r="G174" s="845">
        <f t="shared" si="4"/>
        <v>0</v>
      </c>
      <c r="H174" s="846">
        <v>0</v>
      </c>
      <c r="I174" s="619">
        <f t="shared" si="5"/>
        <v>0</v>
      </c>
    </row>
    <row r="175" spans="1:9" s="620" customFormat="1" ht="15" x14ac:dyDescent="0.25">
      <c r="A175" s="615">
        <v>130</v>
      </c>
      <c r="B175" s="616">
        <v>420091</v>
      </c>
      <c r="C175" s="617" t="s">
        <v>305</v>
      </c>
      <c r="D175" s="617" t="s">
        <v>275</v>
      </c>
      <c r="E175" s="618">
        <v>28</v>
      </c>
      <c r="F175" s="850"/>
      <c r="G175" s="845">
        <f t="shared" si="4"/>
        <v>0</v>
      </c>
      <c r="H175" s="846">
        <v>0</v>
      </c>
      <c r="I175" s="619">
        <f t="shared" si="5"/>
        <v>0</v>
      </c>
    </row>
    <row r="176" spans="1:9" s="315" customFormat="1" ht="15" x14ac:dyDescent="0.25">
      <c r="A176" s="366"/>
      <c r="B176" s="796"/>
      <c r="C176" s="854" t="s">
        <v>425</v>
      </c>
      <c r="D176" s="798"/>
      <c r="E176" s="799"/>
      <c r="F176" s="550"/>
      <c r="G176" s="800"/>
      <c r="H176" s="801"/>
      <c r="I176" s="802"/>
    </row>
    <row r="177" spans="1:9" s="620" customFormat="1" ht="15" x14ac:dyDescent="0.25">
      <c r="A177" s="615">
        <v>131</v>
      </c>
      <c r="B177" s="616">
        <v>410130</v>
      </c>
      <c r="C177" s="617" t="s">
        <v>359</v>
      </c>
      <c r="D177" s="849"/>
      <c r="E177" s="618">
        <v>92</v>
      </c>
      <c r="F177" s="850"/>
      <c r="G177" s="845">
        <f t="shared" ref="G177:G207" si="6">E177*F177</f>
        <v>0</v>
      </c>
      <c r="H177" s="846">
        <v>0</v>
      </c>
      <c r="I177" s="619">
        <f t="shared" ref="I177:I207" si="7">E177*H177</f>
        <v>0</v>
      </c>
    </row>
    <row r="178" spans="1:9" s="620" customFormat="1" ht="15" x14ac:dyDescent="0.25">
      <c r="A178" s="615">
        <v>132</v>
      </c>
      <c r="B178" s="616">
        <v>409820</v>
      </c>
      <c r="C178" s="617" t="s">
        <v>360</v>
      </c>
      <c r="D178" s="617" t="s">
        <v>275</v>
      </c>
      <c r="E178" s="618">
        <v>92</v>
      </c>
      <c r="F178" s="850"/>
      <c r="G178" s="845">
        <f t="shared" si="6"/>
        <v>0</v>
      </c>
      <c r="H178" s="846">
        <v>0</v>
      </c>
      <c r="I178" s="619">
        <f t="shared" si="7"/>
        <v>0</v>
      </c>
    </row>
    <row r="179" spans="1:9" s="620" customFormat="1" ht="15" x14ac:dyDescent="0.25">
      <c r="A179" s="615">
        <v>133</v>
      </c>
      <c r="B179" s="616">
        <v>410101</v>
      </c>
      <c r="C179" s="617" t="s">
        <v>361</v>
      </c>
      <c r="D179" s="617" t="s">
        <v>275</v>
      </c>
      <c r="E179" s="618">
        <v>92</v>
      </c>
      <c r="F179" s="850"/>
      <c r="G179" s="845">
        <f t="shared" si="6"/>
        <v>0</v>
      </c>
      <c r="H179" s="846">
        <v>0</v>
      </c>
      <c r="I179" s="619">
        <f t="shared" si="7"/>
        <v>0</v>
      </c>
    </row>
    <row r="180" spans="1:9" s="620" customFormat="1" ht="15" x14ac:dyDescent="0.25">
      <c r="A180" s="615">
        <v>134</v>
      </c>
      <c r="B180" s="616">
        <v>420091</v>
      </c>
      <c r="C180" s="617" t="s">
        <v>305</v>
      </c>
      <c r="D180" s="617" t="s">
        <v>275</v>
      </c>
      <c r="E180" s="618">
        <v>92</v>
      </c>
      <c r="F180" s="850"/>
      <c r="G180" s="845">
        <f t="shared" si="6"/>
        <v>0</v>
      </c>
      <c r="H180" s="846">
        <v>0</v>
      </c>
      <c r="I180" s="619">
        <f t="shared" si="7"/>
        <v>0</v>
      </c>
    </row>
    <row r="181" spans="1:9" s="620" customFormat="1" ht="15" x14ac:dyDescent="0.25">
      <c r="A181" s="615">
        <v>135</v>
      </c>
      <c r="B181" s="616">
        <v>410131</v>
      </c>
      <c r="C181" s="617" t="s">
        <v>561</v>
      </c>
      <c r="D181" s="849"/>
      <c r="E181" s="618">
        <v>3</v>
      </c>
      <c r="F181" s="618"/>
      <c r="G181" s="845">
        <f t="shared" si="6"/>
        <v>0</v>
      </c>
      <c r="H181" s="846">
        <v>0</v>
      </c>
      <c r="I181" s="619">
        <f t="shared" si="7"/>
        <v>0</v>
      </c>
    </row>
    <row r="182" spans="1:9" s="620" customFormat="1" ht="15" x14ac:dyDescent="0.25">
      <c r="A182" s="615">
        <v>136</v>
      </c>
      <c r="B182" s="616">
        <v>409820</v>
      </c>
      <c r="C182" s="617" t="s">
        <v>360</v>
      </c>
      <c r="D182" s="617" t="s">
        <v>275</v>
      </c>
      <c r="E182" s="618">
        <v>3</v>
      </c>
      <c r="F182" s="850"/>
      <c r="G182" s="845">
        <f t="shared" si="6"/>
        <v>0</v>
      </c>
      <c r="H182" s="846">
        <v>0</v>
      </c>
      <c r="I182" s="619">
        <f t="shared" si="7"/>
        <v>0</v>
      </c>
    </row>
    <row r="183" spans="1:9" s="620" customFormat="1" ht="15" x14ac:dyDescent="0.25">
      <c r="A183" s="615">
        <v>137</v>
      </c>
      <c r="B183" s="616">
        <v>409900</v>
      </c>
      <c r="C183" s="617" t="s">
        <v>562</v>
      </c>
      <c r="D183" s="617" t="s">
        <v>275</v>
      </c>
      <c r="E183" s="618">
        <v>3</v>
      </c>
      <c r="F183" s="850"/>
      <c r="G183" s="845">
        <f t="shared" si="6"/>
        <v>0</v>
      </c>
      <c r="H183" s="846">
        <v>0</v>
      </c>
      <c r="I183" s="619">
        <f t="shared" si="7"/>
        <v>0</v>
      </c>
    </row>
    <row r="184" spans="1:9" s="620" customFormat="1" ht="15" x14ac:dyDescent="0.25">
      <c r="A184" s="615">
        <v>138</v>
      </c>
      <c r="B184" s="616">
        <v>410103</v>
      </c>
      <c r="C184" s="617" t="s">
        <v>362</v>
      </c>
      <c r="D184" s="617" t="s">
        <v>275</v>
      </c>
      <c r="E184" s="618">
        <v>3</v>
      </c>
      <c r="F184" s="850"/>
      <c r="G184" s="845">
        <f t="shared" si="6"/>
        <v>0</v>
      </c>
      <c r="H184" s="846">
        <v>0</v>
      </c>
      <c r="I184" s="619">
        <f t="shared" si="7"/>
        <v>0</v>
      </c>
    </row>
    <row r="185" spans="1:9" s="620" customFormat="1" ht="15" x14ac:dyDescent="0.25">
      <c r="A185" s="615">
        <v>139</v>
      </c>
      <c r="B185" s="616">
        <v>420091</v>
      </c>
      <c r="C185" s="617" t="s">
        <v>305</v>
      </c>
      <c r="D185" s="617" t="s">
        <v>275</v>
      </c>
      <c r="E185" s="618">
        <v>3</v>
      </c>
      <c r="F185" s="850"/>
      <c r="G185" s="845">
        <f t="shared" si="6"/>
        <v>0</v>
      </c>
      <c r="H185" s="846">
        <v>0</v>
      </c>
      <c r="I185" s="619">
        <f t="shared" si="7"/>
        <v>0</v>
      </c>
    </row>
    <row r="186" spans="1:9" s="620" customFormat="1" ht="15" x14ac:dyDescent="0.25">
      <c r="A186" s="615">
        <v>140</v>
      </c>
      <c r="B186" s="616">
        <v>410132</v>
      </c>
      <c r="C186" s="617" t="s">
        <v>894</v>
      </c>
      <c r="D186" s="849"/>
      <c r="E186" s="618">
        <v>12</v>
      </c>
      <c r="F186" s="618"/>
      <c r="G186" s="845">
        <f t="shared" si="6"/>
        <v>0</v>
      </c>
      <c r="H186" s="846">
        <v>0</v>
      </c>
      <c r="I186" s="619">
        <f t="shared" si="7"/>
        <v>0</v>
      </c>
    </row>
    <row r="187" spans="1:9" s="620" customFormat="1" ht="15" x14ac:dyDescent="0.25">
      <c r="A187" s="615">
        <v>141</v>
      </c>
      <c r="B187" s="616">
        <v>409825</v>
      </c>
      <c r="C187" s="617" t="s">
        <v>895</v>
      </c>
      <c r="D187" s="617" t="s">
        <v>275</v>
      </c>
      <c r="E187" s="618">
        <v>12</v>
      </c>
      <c r="F187" s="850"/>
      <c r="G187" s="845">
        <f t="shared" si="6"/>
        <v>0</v>
      </c>
      <c r="H187" s="846">
        <v>0</v>
      </c>
      <c r="I187" s="619">
        <f t="shared" si="7"/>
        <v>0</v>
      </c>
    </row>
    <row r="188" spans="1:9" s="620" customFormat="1" ht="15" x14ac:dyDescent="0.25">
      <c r="A188" s="615">
        <v>142</v>
      </c>
      <c r="B188" s="616">
        <v>410104</v>
      </c>
      <c r="C188" s="617" t="s">
        <v>896</v>
      </c>
      <c r="D188" s="617" t="s">
        <v>275</v>
      </c>
      <c r="E188" s="618">
        <v>12</v>
      </c>
      <c r="F188" s="850"/>
      <c r="G188" s="845">
        <f t="shared" si="6"/>
        <v>0</v>
      </c>
      <c r="H188" s="846">
        <v>0</v>
      </c>
      <c r="I188" s="619">
        <f t="shared" si="7"/>
        <v>0</v>
      </c>
    </row>
    <row r="189" spans="1:9" s="620" customFormat="1" ht="15" x14ac:dyDescent="0.25">
      <c r="A189" s="615">
        <v>143</v>
      </c>
      <c r="B189" s="616">
        <v>420091</v>
      </c>
      <c r="C189" s="617" t="s">
        <v>305</v>
      </c>
      <c r="D189" s="617" t="s">
        <v>275</v>
      </c>
      <c r="E189" s="618">
        <v>12</v>
      </c>
      <c r="F189" s="850"/>
      <c r="G189" s="845">
        <f t="shared" si="6"/>
        <v>0</v>
      </c>
      <c r="H189" s="846">
        <v>0</v>
      </c>
      <c r="I189" s="619">
        <f t="shared" si="7"/>
        <v>0</v>
      </c>
    </row>
    <row r="190" spans="1:9" s="620" customFormat="1" ht="15" x14ac:dyDescent="0.25">
      <c r="A190" s="615">
        <v>144</v>
      </c>
      <c r="B190" s="616">
        <v>410151</v>
      </c>
      <c r="C190" s="617" t="s">
        <v>563</v>
      </c>
      <c r="D190" s="849"/>
      <c r="E190" s="618">
        <v>22</v>
      </c>
      <c r="F190" s="618"/>
      <c r="G190" s="845">
        <f t="shared" si="6"/>
        <v>0</v>
      </c>
      <c r="H190" s="846">
        <v>0</v>
      </c>
      <c r="I190" s="619">
        <f t="shared" si="7"/>
        <v>0</v>
      </c>
    </row>
    <row r="191" spans="1:9" s="620" customFormat="1" ht="15" x14ac:dyDescent="0.25">
      <c r="A191" s="615">
        <v>145</v>
      </c>
      <c r="B191" s="616">
        <v>409822</v>
      </c>
      <c r="C191" s="617" t="s">
        <v>564</v>
      </c>
      <c r="D191" s="617" t="s">
        <v>275</v>
      </c>
      <c r="E191" s="618">
        <v>22</v>
      </c>
      <c r="F191" s="850"/>
      <c r="G191" s="845">
        <f t="shared" si="6"/>
        <v>0</v>
      </c>
      <c r="H191" s="846">
        <v>0</v>
      </c>
      <c r="I191" s="619">
        <f t="shared" si="7"/>
        <v>0</v>
      </c>
    </row>
    <row r="192" spans="1:9" s="620" customFormat="1" ht="15" x14ac:dyDescent="0.25">
      <c r="A192" s="615">
        <v>146</v>
      </c>
      <c r="B192" s="616">
        <v>410101</v>
      </c>
      <c r="C192" s="617" t="s">
        <v>361</v>
      </c>
      <c r="D192" s="617" t="s">
        <v>275</v>
      </c>
      <c r="E192" s="618">
        <v>22</v>
      </c>
      <c r="F192" s="850"/>
      <c r="G192" s="845">
        <f t="shared" si="6"/>
        <v>0</v>
      </c>
      <c r="H192" s="846">
        <v>0</v>
      </c>
      <c r="I192" s="619">
        <f t="shared" si="7"/>
        <v>0</v>
      </c>
    </row>
    <row r="193" spans="1:9" s="620" customFormat="1" ht="15" x14ac:dyDescent="0.25">
      <c r="A193" s="615">
        <v>147</v>
      </c>
      <c r="B193" s="616">
        <v>420091</v>
      </c>
      <c r="C193" s="617" t="s">
        <v>305</v>
      </c>
      <c r="D193" s="617" t="s">
        <v>275</v>
      </c>
      <c r="E193" s="618">
        <v>22</v>
      </c>
      <c r="F193" s="850"/>
      <c r="G193" s="845">
        <f t="shared" si="6"/>
        <v>0</v>
      </c>
      <c r="H193" s="846">
        <v>0</v>
      </c>
      <c r="I193" s="619">
        <f t="shared" si="7"/>
        <v>0</v>
      </c>
    </row>
    <row r="194" spans="1:9" s="620" customFormat="1" ht="15" x14ac:dyDescent="0.25">
      <c r="A194" s="615">
        <v>148</v>
      </c>
      <c r="B194" s="616">
        <v>410155</v>
      </c>
      <c r="C194" s="617" t="s">
        <v>565</v>
      </c>
      <c r="D194" s="849"/>
      <c r="E194" s="618">
        <v>5</v>
      </c>
      <c r="F194" s="618"/>
      <c r="G194" s="845">
        <f t="shared" si="6"/>
        <v>0</v>
      </c>
      <c r="H194" s="846">
        <v>0</v>
      </c>
      <c r="I194" s="619">
        <f t="shared" si="7"/>
        <v>0</v>
      </c>
    </row>
    <row r="195" spans="1:9" s="620" customFormat="1" ht="15" x14ac:dyDescent="0.25">
      <c r="A195" s="615">
        <v>149</v>
      </c>
      <c r="B195" s="616">
        <v>409824</v>
      </c>
      <c r="C195" s="617" t="s">
        <v>566</v>
      </c>
      <c r="D195" s="617" t="s">
        <v>275</v>
      </c>
      <c r="E195" s="618">
        <v>5</v>
      </c>
      <c r="F195" s="850"/>
      <c r="G195" s="845">
        <f t="shared" si="6"/>
        <v>0</v>
      </c>
      <c r="H195" s="846">
        <v>0</v>
      </c>
      <c r="I195" s="619">
        <f t="shared" si="7"/>
        <v>0</v>
      </c>
    </row>
    <row r="196" spans="1:9" s="620" customFormat="1" ht="15" x14ac:dyDescent="0.25">
      <c r="A196" s="615">
        <v>150</v>
      </c>
      <c r="B196" s="616">
        <v>410101</v>
      </c>
      <c r="C196" s="617" t="s">
        <v>361</v>
      </c>
      <c r="D196" s="617" t="s">
        <v>275</v>
      </c>
      <c r="E196" s="618">
        <v>5</v>
      </c>
      <c r="F196" s="850"/>
      <c r="G196" s="845">
        <f t="shared" si="6"/>
        <v>0</v>
      </c>
      <c r="H196" s="846">
        <v>0</v>
      </c>
      <c r="I196" s="619">
        <f t="shared" si="7"/>
        <v>0</v>
      </c>
    </row>
    <row r="197" spans="1:9" s="620" customFormat="1" ht="15" x14ac:dyDescent="0.25">
      <c r="A197" s="615">
        <v>151</v>
      </c>
      <c r="B197" s="616">
        <v>420091</v>
      </c>
      <c r="C197" s="617" t="s">
        <v>305</v>
      </c>
      <c r="D197" s="617" t="s">
        <v>275</v>
      </c>
      <c r="E197" s="618">
        <v>5</v>
      </c>
      <c r="F197" s="850"/>
      <c r="G197" s="845">
        <f t="shared" si="6"/>
        <v>0</v>
      </c>
      <c r="H197" s="846">
        <v>0</v>
      </c>
      <c r="I197" s="619">
        <f t="shared" si="7"/>
        <v>0</v>
      </c>
    </row>
    <row r="198" spans="1:9" s="620" customFormat="1" ht="15" x14ac:dyDescent="0.25">
      <c r="A198" s="615">
        <v>152</v>
      </c>
      <c r="B198" s="616">
        <v>410160</v>
      </c>
      <c r="C198" s="617" t="s">
        <v>567</v>
      </c>
      <c r="D198" s="849"/>
      <c r="E198" s="618">
        <v>8</v>
      </c>
      <c r="F198" s="618"/>
      <c r="G198" s="845">
        <f t="shared" si="6"/>
        <v>0</v>
      </c>
      <c r="H198" s="846">
        <v>0</v>
      </c>
      <c r="I198" s="619">
        <f t="shared" si="7"/>
        <v>0</v>
      </c>
    </row>
    <row r="199" spans="1:9" s="620" customFormat="1" ht="15" x14ac:dyDescent="0.25">
      <c r="A199" s="615">
        <v>153</v>
      </c>
      <c r="B199" s="616">
        <v>409828</v>
      </c>
      <c r="C199" s="617" t="s">
        <v>363</v>
      </c>
      <c r="D199" s="617" t="s">
        <v>275</v>
      </c>
      <c r="E199" s="618">
        <v>8</v>
      </c>
      <c r="F199" s="850"/>
      <c r="G199" s="845">
        <f t="shared" si="6"/>
        <v>0</v>
      </c>
      <c r="H199" s="846">
        <v>0</v>
      </c>
      <c r="I199" s="619">
        <f t="shared" si="7"/>
        <v>0</v>
      </c>
    </row>
    <row r="200" spans="1:9" s="620" customFormat="1" ht="15" x14ac:dyDescent="0.25">
      <c r="A200" s="615">
        <v>154</v>
      </c>
      <c r="B200" s="616">
        <v>410101</v>
      </c>
      <c r="C200" s="617" t="s">
        <v>361</v>
      </c>
      <c r="D200" s="617" t="s">
        <v>275</v>
      </c>
      <c r="E200" s="618">
        <v>8</v>
      </c>
      <c r="F200" s="850"/>
      <c r="G200" s="845">
        <f t="shared" si="6"/>
        <v>0</v>
      </c>
      <c r="H200" s="846">
        <v>0</v>
      </c>
      <c r="I200" s="619">
        <f t="shared" si="7"/>
        <v>0</v>
      </c>
    </row>
    <row r="201" spans="1:9" s="620" customFormat="1" ht="15" x14ac:dyDescent="0.25">
      <c r="A201" s="615">
        <v>155</v>
      </c>
      <c r="B201" s="616">
        <v>420091</v>
      </c>
      <c r="C201" s="617" t="s">
        <v>305</v>
      </c>
      <c r="D201" s="617" t="s">
        <v>275</v>
      </c>
      <c r="E201" s="618">
        <v>8</v>
      </c>
      <c r="F201" s="850"/>
      <c r="G201" s="845">
        <f t="shared" si="6"/>
        <v>0</v>
      </c>
      <c r="H201" s="846">
        <v>0</v>
      </c>
      <c r="I201" s="619">
        <f t="shared" si="7"/>
        <v>0</v>
      </c>
    </row>
    <row r="202" spans="1:9" s="620" customFormat="1" ht="15" x14ac:dyDescent="0.25">
      <c r="A202" s="615">
        <v>156</v>
      </c>
      <c r="B202" s="616">
        <v>410161</v>
      </c>
      <c r="C202" s="617" t="s">
        <v>897</v>
      </c>
      <c r="D202" s="849"/>
      <c r="E202" s="618">
        <v>12</v>
      </c>
      <c r="F202" s="618"/>
      <c r="G202" s="845">
        <f t="shared" si="6"/>
        <v>0</v>
      </c>
      <c r="H202" s="846">
        <v>0</v>
      </c>
      <c r="I202" s="619">
        <f t="shared" si="7"/>
        <v>0</v>
      </c>
    </row>
    <row r="203" spans="1:9" s="620" customFormat="1" ht="15" x14ac:dyDescent="0.25">
      <c r="A203" s="615">
        <v>157</v>
      </c>
      <c r="B203" s="616">
        <v>409828</v>
      </c>
      <c r="C203" s="617" t="s">
        <v>898</v>
      </c>
      <c r="D203" s="617" t="s">
        <v>275</v>
      </c>
      <c r="E203" s="618">
        <v>12</v>
      </c>
      <c r="F203" s="850"/>
      <c r="G203" s="845">
        <f t="shared" si="6"/>
        <v>0</v>
      </c>
      <c r="H203" s="846">
        <v>0</v>
      </c>
      <c r="I203" s="619">
        <f t="shared" si="7"/>
        <v>0</v>
      </c>
    </row>
    <row r="204" spans="1:9" s="620" customFormat="1" ht="15" x14ac:dyDescent="0.25">
      <c r="A204" s="615">
        <v>158</v>
      </c>
      <c r="B204" s="616">
        <v>420091</v>
      </c>
      <c r="C204" s="617" t="s">
        <v>568</v>
      </c>
      <c r="D204" s="617" t="s">
        <v>275</v>
      </c>
      <c r="E204" s="618">
        <v>12</v>
      </c>
      <c r="F204" s="850"/>
      <c r="G204" s="845">
        <f t="shared" si="6"/>
        <v>0</v>
      </c>
      <c r="H204" s="846">
        <v>0</v>
      </c>
      <c r="I204" s="619">
        <f t="shared" si="7"/>
        <v>0</v>
      </c>
    </row>
    <row r="205" spans="1:9" s="620" customFormat="1" ht="15" x14ac:dyDescent="0.25">
      <c r="A205" s="615">
        <v>159</v>
      </c>
      <c r="B205" s="616">
        <v>418112</v>
      </c>
      <c r="C205" s="617" t="s">
        <v>899</v>
      </c>
      <c r="D205" s="617" t="s">
        <v>275</v>
      </c>
      <c r="E205" s="618">
        <v>1</v>
      </c>
      <c r="F205" s="850"/>
      <c r="G205" s="845">
        <f t="shared" si="6"/>
        <v>0</v>
      </c>
      <c r="H205" s="846">
        <v>0</v>
      </c>
      <c r="I205" s="619">
        <f t="shared" si="7"/>
        <v>0</v>
      </c>
    </row>
    <row r="206" spans="1:9" s="620" customFormat="1" ht="15" x14ac:dyDescent="0.25">
      <c r="A206" s="615">
        <v>160</v>
      </c>
      <c r="B206" s="616">
        <v>414123</v>
      </c>
      <c r="C206" s="617" t="s">
        <v>900</v>
      </c>
      <c r="D206" s="617" t="s">
        <v>275</v>
      </c>
      <c r="E206" s="618">
        <v>1</v>
      </c>
      <c r="F206" s="850"/>
      <c r="G206" s="845">
        <f t="shared" si="6"/>
        <v>0</v>
      </c>
      <c r="H206" s="846">
        <v>0</v>
      </c>
      <c r="I206" s="619">
        <f t="shared" si="7"/>
        <v>0</v>
      </c>
    </row>
    <row r="207" spans="1:9" s="620" customFormat="1" ht="15" x14ac:dyDescent="0.25">
      <c r="A207" s="615">
        <v>161</v>
      </c>
      <c r="B207" s="616">
        <v>414173</v>
      </c>
      <c r="C207" s="617" t="s">
        <v>901</v>
      </c>
      <c r="D207" s="617" t="s">
        <v>275</v>
      </c>
      <c r="E207" s="618">
        <v>1</v>
      </c>
      <c r="F207" s="850"/>
      <c r="G207" s="845">
        <f t="shared" si="6"/>
        <v>0</v>
      </c>
      <c r="H207" s="846">
        <v>0</v>
      </c>
      <c r="I207" s="619">
        <f t="shared" si="7"/>
        <v>0</v>
      </c>
    </row>
    <row r="208" spans="1:9" s="428" customFormat="1" ht="15" x14ac:dyDescent="0.25">
      <c r="A208" s="804"/>
      <c r="B208" s="805"/>
      <c r="C208" s="797"/>
      <c r="D208" s="806"/>
      <c r="E208" s="807"/>
      <c r="F208" s="808"/>
      <c r="G208" s="809"/>
      <c r="H208" s="810"/>
      <c r="I208" s="811"/>
    </row>
    <row r="209" spans="1:9" s="428" customFormat="1" ht="15" x14ac:dyDescent="0.25">
      <c r="A209" s="812"/>
      <c r="B209" s="813"/>
      <c r="C209" s="814" t="s">
        <v>326</v>
      </c>
      <c r="D209" s="814"/>
      <c r="E209" s="815"/>
      <c r="F209" s="816"/>
      <c r="G209" s="817">
        <f>SUM(G109:G208)</f>
        <v>0</v>
      </c>
      <c r="H209" s="818"/>
      <c r="I209" s="819"/>
    </row>
    <row r="210" spans="1:9" s="428" customFormat="1" ht="15" x14ac:dyDescent="0.25">
      <c r="A210" s="812"/>
      <c r="B210" s="813"/>
      <c r="C210" s="814" t="s">
        <v>330</v>
      </c>
      <c r="D210" s="814" t="s">
        <v>433</v>
      </c>
      <c r="E210" s="820"/>
      <c r="F210" s="816">
        <f>SUM(G110:G123,G126,G132:G133,G140:G142,G145:G146,G160,G164,G165)</f>
        <v>0</v>
      </c>
      <c r="G210" s="817">
        <f>E210*F210/100</f>
        <v>0</v>
      </c>
      <c r="H210" s="818"/>
      <c r="I210" s="819"/>
    </row>
    <row r="211" spans="1:9" s="428" customFormat="1" ht="15" x14ac:dyDescent="0.25">
      <c r="A211" s="812"/>
      <c r="B211" s="813"/>
      <c r="C211" s="814" t="s">
        <v>331</v>
      </c>
      <c r="D211" s="814" t="s">
        <v>433</v>
      </c>
      <c r="E211" s="820"/>
      <c r="F211" s="816">
        <f>G209</f>
        <v>0</v>
      </c>
      <c r="G211" s="817">
        <f>E211*F211/100</f>
        <v>0</v>
      </c>
      <c r="H211" s="818"/>
      <c r="I211" s="819"/>
    </row>
    <row r="212" spans="1:9" s="428" customFormat="1" ht="15.75" thickBot="1" x14ac:dyDescent="0.3">
      <c r="A212" s="821"/>
      <c r="B212" s="822"/>
      <c r="C212" s="823"/>
      <c r="D212" s="823"/>
      <c r="E212" s="824"/>
      <c r="F212" s="825"/>
      <c r="G212" s="826"/>
      <c r="H212" s="827"/>
      <c r="I212" s="828"/>
    </row>
    <row r="213" spans="1:9" s="442" customFormat="1" ht="15" thickBot="1" x14ac:dyDescent="0.25">
      <c r="A213" s="772"/>
      <c r="B213" s="773"/>
      <c r="C213" s="774" t="s">
        <v>422</v>
      </c>
      <c r="D213" s="774"/>
      <c r="E213" s="775"/>
      <c r="F213" s="776"/>
      <c r="G213" s="777">
        <f>SUM(G209:G212)</f>
        <v>0</v>
      </c>
      <c r="H213" s="778"/>
      <c r="I213" s="779">
        <f>SUM(I208:I208)</f>
        <v>0</v>
      </c>
    </row>
    <row r="214" spans="1:9" s="442" customFormat="1" ht="14.25" x14ac:dyDescent="0.2">
      <c r="A214" s="829"/>
      <c r="B214" s="830"/>
      <c r="C214" s="831"/>
      <c r="D214" s="831"/>
      <c r="E214" s="832"/>
      <c r="F214" s="833"/>
      <c r="G214" s="834"/>
      <c r="H214" s="835"/>
      <c r="I214" s="836"/>
    </row>
    <row r="215" spans="1:9" s="421" customFormat="1" ht="19.899999999999999" customHeight="1" x14ac:dyDescent="0.25">
      <c r="A215" s="780" t="s">
        <v>307</v>
      </c>
      <c r="B215" s="837"/>
      <c r="C215" s="782"/>
      <c r="D215" s="782"/>
      <c r="E215" s="783"/>
      <c r="F215" s="784"/>
      <c r="G215" s="785"/>
      <c r="H215" s="786"/>
      <c r="I215" s="787"/>
    </row>
    <row r="216" spans="1:9" s="620" customFormat="1" ht="15" x14ac:dyDescent="0.25">
      <c r="A216" s="615">
        <v>162</v>
      </c>
      <c r="B216" s="616">
        <v>210800851</v>
      </c>
      <c r="C216" s="617" t="s">
        <v>332</v>
      </c>
      <c r="D216" s="617" t="s">
        <v>435</v>
      </c>
      <c r="E216" s="618">
        <v>126</v>
      </c>
      <c r="F216" s="850"/>
      <c r="G216" s="845">
        <f t="shared" ref="G216:G274" si="8">E216*F216</f>
        <v>0</v>
      </c>
      <c r="H216" s="846">
        <v>9.0999999999999998E-2</v>
      </c>
      <c r="I216" s="619">
        <f t="shared" ref="I216:I274" si="9">E216*H216</f>
        <v>11.465999999999999</v>
      </c>
    </row>
    <row r="217" spans="1:9" s="620" customFormat="1" ht="15" x14ac:dyDescent="0.25">
      <c r="A217" s="615">
        <v>163</v>
      </c>
      <c r="B217" s="616">
        <v>210800851</v>
      </c>
      <c r="C217" s="617" t="s">
        <v>332</v>
      </c>
      <c r="D217" s="617" t="s">
        <v>435</v>
      </c>
      <c r="E217" s="618">
        <v>70</v>
      </c>
      <c r="F217" s="850"/>
      <c r="G217" s="845">
        <f t="shared" si="8"/>
        <v>0</v>
      </c>
      <c r="H217" s="846">
        <v>9.0999999999999998E-2</v>
      </c>
      <c r="I217" s="619">
        <f t="shared" si="9"/>
        <v>6.37</v>
      </c>
    </row>
    <row r="218" spans="1:9" s="620" customFormat="1" ht="15" x14ac:dyDescent="0.25">
      <c r="A218" s="615">
        <v>164</v>
      </c>
      <c r="B218" s="616">
        <v>210810048</v>
      </c>
      <c r="C218" s="617" t="s">
        <v>308</v>
      </c>
      <c r="D218" s="617" t="s">
        <v>435</v>
      </c>
      <c r="E218" s="618">
        <v>381</v>
      </c>
      <c r="F218" s="850"/>
      <c r="G218" s="845">
        <f t="shared" si="8"/>
        <v>0</v>
      </c>
      <c r="H218" s="846">
        <v>0.09</v>
      </c>
      <c r="I218" s="619">
        <f t="shared" si="9"/>
        <v>34.29</v>
      </c>
    </row>
    <row r="219" spans="1:9" s="620" customFormat="1" ht="15" x14ac:dyDescent="0.25">
      <c r="A219" s="615">
        <v>165</v>
      </c>
      <c r="B219" s="616">
        <v>210810048</v>
      </c>
      <c r="C219" s="617" t="s">
        <v>308</v>
      </c>
      <c r="D219" s="617" t="s">
        <v>435</v>
      </c>
      <c r="E219" s="618">
        <v>233</v>
      </c>
      <c r="F219" s="850"/>
      <c r="G219" s="845">
        <f t="shared" si="8"/>
        <v>0</v>
      </c>
      <c r="H219" s="846">
        <v>0.09</v>
      </c>
      <c r="I219" s="619">
        <f t="shared" si="9"/>
        <v>20.97</v>
      </c>
    </row>
    <row r="220" spans="1:9" s="620" customFormat="1" ht="15" x14ac:dyDescent="0.25">
      <c r="A220" s="615">
        <v>166</v>
      </c>
      <c r="B220" s="616">
        <v>210810048</v>
      </c>
      <c r="C220" s="617" t="s">
        <v>308</v>
      </c>
      <c r="D220" s="617" t="s">
        <v>435</v>
      </c>
      <c r="E220" s="618">
        <v>1189</v>
      </c>
      <c r="F220" s="850"/>
      <c r="G220" s="845">
        <f t="shared" si="8"/>
        <v>0</v>
      </c>
      <c r="H220" s="846">
        <v>0.09</v>
      </c>
      <c r="I220" s="619">
        <f t="shared" si="9"/>
        <v>107.00999999999999</v>
      </c>
    </row>
    <row r="221" spans="1:9" s="620" customFormat="1" ht="15" x14ac:dyDescent="0.25">
      <c r="A221" s="615">
        <v>167</v>
      </c>
      <c r="B221" s="616">
        <v>210810048</v>
      </c>
      <c r="C221" s="617" t="s">
        <v>308</v>
      </c>
      <c r="D221" s="617" t="s">
        <v>435</v>
      </c>
      <c r="E221" s="618">
        <v>1158</v>
      </c>
      <c r="F221" s="850"/>
      <c r="G221" s="845">
        <f t="shared" si="8"/>
        <v>0</v>
      </c>
      <c r="H221" s="846">
        <v>0.09</v>
      </c>
      <c r="I221" s="619">
        <f t="shared" si="9"/>
        <v>104.22</v>
      </c>
    </row>
    <row r="222" spans="1:9" s="620" customFormat="1" ht="15" x14ac:dyDescent="0.25">
      <c r="A222" s="615">
        <v>168</v>
      </c>
      <c r="B222" s="616">
        <v>210810048</v>
      </c>
      <c r="C222" s="617" t="s">
        <v>308</v>
      </c>
      <c r="D222" s="617" t="s">
        <v>435</v>
      </c>
      <c r="E222" s="618">
        <v>254</v>
      </c>
      <c r="F222" s="850"/>
      <c r="G222" s="845">
        <f t="shared" si="8"/>
        <v>0</v>
      </c>
      <c r="H222" s="846">
        <v>0.09</v>
      </c>
      <c r="I222" s="619">
        <f t="shared" si="9"/>
        <v>22.86</v>
      </c>
    </row>
    <row r="223" spans="1:9" s="620" customFormat="1" ht="15" x14ac:dyDescent="0.25">
      <c r="A223" s="615">
        <v>169</v>
      </c>
      <c r="B223" s="616">
        <v>210810052</v>
      </c>
      <c r="C223" s="617" t="s">
        <v>414</v>
      </c>
      <c r="D223" s="617" t="s">
        <v>435</v>
      </c>
      <c r="E223" s="618">
        <v>31</v>
      </c>
      <c r="F223" s="850"/>
      <c r="G223" s="845">
        <f t="shared" si="8"/>
        <v>0</v>
      </c>
      <c r="H223" s="846">
        <v>9.5000000000000001E-2</v>
      </c>
      <c r="I223" s="619">
        <f t="shared" si="9"/>
        <v>2.9449999999999998</v>
      </c>
    </row>
    <row r="224" spans="1:9" s="620" customFormat="1" ht="15" x14ac:dyDescent="0.25">
      <c r="A224" s="615">
        <v>170</v>
      </c>
      <c r="B224" s="616">
        <v>210810048</v>
      </c>
      <c r="C224" s="617" t="s">
        <v>308</v>
      </c>
      <c r="D224" s="617" t="s">
        <v>435</v>
      </c>
      <c r="E224" s="618">
        <v>146</v>
      </c>
      <c r="F224" s="850"/>
      <c r="G224" s="845">
        <f t="shared" si="8"/>
        <v>0</v>
      </c>
      <c r="H224" s="846">
        <v>0.09</v>
      </c>
      <c r="I224" s="619">
        <f t="shared" si="9"/>
        <v>13.139999999999999</v>
      </c>
    </row>
    <row r="225" spans="1:9" s="620" customFormat="1" ht="15" x14ac:dyDescent="0.25">
      <c r="A225" s="615">
        <v>171</v>
      </c>
      <c r="B225" s="616">
        <v>210810052</v>
      </c>
      <c r="C225" s="617" t="s">
        <v>414</v>
      </c>
      <c r="D225" s="617" t="s">
        <v>435</v>
      </c>
      <c r="E225" s="618">
        <v>33</v>
      </c>
      <c r="F225" s="850"/>
      <c r="G225" s="845">
        <f t="shared" si="8"/>
        <v>0</v>
      </c>
      <c r="H225" s="846">
        <v>9.5000000000000001E-2</v>
      </c>
      <c r="I225" s="619">
        <f t="shared" si="9"/>
        <v>3.1350000000000002</v>
      </c>
    </row>
    <row r="226" spans="1:9" s="620" customFormat="1" ht="15" x14ac:dyDescent="0.25">
      <c r="A226" s="615">
        <v>172</v>
      </c>
      <c r="B226" s="616">
        <v>210810955</v>
      </c>
      <c r="C226" s="617" t="s">
        <v>570</v>
      </c>
      <c r="D226" s="617" t="s">
        <v>435</v>
      </c>
      <c r="E226" s="618">
        <v>72</v>
      </c>
      <c r="F226" s="850"/>
      <c r="G226" s="845">
        <f t="shared" si="8"/>
        <v>0</v>
      </c>
      <c r="H226" s="846">
        <v>0.16900000000000001</v>
      </c>
      <c r="I226" s="619">
        <f t="shared" si="9"/>
        <v>12.168000000000001</v>
      </c>
    </row>
    <row r="227" spans="1:9" s="620" customFormat="1" ht="15" x14ac:dyDescent="0.25">
      <c r="A227" s="615">
        <v>173</v>
      </c>
      <c r="B227" s="616">
        <v>210810955</v>
      </c>
      <c r="C227" s="617" t="s">
        <v>570</v>
      </c>
      <c r="D227" s="617" t="s">
        <v>435</v>
      </c>
      <c r="E227" s="618">
        <v>87</v>
      </c>
      <c r="F227" s="850"/>
      <c r="G227" s="845">
        <f t="shared" si="8"/>
        <v>0</v>
      </c>
      <c r="H227" s="846">
        <v>0.16900000000000001</v>
      </c>
      <c r="I227" s="619">
        <f t="shared" si="9"/>
        <v>14.703000000000001</v>
      </c>
    </row>
    <row r="228" spans="1:9" s="620" customFormat="1" ht="15" x14ac:dyDescent="0.25">
      <c r="A228" s="615">
        <v>174</v>
      </c>
      <c r="B228" s="616">
        <v>210860281</v>
      </c>
      <c r="C228" s="617" t="s">
        <v>902</v>
      </c>
      <c r="D228" s="617" t="s">
        <v>435</v>
      </c>
      <c r="E228" s="618">
        <v>72</v>
      </c>
      <c r="F228" s="850"/>
      <c r="G228" s="845">
        <f t="shared" si="8"/>
        <v>0</v>
      </c>
      <c r="H228" s="846">
        <v>9.0999999999999998E-2</v>
      </c>
      <c r="I228" s="619">
        <f t="shared" si="9"/>
        <v>6.5519999999999996</v>
      </c>
    </row>
    <row r="229" spans="1:9" s="620" customFormat="1" ht="15" x14ac:dyDescent="0.25">
      <c r="A229" s="615">
        <v>175</v>
      </c>
      <c r="B229" s="616">
        <v>210950321</v>
      </c>
      <c r="C229" s="617" t="s">
        <v>903</v>
      </c>
      <c r="D229" s="617" t="s">
        <v>435</v>
      </c>
      <c r="E229" s="618">
        <v>102</v>
      </c>
      <c r="F229" s="850"/>
      <c r="G229" s="845">
        <f t="shared" si="8"/>
        <v>0</v>
      </c>
      <c r="H229" s="846">
        <v>9.0999999999999998E-2</v>
      </c>
      <c r="I229" s="619">
        <f t="shared" si="9"/>
        <v>9.282</v>
      </c>
    </row>
    <row r="230" spans="1:9" s="620" customFormat="1" ht="15" x14ac:dyDescent="0.25">
      <c r="A230" s="615">
        <v>176</v>
      </c>
      <c r="B230" s="616">
        <v>210100101</v>
      </c>
      <c r="C230" s="617" t="s">
        <v>364</v>
      </c>
      <c r="D230" s="617" t="s">
        <v>275</v>
      </c>
      <c r="E230" s="618">
        <v>80</v>
      </c>
      <c r="F230" s="850"/>
      <c r="G230" s="845">
        <f t="shared" si="8"/>
        <v>0</v>
      </c>
      <c r="H230" s="846">
        <v>6.7000000000000004E-2</v>
      </c>
      <c r="I230" s="619">
        <f t="shared" si="9"/>
        <v>5.36</v>
      </c>
    </row>
    <row r="231" spans="1:9" s="620" customFormat="1" ht="15" x14ac:dyDescent="0.25">
      <c r="A231" s="615">
        <v>177</v>
      </c>
      <c r="B231" s="616">
        <v>210100251</v>
      </c>
      <c r="C231" s="617" t="s">
        <v>309</v>
      </c>
      <c r="D231" s="617" t="s">
        <v>275</v>
      </c>
      <c r="E231" s="618">
        <v>48</v>
      </c>
      <c r="F231" s="850"/>
      <c r="G231" s="845">
        <f t="shared" si="8"/>
        <v>0</v>
      </c>
      <c r="H231" s="846">
        <v>0.24199999999999999</v>
      </c>
      <c r="I231" s="619">
        <f t="shared" si="9"/>
        <v>11.616</v>
      </c>
    </row>
    <row r="232" spans="1:9" s="620" customFormat="1" ht="15" x14ac:dyDescent="0.25">
      <c r="A232" s="615">
        <v>178</v>
      </c>
      <c r="B232" s="616">
        <v>210100259</v>
      </c>
      <c r="C232" s="617" t="s">
        <v>310</v>
      </c>
      <c r="D232" s="617" t="s">
        <v>275</v>
      </c>
      <c r="E232" s="618">
        <v>6</v>
      </c>
      <c r="F232" s="850"/>
      <c r="G232" s="845">
        <f t="shared" si="8"/>
        <v>0</v>
      </c>
      <c r="H232" s="846">
        <v>0.42199999999999999</v>
      </c>
      <c r="I232" s="619">
        <f t="shared" si="9"/>
        <v>2.532</v>
      </c>
    </row>
    <row r="233" spans="1:9" s="620" customFormat="1" ht="15" x14ac:dyDescent="0.25">
      <c r="A233" s="615">
        <v>179</v>
      </c>
      <c r="B233" s="616">
        <v>210100252</v>
      </c>
      <c r="C233" s="617" t="s">
        <v>415</v>
      </c>
      <c r="D233" s="617" t="s">
        <v>275</v>
      </c>
      <c r="E233" s="618">
        <v>4</v>
      </c>
      <c r="F233" s="850"/>
      <c r="G233" s="845">
        <f t="shared" si="8"/>
        <v>0</v>
      </c>
      <c r="H233" s="846">
        <v>0.495</v>
      </c>
      <c r="I233" s="619">
        <f t="shared" si="9"/>
        <v>1.98</v>
      </c>
    </row>
    <row r="234" spans="1:9" s="620" customFormat="1" ht="15" x14ac:dyDescent="0.25">
      <c r="A234" s="615">
        <v>180</v>
      </c>
      <c r="B234" s="616">
        <v>210100252</v>
      </c>
      <c r="C234" s="617" t="s">
        <v>415</v>
      </c>
      <c r="D234" s="617" t="s">
        <v>275</v>
      </c>
      <c r="E234" s="618">
        <v>4</v>
      </c>
      <c r="F234" s="850"/>
      <c r="G234" s="845">
        <f t="shared" si="8"/>
        <v>0</v>
      </c>
      <c r="H234" s="846">
        <v>0.495</v>
      </c>
      <c r="I234" s="619">
        <f t="shared" si="9"/>
        <v>1.98</v>
      </c>
    </row>
    <row r="235" spans="1:9" s="620" customFormat="1" ht="15" x14ac:dyDescent="0.25">
      <c r="A235" s="615">
        <v>181</v>
      </c>
      <c r="B235" s="616">
        <v>210100260</v>
      </c>
      <c r="C235" s="617" t="s">
        <v>571</v>
      </c>
      <c r="D235" s="617" t="s">
        <v>275</v>
      </c>
      <c r="E235" s="618">
        <v>6</v>
      </c>
      <c r="F235" s="850"/>
      <c r="G235" s="845">
        <f t="shared" si="8"/>
        <v>0</v>
      </c>
      <c r="H235" s="846">
        <v>0.443</v>
      </c>
      <c r="I235" s="619">
        <f t="shared" si="9"/>
        <v>2.6579999999999999</v>
      </c>
    </row>
    <row r="236" spans="1:9" s="620" customFormat="1" ht="15" x14ac:dyDescent="0.25">
      <c r="A236" s="615">
        <v>182</v>
      </c>
      <c r="B236" s="616">
        <v>210100262</v>
      </c>
      <c r="C236" s="617" t="s">
        <v>572</v>
      </c>
      <c r="D236" s="617" t="s">
        <v>275</v>
      </c>
      <c r="E236" s="618">
        <v>2</v>
      </c>
      <c r="F236" s="850"/>
      <c r="G236" s="845">
        <f t="shared" si="8"/>
        <v>0</v>
      </c>
      <c r="H236" s="846">
        <v>0.71699999999999997</v>
      </c>
      <c r="I236" s="619">
        <f t="shared" si="9"/>
        <v>1.4339999999999999</v>
      </c>
    </row>
    <row r="237" spans="1:9" s="315" customFormat="1" ht="15" x14ac:dyDescent="0.25">
      <c r="A237" s="366"/>
      <c r="B237" s="796"/>
      <c r="C237" s="797" t="s">
        <v>329</v>
      </c>
      <c r="D237" s="798"/>
      <c r="E237" s="799"/>
      <c r="F237" s="550"/>
      <c r="G237" s="800"/>
      <c r="H237" s="801"/>
      <c r="I237" s="802"/>
    </row>
    <row r="238" spans="1:9" s="620" customFormat="1" ht="15" x14ac:dyDescent="0.25">
      <c r="A238" s="615">
        <v>183</v>
      </c>
      <c r="B238" s="616">
        <v>210010331</v>
      </c>
      <c r="C238" s="617" t="s">
        <v>573</v>
      </c>
      <c r="D238" s="617" t="s">
        <v>275</v>
      </c>
      <c r="E238" s="618">
        <v>172</v>
      </c>
      <c r="F238" s="850"/>
      <c r="G238" s="845">
        <f t="shared" ref="G238:G255" si="10">E238*F238</f>
        <v>0</v>
      </c>
      <c r="H238" s="846">
        <v>0.17899999999999999</v>
      </c>
      <c r="I238" s="619">
        <f t="shared" ref="I238:I255" si="11">E238*H238</f>
        <v>30.788</v>
      </c>
    </row>
    <row r="239" spans="1:9" s="620" customFormat="1" ht="15" x14ac:dyDescent="0.25">
      <c r="A239" s="615">
        <v>184</v>
      </c>
      <c r="B239" s="616">
        <v>210010331</v>
      </c>
      <c r="C239" s="617" t="s">
        <v>573</v>
      </c>
      <c r="D239" s="617" t="s">
        <v>275</v>
      </c>
      <c r="E239" s="618">
        <v>1</v>
      </c>
      <c r="F239" s="850"/>
      <c r="G239" s="845">
        <f t="shared" si="10"/>
        <v>0</v>
      </c>
      <c r="H239" s="846">
        <v>0.17899999999999999</v>
      </c>
      <c r="I239" s="619">
        <f t="shared" si="11"/>
        <v>0.17899999999999999</v>
      </c>
    </row>
    <row r="240" spans="1:9" s="620" customFormat="1" ht="15" x14ac:dyDescent="0.25">
      <c r="A240" s="615">
        <v>185</v>
      </c>
      <c r="B240" s="616">
        <v>210010301</v>
      </c>
      <c r="C240" s="617" t="s">
        <v>312</v>
      </c>
      <c r="D240" s="617" t="s">
        <v>275</v>
      </c>
      <c r="E240" s="618">
        <v>38</v>
      </c>
      <c r="F240" s="850"/>
      <c r="G240" s="845">
        <f t="shared" si="10"/>
        <v>0</v>
      </c>
      <c r="H240" s="846">
        <v>9.0999999999999998E-2</v>
      </c>
      <c r="I240" s="619">
        <f t="shared" si="11"/>
        <v>3.4579999999999997</v>
      </c>
    </row>
    <row r="241" spans="1:9" s="620" customFormat="1" ht="15" x14ac:dyDescent="0.25">
      <c r="A241" s="615">
        <v>186</v>
      </c>
      <c r="B241" s="616">
        <v>210010453</v>
      </c>
      <c r="C241" s="617" t="s">
        <v>311</v>
      </c>
      <c r="D241" s="617" t="s">
        <v>275</v>
      </c>
      <c r="E241" s="618">
        <v>16</v>
      </c>
      <c r="F241" s="850"/>
      <c r="G241" s="845">
        <f t="shared" si="10"/>
        <v>0</v>
      </c>
      <c r="H241" s="846">
        <v>0.61199999999999999</v>
      </c>
      <c r="I241" s="619">
        <f t="shared" si="11"/>
        <v>9.7919999999999998</v>
      </c>
    </row>
    <row r="242" spans="1:9" s="620" customFormat="1" ht="15" x14ac:dyDescent="0.25">
      <c r="A242" s="615">
        <v>187</v>
      </c>
      <c r="B242" s="616">
        <v>210010454</v>
      </c>
      <c r="C242" s="617" t="s">
        <v>904</v>
      </c>
      <c r="D242" s="617" t="s">
        <v>275</v>
      </c>
      <c r="E242" s="618">
        <v>16</v>
      </c>
      <c r="F242" s="850"/>
      <c r="G242" s="845">
        <f t="shared" si="10"/>
        <v>0</v>
      </c>
      <c r="H242" s="846">
        <v>0.65400000000000003</v>
      </c>
      <c r="I242" s="619">
        <f t="shared" si="11"/>
        <v>10.464</v>
      </c>
    </row>
    <row r="243" spans="1:9" s="620" customFormat="1" ht="15" x14ac:dyDescent="0.25">
      <c r="A243" s="615">
        <v>188</v>
      </c>
      <c r="B243" s="616">
        <v>210010002</v>
      </c>
      <c r="C243" s="617" t="s">
        <v>905</v>
      </c>
      <c r="D243" s="617" t="s">
        <v>435</v>
      </c>
      <c r="E243" s="618">
        <v>86</v>
      </c>
      <c r="F243" s="850"/>
      <c r="G243" s="845">
        <f t="shared" si="10"/>
        <v>0</v>
      </c>
      <c r="H243" s="846">
        <v>0.08</v>
      </c>
      <c r="I243" s="619">
        <f t="shared" si="11"/>
        <v>6.88</v>
      </c>
    </row>
    <row r="244" spans="1:9" s="620" customFormat="1" ht="15" x14ac:dyDescent="0.25">
      <c r="A244" s="615">
        <v>189</v>
      </c>
      <c r="B244" s="616">
        <v>210010003</v>
      </c>
      <c r="C244" s="617" t="s">
        <v>906</v>
      </c>
      <c r="D244" s="617" t="s">
        <v>435</v>
      </c>
      <c r="E244" s="618">
        <v>32</v>
      </c>
      <c r="F244" s="850"/>
      <c r="G244" s="845">
        <f t="shared" si="10"/>
        <v>0</v>
      </c>
      <c r="H244" s="846">
        <v>8.2000000000000003E-2</v>
      </c>
      <c r="I244" s="619">
        <f t="shared" si="11"/>
        <v>2.6240000000000001</v>
      </c>
    </row>
    <row r="245" spans="1:9" s="620" customFormat="1" ht="15" x14ac:dyDescent="0.25">
      <c r="A245" s="615">
        <v>190</v>
      </c>
      <c r="B245" s="616">
        <v>210010105</v>
      </c>
      <c r="C245" s="617" t="s">
        <v>575</v>
      </c>
      <c r="D245" s="617" t="s">
        <v>435</v>
      </c>
      <c r="E245" s="618">
        <v>128</v>
      </c>
      <c r="F245" s="850"/>
      <c r="G245" s="845">
        <f t="shared" si="10"/>
        <v>0</v>
      </c>
      <c r="H245" s="846">
        <v>0.17100000000000001</v>
      </c>
      <c r="I245" s="619">
        <f t="shared" si="11"/>
        <v>21.888000000000002</v>
      </c>
    </row>
    <row r="246" spans="1:9" s="620" customFormat="1" ht="15" x14ac:dyDescent="0.25">
      <c r="A246" s="615">
        <v>191</v>
      </c>
      <c r="B246" s="616">
        <v>210010105</v>
      </c>
      <c r="C246" s="617" t="s">
        <v>575</v>
      </c>
      <c r="D246" s="617" t="s">
        <v>435</v>
      </c>
      <c r="E246" s="618">
        <v>64</v>
      </c>
      <c r="F246" s="850"/>
      <c r="G246" s="845">
        <f t="shared" si="10"/>
        <v>0</v>
      </c>
      <c r="H246" s="846">
        <v>0.17100000000000001</v>
      </c>
      <c r="I246" s="619">
        <f t="shared" si="11"/>
        <v>10.944000000000001</v>
      </c>
    </row>
    <row r="247" spans="1:9" s="620" customFormat="1" ht="15" x14ac:dyDescent="0.25">
      <c r="A247" s="615">
        <v>192</v>
      </c>
      <c r="B247" s="616">
        <v>210010105</v>
      </c>
      <c r="C247" s="617" t="s">
        <v>575</v>
      </c>
      <c r="D247" s="617" t="s">
        <v>435</v>
      </c>
      <c r="E247" s="618">
        <v>206</v>
      </c>
      <c r="F247" s="850"/>
      <c r="G247" s="845">
        <f t="shared" si="10"/>
        <v>0</v>
      </c>
      <c r="H247" s="846">
        <v>0.17100000000000001</v>
      </c>
      <c r="I247" s="619">
        <f t="shared" si="11"/>
        <v>35.226000000000006</v>
      </c>
    </row>
    <row r="248" spans="1:9" s="620" customFormat="1" ht="15" x14ac:dyDescent="0.25">
      <c r="A248" s="615">
        <v>193</v>
      </c>
      <c r="B248" s="616">
        <v>210010105</v>
      </c>
      <c r="C248" s="617" t="s">
        <v>575</v>
      </c>
      <c r="D248" s="617" t="s">
        <v>435</v>
      </c>
      <c r="E248" s="618">
        <v>126</v>
      </c>
      <c r="F248" s="850"/>
      <c r="G248" s="845">
        <f t="shared" si="10"/>
        <v>0</v>
      </c>
      <c r="H248" s="846">
        <v>0.17100000000000001</v>
      </c>
      <c r="I248" s="619">
        <f t="shared" si="11"/>
        <v>21.546000000000003</v>
      </c>
    </row>
    <row r="249" spans="1:9" s="620" customFormat="1" ht="15" x14ac:dyDescent="0.25">
      <c r="A249" s="615">
        <v>194</v>
      </c>
      <c r="B249" s="616">
        <v>210020412</v>
      </c>
      <c r="C249" s="617" t="s">
        <v>576</v>
      </c>
      <c r="D249" s="617" t="s">
        <v>435</v>
      </c>
      <c r="E249" s="618">
        <v>60</v>
      </c>
      <c r="F249" s="850"/>
      <c r="G249" s="845">
        <f t="shared" si="10"/>
        <v>0</v>
      </c>
      <c r="H249" s="846">
        <v>0.79</v>
      </c>
      <c r="I249" s="619">
        <f t="shared" si="11"/>
        <v>47.400000000000006</v>
      </c>
    </row>
    <row r="250" spans="1:9" s="620" customFormat="1" ht="15" x14ac:dyDescent="0.25">
      <c r="A250" s="615">
        <v>195</v>
      </c>
      <c r="B250" s="616">
        <v>210020451</v>
      </c>
      <c r="C250" s="617" t="s">
        <v>577</v>
      </c>
      <c r="D250" s="617" t="s">
        <v>275</v>
      </c>
      <c r="E250" s="618">
        <v>102</v>
      </c>
      <c r="F250" s="850"/>
      <c r="G250" s="845">
        <f t="shared" si="10"/>
        <v>0</v>
      </c>
      <c r="H250" s="846">
        <v>0.26</v>
      </c>
      <c r="I250" s="619">
        <f t="shared" si="11"/>
        <v>26.52</v>
      </c>
    </row>
    <row r="251" spans="1:9" s="620" customFormat="1" ht="15" x14ac:dyDescent="0.25">
      <c r="A251" s="615">
        <v>196</v>
      </c>
      <c r="B251" s="616">
        <v>210020305</v>
      </c>
      <c r="C251" s="617" t="s">
        <v>907</v>
      </c>
      <c r="D251" s="617" t="s">
        <v>435</v>
      </c>
      <c r="E251" s="618">
        <v>46</v>
      </c>
      <c r="F251" s="850"/>
      <c r="G251" s="845">
        <f t="shared" si="10"/>
        <v>0</v>
      </c>
      <c r="H251" s="846">
        <v>0.64400000000000002</v>
      </c>
      <c r="I251" s="619">
        <f t="shared" si="11"/>
        <v>29.624000000000002</v>
      </c>
    </row>
    <row r="252" spans="1:9" s="620" customFormat="1" ht="15" x14ac:dyDescent="0.25">
      <c r="A252" s="615">
        <v>197</v>
      </c>
      <c r="B252" s="616">
        <v>210010321</v>
      </c>
      <c r="C252" s="617" t="s">
        <v>365</v>
      </c>
      <c r="D252" s="617" t="s">
        <v>275</v>
      </c>
      <c r="E252" s="618">
        <v>17</v>
      </c>
      <c r="F252" s="850"/>
      <c r="G252" s="845">
        <f t="shared" si="10"/>
        <v>0</v>
      </c>
      <c r="H252" s="846">
        <v>0.39</v>
      </c>
      <c r="I252" s="619">
        <f t="shared" si="11"/>
        <v>6.63</v>
      </c>
    </row>
    <row r="253" spans="1:9" s="620" customFormat="1" ht="15" x14ac:dyDescent="0.25">
      <c r="A253" s="615">
        <v>198</v>
      </c>
      <c r="B253" s="616">
        <v>210010332</v>
      </c>
      <c r="C253" s="617" t="s">
        <v>574</v>
      </c>
      <c r="D253" s="617" t="s">
        <v>275</v>
      </c>
      <c r="E253" s="618">
        <v>226</v>
      </c>
      <c r="F253" s="850"/>
      <c r="G253" s="845">
        <f t="shared" si="10"/>
        <v>0</v>
      </c>
      <c r="H253" s="846">
        <v>0.33200000000000002</v>
      </c>
      <c r="I253" s="619">
        <f t="shared" si="11"/>
        <v>75.032000000000011</v>
      </c>
    </row>
    <row r="254" spans="1:9" s="620" customFormat="1" ht="15" x14ac:dyDescent="0.25">
      <c r="A254" s="615">
        <v>199</v>
      </c>
      <c r="B254" s="616">
        <v>210010453</v>
      </c>
      <c r="C254" s="617" t="s">
        <v>311</v>
      </c>
      <c r="D254" s="617" t="s">
        <v>275</v>
      </c>
      <c r="E254" s="618">
        <v>12</v>
      </c>
      <c r="F254" s="850"/>
      <c r="G254" s="845">
        <f t="shared" si="10"/>
        <v>0</v>
      </c>
      <c r="H254" s="846">
        <v>0.61199999999999999</v>
      </c>
      <c r="I254" s="619">
        <f t="shared" si="11"/>
        <v>7.3439999999999994</v>
      </c>
    </row>
    <row r="255" spans="1:9" s="620" customFormat="1" ht="15" x14ac:dyDescent="0.25">
      <c r="A255" s="615">
        <v>200</v>
      </c>
      <c r="B255" s="616">
        <v>210192562</v>
      </c>
      <c r="C255" s="617" t="s">
        <v>914</v>
      </c>
      <c r="D255" s="617" t="s">
        <v>275</v>
      </c>
      <c r="E255" s="618">
        <v>12</v>
      </c>
      <c r="F255" s="850"/>
      <c r="G255" s="845">
        <f t="shared" si="10"/>
        <v>0</v>
      </c>
      <c r="H255" s="846">
        <v>0.36899999999999999</v>
      </c>
      <c r="I255" s="619">
        <f t="shared" si="11"/>
        <v>4.4279999999999999</v>
      </c>
    </row>
    <row r="256" spans="1:9" s="315" customFormat="1" ht="15" x14ac:dyDescent="0.25">
      <c r="A256" s="366"/>
      <c r="B256" s="796"/>
      <c r="C256" s="803" t="s">
        <v>569</v>
      </c>
      <c r="D256" s="798"/>
      <c r="E256" s="799"/>
      <c r="F256" s="550"/>
      <c r="G256" s="800"/>
      <c r="H256" s="801"/>
      <c r="I256" s="802"/>
    </row>
    <row r="257" spans="1:9" s="620" customFormat="1" ht="15" x14ac:dyDescent="0.25">
      <c r="A257" s="615">
        <v>201</v>
      </c>
      <c r="B257" s="616">
        <v>210110041</v>
      </c>
      <c r="C257" s="617" t="s">
        <v>366</v>
      </c>
      <c r="D257" s="617" t="s">
        <v>275</v>
      </c>
      <c r="E257" s="618">
        <v>92</v>
      </c>
      <c r="F257" s="850"/>
      <c r="G257" s="845">
        <f t="shared" ref="G257:G272" si="12">E257*F257</f>
        <v>0</v>
      </c>
      <c r="H257" s="846">
        <v>0.14799999999999999</v>
      </c>
      <c r="I257" s="619">
        <f t="shared" ref="I257:I272" si="13">E257*H257</f>
        <v>13.616</v>
      </c>
    </row>
    <row r="258" spans="1:9" s="620" customFormat="1" ht="15" x14ac:dyDescent="0.25">
      <c r="A258" s="615">
        <v>202</v>
      </c>
      <c r="B258" s="616">
        <v>210110047</v>
      </c>
      <c r="C258" s="617" t="s">
        <v>578</v>
      </c>
      <c r="D258" s="617" t="s">
        <v>275</v>
      </c>
      <c r="E258" s="618">
        <v>3</v>
      </c>
      <c r="F258" s="850"/>
      <c r="G258" s="845">
        <f t="shared" si="12"/>
        <v>0</v>
      </c>
      <c r="H258" s="846">
        <v>0.17</v>
      </c>
      <c r="I258" s="619">
        <f t="shared" si="13"/>
        <v>0.51</v>
      </c>
    </row>
    <row r="259" spans="1:9" s="620" customFormat="1" ht="15" x14ac:dyDescent="0.25">
      <c r="A259" s="615">
        <v>203</v>
      </c>
      <c r="B259" s="616">
        <v>210110042</v>
      </c>
      <c r="C259" s="617" t="s">
        <v>908</v>
      </c>
      <c r="D259" s="617" t="s">
        <v>275</v>
      </c>
      <c r="E259" s="618">
        <v>12</v>
      </c>
      <c r="F259" s="850"/>
      <c r="G259" s="845">
        <f t="shared" si="12"/>
        <v>0</v>
      </c>
      <c r="H259" s="846">
        <v>0.19</v>
      </c>
      <c r="I259" s="619">
        <f t="shared" si="13"/>
        <v>2.2800000000000002</v>
      </c>
    </row>
    <row r="260" spans="1:9" s="620" customFormat="1" ht="15" x14ac:dyDescent="0.25">
      <c r="A260" s="615">
        <v>204</v>
      </c>
      <c r="B260" s="616">
        <v>210110045</v>
      </c>
      <c r="C260" s="617" t="s">
        <v>367</v>
      </c>
      <c r="D260" s="617" t="s">
        <v>275</v>
      </c>
      <c r="E260" s="618">
        <v>22</v>
      </c>
      <c r="F260" s="850"/>
      <c r="G260" s="845">
        <f t="shared" si="12"/>
        <v>0</v>
      </c>
      <c r="H260" s="846">
        <v>0.17</v>
      </c>
      <c r="I260" s="619">
        <f t="shared" si="13"/>
        <v>3.74</v>
      </c>
    </row>
    <row r="261" spans="1:9" s="620" customFormat="1" ht="15" x14ac:dyDescent="0.25">
      <c r="A261" s="615">
        <v>205</v>
      </c>
      <c r="B261" s="616">
        <v>210110046</v>
      </c>
      <c r="C261" s="617" t="s">
        <v>579</v>
      </c>
      <c r="D261" s="617" t="s">
        <v>275</v>
      </c>
      <c r="E261" s="618">
        <v>5</v>
      </c>
      <c r="F261" s="850"/>
      <c r="G261" s="845">
        <f t="shared" si="12"/>
        <v>0</v>
      </c>
      <c r="H261" s="846">
        <v>0.19</v>
      </c>
      <c r="I261" s="619">
        <f t="shared" si="13"/>
        <v>0.95</v>
      </c>
    </row>
    <row r="262" spans="1:9" s="620" customFormat="1" ht="15" x14ac:dyDescent="0.25">
      <c r="A262" s="615">
        <v>206</v>
      </c>
      <c r="B262" s="616">
        <v>210110062</v>
      </c>
      <c r="C262" s="617" t="s">
        <v>580</v>
      </c>
      <c r="D262" s="617" t="s">
        <v>275</v>
      </c>
      <c r="E262" s="618">
        <v>8</v>
      </c>
      <c r="F262" s="850"/>
      <c r="G262" s="845">
        <f t="shared" si="12"/>
        <v>0</v>
      </c>
      <c r="H262" s="846">
        <v>0.14799999999999999</v>
      </c>
      <c r="I262" s="619">
        <f t="shared" si="13"/>
        <v>1.1839999999999999</v>
      </c>
    </row>
    <row r="263" spans="1:9" s="620" customFormat="1" ht="15" x14ac:dyDescent="0.25">
      <c r="A263" s="615">
        <v>207</v>
      </c>
      <c r="B263" s="616">
        <v>210110063</v>
      </c>
      <c r="C263" s="617" t="s">
        <v>909</v>
      </c>
      <c r="D263" s="617" t="s">
        <v>275</v>
      </c>
      <c r="E263" s="618">
        <v>12</v>
      </c>
      <c r="F263" s="850"/>
      <c r="G263" s="845">
        <f t="shared" si="12"/>
        <v>0</v>
      </c>
      <c r="H263" s="846">
        <v>0.2</v>
      </c>
      <c r="I263" s="619">
        <f t="shared" si="13"/>
        <v>2.4000000000000004</v>
      </c>
    </row>
    <row r="264" spans="1:9" s="620" customFormat="1" ht="15" x14ac:dyDescent="0.25">
      <c r="A264" s="615">
        <v>208</v>
      </c>
      <c r="B264" s="616">
        <v>210110104</v>
      </c>
      <c r="C264" s="617" t="s">
        <v>910</v>
      </c>
      <c r="D264" s="617" t="s">
        <v>275</v>
      </c>
      <c r="E264" s="618">
        <v>12</v>
      </c>
      <c r="F264" s="850"/>
      <c r="G264" s="845">
        <f t="shared" si="12"/>
        <v>0</v>
      </c>
      <c r="H264" s="846">
        <v>0.40899999999999997</v>
      </c>
      <c r="I264" s="619">
        <f t="shared" si="13"/>
        <v>4.9079999999999995</v>
      </c>
    </row>
    <row r="265" spans="1:9" s="620" customFormat="1" ht="15" x14ac:dyDescent="0.25">
      <c r="A265" s="615">
        <v>209</v>
      </c>
      <c r="B265" s="616">
        <v>210110082</v>
      </c>
      <c r="C265" s="617" t="s">
        <v>911</v>
      </c>
      <c r="D265" s="617" t="s">
        <v>275</v>
      </c>
      <c r="E265" s="618">
        <v>1</v>
      </c>
      <c r="F265" s="850"/>
      <c r="G265" s="845">
        <f t="shared" si="12"/>
        <v>0</v>
      </c>
      <c r="H265" s="846">
        <v>0.4</v>
      </c>
      <c r="I265" s="619">
        <f t="shared" si="13"/>
        <v>0.4</v>
      </c>
    </row>
    <row r="266" spans="1:9" s="620" customFormat="1" ht="15" x14ac:dyDescent="0.25">
      <c r="A266" s="615">
        <v>210</v>
      </c>
      <c r="B266" s="616">
        <v>210021011</v>
      </c>
      <c r="C266" s="617" t="s">
        <v>912</v>
      </c>
      <c r="D266" s="617" t="s">
        <v>275</v>
      </c>
      <c r="E266" s="618">
        <v>1</v>
      </c>
      <c r="F266" s="850"/>
      <c r="G266" s="845">
        <f t="shared" si="12"/>
        <v>0</v>
      </c>
      <c r="H266" s="846">
        <v>0.193</v>
      </c>
      <c r="I266" s="619">
        <f t="shared" si="13"/>
        <v>0.193</v>
      </c>
    </row>
    <row r="267" spans="1:9" s="620" customFormat="1" ht="15" x14ac:dyDescent="0.25">
      <c r="A267" s="615">
        <v>211</v>
      </c>
      <c r="B267" s="616">
        <v>210110301</v>
      </c>
      <c r="C267" s="617" t="s">
        <v>913</v>
      </c>
      <c r="D267" s="617" t="s">
        <v>275</v>
      </c>
      <c r="E267" s="618">
        <v>1</v>
      </c>
      <c r="F267" s="850"/>
      <c r="G267" s="845">
        <f t="shared" si="12"/>
        <v>0</v>
      </c>
      <c r="H267" s="846">
        <v>0.38</v>
      </c>
      <c r="I267" s="619">
        <f t="shared" si="13"/>
        <v>0.38</v>
      </c>
    </row>
    <row r="268" spans="1:9" s="620" customFormat="1" ht="15" x14ac:dyDescent="0.25">
      <c r="A268" s="615">
        <v>212</v>
      </c>
      <c r="B268" s="616">
        <v>210111012</v>
      </c>
      <c r="C268" s="617" t="s">
        <v>313</v>
      </c>
      <c r="D268" s="617" t="s">
        <v>275</v>
      </c>
      <c r="E268" s="618">
        <v>59</v>
      </c>
      <c r="F268" s="850"/>
      <c r="G268" s="845">
        <f t="shared" si="12"/>
        <v>0</v>
      </c>
      <c r="H268" s="846">
        <v>0.32700000000000001</v>
      </c>
      <c r="I268" s="619">
        <f t="shared" si="13"/>
        <v>19.292999999999999</v>
      </c>
    </row>
    <row r="269" spans="1:9" s="620" customFormat="1" ht="15" x14ac:dyDescent="0.25">
      <c r="A269" s="615">
        <v>213</v>
      </c>
      <c r="B269" s="616">
        <v>210111012</v>
      </c>
      <c r="C269" s="617" t="s">
        <v>313</v>
      </c>
      <c r="D269" s="617" t="s">
        <v>275</v>
      </c>
      <c r="E269" s="618">
        <v>91</v>
      </c>
      <c r="F269" s="850"/>
      <c r="G269" s="845">
        <f t="shared" si="12"/>
        <v>0</v>
      </c>
      <c r="H269" s="846">
        <v>0.32700000000000001</v>
      </c>
      <c r="I269" s="619">
        <f t="shared" si="13"/>
        <v>29.757000000000001</v>
      </c>
    </row>
    <row r="270" spans="1:9" s="620" customFormat="1" ht="15" x14ac:dyDescent="0.25">
      <c r="A270" s="615">
        <v>214</v>
      </c>
      <c r="B270" s="616">
        <v>210111012</v>
      </c>
      <c r="C270" s="617" t="s">
        <v>313</v>
      </c>
      <c r="D270" s="617" t="s">
        <v>275</v>
      </c>
      <c r="E270" s="618">
        <v>28</v>
      </c>
      <c r="F270" s="850"/>
      <c r="G270" s="845">
        <f t="shared" si="12"/>
        <v>0</v>
      </c>
      <c r="H270" s="846">
        <v>0.32700000000000001</v>
      </c>
      <c r="I270" s="619">
        <f t="shared" si="13"/>
        <v>9.1560000000000006</v>
      </c>
    </row>
    <row r="271" spans="1:9" s="620" customFormat="1" ht="15" x14ac:dyDescent="0.25">
      <c r="A271" s="615">
        <v>215</v>
      </c>
      <c r="B271" s="616">
        <v>210290752</v>
      </c>
      <c r="C271" s="617" t="s">
        <v>915</v>
      </c>
      <c r="D271" s="617" t="s">
        <v>275</v>
      </c>
      <c r="E271" s="618">
        <v>12</v>
      </c>
      <c r="F271" s="850"/>
      <c r="G271" s="845">
        <f t="shared" si="12"/>
        <v>0</v>
      </c>
      <c r="H271" s="846">
        <v>0.7</v>
      </c>
      <c r="I271" s="619">
        <f t="shared" si="13"/>
        <v>8.3999999999999986</v>
      </c>
    </row>
    <row r="272" spans="1:9" s="620" customFormat="1" ht="15" x14ac:dyDescent="0.25">
      <c r="A272" s="615">
        <v>216</v>
      </c>
      <c r="B272" s="616">
        <v>210290751</v>
      </c>
      <c r="C272" s="617" t="s">
        <v>1043</v>
      </c>
      <c r="D272" s="617" t="s">
        <v>275</v>
      </c>
      <c r="E272" s="618">
        <v>12</v>
      </c>
      <c r="F272" s="850"/>
      <c r="G272" s="845">
        <f t="shared" si="12"/>
        <v>0</v>
      </c>
      <c r="H272" s="846">
        <v>0.44</v>
      </c>
      <c r="I272" s="619">
        <f t="shared" si="13"/>
        <v>5.28</v>
      </c>
    </row>
    <row r="273" spans="1:9" s="620" customFormat="1" ht="15" x14ac:dyDescent="0.25">
      <c r="A273" s="615">
        <v>217</v>
      </c>
      <c r="B273" s="789">
        <v>210190004</v>
      </c>
      <c r="C273" s="790" t="s">
        <v>581</v>
      </c>
      <c r="D273" s="790" t="s">
        <v>275</v>
      </c>
      <c r="E273" s="791">
        <v>2</v>
      </c>
      <c r="F273" s="792"/>
      <c r="G273" s="793">
        <f t="shared" si="8"/>
        <v>0</v>
      </c>
      <c r="H273" s="810">
        <v>2.5299999999999998</v>
      </c>
      <c r="I273" s="795">
        <f t="shared" si="9"/>
        <v>5.0599999999999996</v>
      </c>
    </row>
    <row r="274" spans="1:9" s="620" customFormat="1" ht="15" x14ac:dyDescent="0.25">
      <c r="A274" s="615">
        <v>218</v>
      </c>
      <c r="B274" s="789">
        <v>210190001</v>
      </c>
      <c r="C274" s="790" t="s">
        <v>416</v>
      </c>
      <c r="D274" s="790" t="s">
        <v>275</v>
      </c>
      <c r="E274" s="791">
        <v>1</v>
      </c>
      <c r="F274" s="792"/>
      <c r="G274" s="793">
        <f t="shared" si="8"/>
        <v>0</v>
      </c>
      <c r="H274" s="810">
        <v>0.50600000000000001</v>
      </c>
      <c r="I274" s="795">
        <f t="shared" si="9"/>
        <v>0.50600000000000001</v>
      </c>
    </row>
    <row r="275" spans="1:9" s="315" customFormat="1" ht="15.75" thickBot="1" x14ac:dyDescent="0.3">
      <c r="A275" s="855"/>
      <c r="B275" s="856"/>
      <c r="C275" s="857"/>
      <c r="D275" s="857"/>
      <c r="E275" s="858"/>
      <c r="F275" s="859"/>
      <c r="G275" s="860"/>
      <c r="H275" s="861"/>
      <c r="I275" s="862"/>
    </row>
    <row r="276" spans="1:9" s="442" customFormat="1" ht="15" thickBot="1" x14ac:dyDescent="0.25">
      <c r="A276" s="772"/>
      <c r="B276" s="773"/>
      <c r="C276" s="774" t="s">
        <v>114</v>
      </c>
      <c r="D276" s="774"/>
      <c r="E276" s="775"/>
      <c r="F276" s="776"/>
      <c r="G276" s="777">
        <f>SUM(G216:G275)</f>
        <v>0</v>
      </c>
      <c r="H276" s="778"/>
      <c r="I276" s="779">
        <f>SUM(I216:I275)</f>
        <v>855.45099999999991</v>
      </c>
    </row>
    <row r="277" spans="1:9" s="442" customFormat="1" ht="14.25" x14ac:dyDescent="0.2">
      <c r="A277" s="829"/>
      <c r="B277" s="830"/>
      <c r="C277" s="831"/>
      <c r="D277" s="831"/>
      <c r="E277" s="832"/>
      <c r="F277" s="833"/>
      <c r="G277" s="834"/>
      <c r="H277" s="835"/>
      <c r="I277" s="836"/>
    </row>
    <row r="278" spans="1:9" s="421" customFormat="1" ht="19.899999999999999" customHeight="1" x14ac:dyDescent="0.25">
      <c r="A278" s="780" t="s">
        <v>582</v>
      </c>
      <c r="B278" s="837"/>
      <c r="C278" s="782"/>
      <c r="D278" s="782"/>
      <c r="E278" s="783"/>
      <c r="F278" s="784"/>
      <c r="G278" s="785"/>
      <c r="H278" s="786"/>
      <c r="I278" s="787"/>
    </row>
    <row r="279" spans="1:9" s="620" customFormat="1" ht="15" x14ac:dyDescent="0.25">
      <c r="A279" s="788">
        <v>219</v>
      </c>
      <c r="B279" s="789">
        <v>210010103</v>
      </c>
      <c r="C279" s="790" t="s">
        <v>584</v>
      </c>
      <c r="D279" s="790" t="s">
        <v>435</v>
      </c>
      <c r="E279" s="791">
        <v>240</v>
      </c>
      <c r="F279" s="792"/>
      <c r="G279" s="793">
        <f t="shared" ref="G279:G298" si="14">E279*F279</f>
        <v>0</v>
      </c>
      <c r="H279" s="810">
        <v>9.0999999999999998E-2</v>
      </c>
      <c r="I279" s="795">
        <f t="shared" ref="I279:I298" si="15">E279*H279</f>
        <v>21.84</v>
      </c>
    </row>
    <row r="280" spans="1:9" s="620" customFormat="1" ht="15" x14ac:dyDescent="0.25">
      <c r="A280" s="788">
        <v>220</v>
      </c>
      <c r="B280" s="789">
        <v>210010331</v>
      </c>
      <c r="C280" s="790" t="s">
        <v>585</v>
      </c>
      <c r="D280" s="790" t="s">
        <v>275</v>
      </c>
      <c r="E280" s="791">
        <v>205</v>
      </c>
      <c r="F280" s="792"/>
      <c r="G280" s="793">
        <f t="shared" si="14"/>
        <v>0</v>
      </c>
      <c r="H280" s="810">
        <v>0.09</v>
      </c>
      <c r="I280" s="795">
        <f t="shared" si="15"/>
        <v>18.45</v>
      </c>
    </row>
    <row r="281" spans="1:9" s="620" customFormat="1" ht="15" x14ac:dyDescent="0.25">
      <c r="A281" s="788">
        <v>221</v>
      </c>
      <c r="B281" s="789">
        <v>210010332</v>
      </c>
      <c r="C281" s="790" t="s">
        <v>586</v>
      </c>
      <c r="D281" s="790" t="s">
        <v>275</v>
      </c>
      <c r="E281" s="791">
        <v>180</v>
      </c>
      <c r="F281" s="792"/>
      <c r="G281" s="793">
        <f t="shared" si="14"/>
        <v>0</v>
      </c>
      <c r="H281" s="810">
        <v>0.16600000000000001</v>
      </c>
      <c r="I281" s="795">
        <f t="shared" si="15"/>
        <v>29.880000000000003</v>
      </c>
    </row>
    <row r="282" spans="1:9" s="620" customFormat="1" ht="15" x14ac:dyDescent="0.25">
      <c r="A282" s="788">
        <v>222</v>
      </c>
      <c r="B282" s="789">
        <v>210810048</v>
      </c>
      <c r="C282" s="790" t="s">
        <v>587</v>
      </c>
      <c r="D282" s="790" t="s">
        <v>435</v>
      </c>
      <c r="E282" s="791">
        <v>1200</v>
      </c>
      <c r="F282" s="792"/>
      <c r="G282" s="793">
        <f t="shared" si="14"/>
        <v>0</v>
      </c>
      <c r="H282" s="810">
        <v>4.4999999999999998E-2</v>
      </c>
      <c r="I282" s="795">
        <f t="shared" si="15"/>
        <v>54</v>
      </c>
    </row>
    <row r="283" spans="1:9" s="620" customFormat="1" ht="15" x14ac:dyDescent="0.25">
      <c r="A283" s="788">
        <v>223</v>
      </c>
      <c r="B283" s="789">
        <v>210100251</v>
      </c>
      <c r="C283" s="790" t="s">
        <v>588</v>
      </c>
      <c r="D283" s="790" t="s">
        <v>275</v>
      </c>
      <c r="E283" s="791">
        <v>65</v>
      </c>
      <c r="F283" s="792"/>
      <c r="G283" s="793">
        <f t="shared" si="14"/>
        <v>0</v>
      </c>
      <c r="H283" s="810">
        <v>0.121</v>
      </c>
      <c r="I283" s="795">
        <f t="shared" si="15"/>
        <v>7.8650000000000002</v>
      </c>
    </row>
    <row r="284" spans="1:9" s="620" customFormat="1" ht="15" x14ac:dyDescent="0.25">
      <c r="A284" s="788">
        <v>224</v>
      </c>
      <c r="B284" s="789">
        <v>210110043</v>
      </c>
      <c r="C284" s="790" t="s">
        <v>589</v>
      </c>
      <c r="D284" s="790" t="s">
        <v>275</v>
      </c>
      <c r="E284" s="791">
        <v>177</v>
      </c>
      <c r="F284" s="792"/>
      <c r="G284" s="793">
        <f t="shared" si="14"/>
        <v>0</v>
      </c>
      <c r="H284" s="810">
        <v>8.5000000000000006E-2</v>
      </c>
      <c r="I284" s="795">
        <f t="shared" si="15"/>
        <v>15.045000000000002</v>
      </c>
    </row>
    <row r="285" spans="1:9" s="620" customFormat="1" ht="15" x14ac:dyDescent="0.25">
      <c r="A285" s="788">
        <v>225</v>
      </c>
      <c r="B285" s="789">
        <v>210111011</v>
      </c>
      <c r="C285" s="790" t="s">
        <v>590</v>
      </c>
      <c r="D285" s="790" t="s">
        <v>275</v>
      </c>
      <c r="E285" s="791">
        <v>88</v>
      </c>
      <c r="F285" s="792"/>
      <c r="G285" s="793">
        <f t="shared" si="14"/>
        <v>0</v>
      </c>
      <c r="H285" s="810">
        <v>0.13700000000000001</v>
      </c>
      <c r="I285" s="795">
        <f t="shared" si="15"/>
        <v>12.056000000000001</v>
      </c>
    </row>
    <row r="286" spans="1:9" s="620" customFormat="1" ht="15" x14ac:dyDescent="0.25">
      <c r="A286" s="788">
        <v>226</v>
      </c>
      <c r="B286" s="789">
        <v>210110081</v>
      </c>
      <c r="C286" s="790" t="s">
        <v>591</v>
      </c>
      <c r="D286" s="790" t="s">
        <v>275</v>
      </c>
      <c r="E286" s="791">
        <v>4</v>
      </c>
      <c r="F286" s="792"/>
      <c r="G286" s="793">
        <f t="shared" si="14"/>
        <v>0</v>
      </c>
      <c r="H286" s="810">
        <v>0.2</v>
      </c>
      <c r="I286" s="795">
        <f t="shared" si="15"/>
        <v>0.8</v>
      </c>
    </row>
    <row r="287" spans="1:9" s="620" customFormat="1" ht="15" x14ac:dyDescent="0.25">
      <c r="A287" s="788">
        <v>227</v>
      </c>
      <c r="B287" s="789">
        <v>210140102</v>
      </c>
      <c r="C287" s="790" t="s">
        <v>592</v>
      </c>
      <c r="D287" s="790" t="s">
        <v>275</v>
      </c>
      <c r="E287" s="791">
        <v>28</v>
      </c>
      <c r="F287" s="792"/>
      <c r="G287" s="793">
        <f t="shared" si="14"/>
        <v>0</v>
      </c>
      <c r="H287" s="810">
        <v>0.155</v>
      </c>
      <c r="I287" s="795">
        <f t="shared" si="15"/>
        <v>4.34</v>
      </c>
    </row>
    <row r="288" spans="1:9" s="620" customFormat="1" ht="15" x14ac:dyDescent="0.25">
      <c r="A288" s="788">
        <v>228</v>
      </c>
      <c r="B288" s="789">
        <v>210140492</v>
      </c>
      <c r="C288" s="790" t="s">
        <v>593</v>
      </c>
      <c r="D288" s="790" t="s">
        <v>275</v>
      </c>
      <c r="E288" s="791">
        <v>1</v>
      </c>
      <c r="F288" s="792"/>
      <c r="G288" s="793">
        <f t="shared" si="14"/>
        <v>0</v>
      </c>
      <c r="H288" s="810">
        <v>0.17499999999999999</v>
      </c>
      <c r="I288" s="795">
        <f t="shared" si="15"/>
        <v>0.17499999999999999</v>
      </c>
    </row>
    <row r="289" spans="1:9" s="620" customFormat="1" ht="15" x14ac:dyDescent="0.25">
      <c r="A289" s="788">
        <v>229</v>
      </c>
      <c r="B289" s="789">
        <v>210140511</v>
      </c>
      <c r="C289" s="790" t="s">
        <v>594</v>
      </c>
      <c r="D289" s="790" t="s">
        <v>275</v>
      </c>
      <c r="E289" s="791">
        <v>14</v>
      </c>
      <c r="F289" s="792"/>
      <c r="G289" s="793">
        <f t="shared" si="14"/>
        <v>0</v>
      </c>
      <c r="H289" s="810">
        <v>0.155</v>
      </c>
      <c r="I289" s="795">
        <f t="shared" si="15"/>
        <v>2.17</v>
      </c>
    </row>
    <row r="290" spans="1:9" s="620" customFormat="1" ht="15" x14ac:dyDescent="0.25">
      <c r="A290" s="788">
        <v>230</v>
      </c>
      <c r="B290" s="789">
        <v>210140481</v>
      </c>
      <c r="C290" s="790" t="s">
        <v>595</v>
      </c>
      <c r="D290" s="790" t="s">
        <v>275</v>
      </c>
      <c r="E290" s="791">
        <v>14</v>
      </c>
      <c r="F290" s="792"/>
      <c r="G290" s="793">
        <f t="shared" si="14"/>
        <v>0</v>
      </c>
      <c r="H290" s="810">
        <v>9.5000000000000001E-2</v>
      </c>
      <c r="I290" s="795">
        <f t="shared" si="15"/>
        <v>1.33</v>
      </c>
    </row>
    <row r="291" spans="1:9" s="620" customFormat="1" ht="15" x14ac:dyDescent="0.25">
      <c r="A291" s="788">
        <v>231</v>
      </c>
      <c r="B291" s="789">
        <v>210190003</v>
      </c>
      <c r="C291" s="790" t="s">
        <v>596</v>
      </c>
      <c r="D291" s="790" t="s">
        <v>275</v>
      </c>
      <c r="E291" s="791">
        <v>4</v>
      </c>
      <c r="F291" s="792"/>
      <c r="G291" s="793">
        <f t="shared" si="14"/>
        <v>0</v>
      </c>
      <c r="H291" s="810">
        <v>0.57999999999999996</v>
      </c>
      <c r="I291" s="795">
        <f t="shared" si="15"/>
        <v>2.3199999999999998</v>
      </c>
    </row>
    <row r="292" spans="1:9" s="620" customFormat="1" ht="15" x14ac:dyDescent="0.25">
      <c r="A292" s="788">
        <v>232</v>
      </c>
      <c r="B292" s="789">
        <v>210190001</v>
      </c>
      <c r="C292" s="790" t="s">
        <v>597</v>
      </c>
      <c r="D292" s="790" t="s">
        <v>275</v>
      </c>
      <c r="E292" s="791">
        <v>1</v>
      </c>
      <c r="F292" s="792"/>
      <c r="G292" s="793">
        <f t="shared" si="14"/>
        <v>0</v>
      </c>
      <c r="H292" s="810">
        <v>0.253</v>
      </c>
      <c r="I292" s="795">
        <f t="shared" si="15"/>
        <v>0.253</v>
      </c>
    </row>
    <row r="293" spans="1:9" s="620" customFormat="1" ht="15" x14ac:dyDescent="0.25">
      <c r="A293" s="788">
        <v>233</v>
      </c>
      <c r="B293" s="789">
        <v>210190002</v>
      </c>
      <c r="C293" s="790" t="s">
        <v>598</v>
      </c>
      <c r="D293" s="790" t="s">
        <v>275</v>
      </c>
      <c r="E293" s="791">
        <v>1</v>
      </c>
      <c r="F293" s="792"/>
      <c r="G293" s="793">
        <f t="shared" si="14"/>
        <v>0</v>
      </c>
      <c r="H293" s="810">
        <v>0.433</v>
      </c>
      <c r="I293" s="795">
        <f t="shared" si="15"/>
        <v>0.433</v>
      </c>
    </row>
    <row r="294" spans="1:9" s="620" customFormat="1" ht="15" x14ac:dyDescent="0.25">
      <c r="A294" s="788">
        <v>234</v>
      </c>
      <c r="B294" s="789">
        <v>210200011</v>
      </c>
      <c r="C294" s="790" t="s">
        <v>599</v>
      </c>
      <c r="D294" s="790" t="s">
        <v>275</v>
      </c>
      <c r="E294" s="791">
        <v>47</v>
      </c>
      <c r="F294" s="792"/>
      <c r="G294" s="793">
        <f t="shared" si="14"/>
        <v>0</v>
      </c>
      <c r="H294" s="810">
        <v>0.19</v>
      </c>
      <c r="I294" s="795">
        <f t="shared" si="15"/>
        <v>8.93</v>
      </c>
    </row>
    <row r="295" spans="1:9" s="620" customFormat="1" ht="15" x14ac:dyDescent="0.25">
      <c r="A295" s="788">
        <v>235</v>
      </c>
      <c r="B295" s="789">
        <v>210200021</v>
      </c>
      <c r="C295" s="790" t="s">
        <v>600</v>
      </c>
      <c r="D295" s="790" t="s">
        <v>275</v>
      </c>
      <c r="E295" s="791">
        <v>30</v>
      </c>
      <c r="F295" s="792"/>
      <c r="G295" s="793">
        <f t="shared" si="14"/>
        <v>0</v>
      </c>
      <c r="H295" s="810">
        <v>0.158</v>
      </c>
      <c r="I295" s="795">
        <f t="shared" si="15"/>
        <v>4.74</v>
      </c>
    </row>
    <row r="296" spans="1:9" s="620" customFormat="1" ht="15" x14ac:dyDescent="0.25">
      <c r="A296" s="788">
        <v>236</v>
      </c>
      <c r="B296" s="789">
        <v>210201002</v>
      </c>
      <c r="C296" s="790" t="s">
        <v>601</v>
      </c>
      <c r="D296" s="790" t="s">
        <v>275</v>
      </c>
      <c r="E296" s="791">
        <v>57</v>
      </c>
      <c r="F296" s="792"/>
      <c r="G296" s="793">
        <f t="shared" si="14"/>
        <v>0</v>
      </c>
      <c r="H296" s="810">
        <v>0.432</v>
      </c>
      <c r="I296" s="795">
        <f t="shared" si="15"/>
        <v>24.623999999999999</v>
      </c>
    </row>
    <row r="297" spans="1:9" s="620" customFormat="1" ht="15" x14ac:dyDescent="0.25">
      <c r="A297" s="788">
        <v>237</v>
      </c>
      <c r="B297" s="789">
        <v>210201001</v>
      </c>
      <c r="C297" s="790" t="s">
        <v>602</v>
      </c>
      <c r="D297" s="790" t="s">
        <v>275</v>
      </c>
      <c r="E297" s="791">
        <v>18</v>
      </c>
      <c r="F297" s="792"/>
      <c r="G297" s="793">
        <f t="shared" si="14"/>
        <v>0</v>
      </c>
      <c r="H297" s="810">
        <v>0.40100000000000002</v>
      </c>
      <c r="I297" s="795">
        <f t="shared" si="15"/>
        <v>7.218</v>
      </c>
    </row>
    <row r="298" spans="1:9" s="620" customFormat="1" ht="15" x14ac:dyDescent="0.25">
      <c r="A298" s="788">
        <v>238</v>
      </c>
      <c r="B298" s="789">
        <v>210201201</v>
      </c>
      <c r="C298" s="790" t="s">
        <v>603</v>
      </c>
      <c r="D298" s="790" t="s">
        <v>275</v>
      </c>
      <c r="E298" s="791">
        <v>39</v>
      </c>
      <c r="F298" s="792"/>
      <c r="G298" s="793">
        <f t="shared" si="14"/>
        <v>0</v>
      </c>
      <c r="H298" s="810">
        <v>0.36</v>
      </c>
      <c r="I298" s="795">
        <f t="shared" si="15"/>
        <v>14.04</v>
      </c>
    </row>
    <row r="299" spans="1:9" s="315" customFormat="1" ht="15.75" thickBot="1" x14ac:dyDescent="0.3">
      <c r="A299" s="855"/>
      <c r="B299" s="856"/>
      <c r="C299" s="857"/>
      <c r="D299" s="857"/>
      <c r="E299" s="858"/>
      <c r="F299" s="859"/>
      <c r="G299" s="860"/>
      <c r="H299" s="861"/>
      <c r="I299" s="862"/>
    </row>
    <row r="300" spans="1:9" s="442" customFormat="1" ht="15" thickBot="1" x14ac:dyDescent="0.25">
      <c r="A300" s="772"/>
      <c r="B300" s="773"/>
      <c r="C300" s="774" t="s">
        <v>583</v>
      </c>
      <c r="D300" s="774"/>
      <c r="E300" s="775"/>
      <c r="F300" s="776"/>
      <c r="G300" s="777">
        <f>SUM(G279:G299)</f>
        <v>0</v>
      </c>
      <c r="H300" s="778"/>
      <c r="I300" s="779">
        <f>SUM(I279:I299)</f>
        <v>230.50899999999999</v>
      </c>
    </row>
    <row r="301" spans="1:9" s="442" customFormat="1" ht="14.25" x14ac:dyDescent="0.2">
      <c r="A301" s="838"/>
      <c r="B301" s="781"/>
      <c r="C301" s="839"/>
      <c r="D301" s="839"/>
      <c r="E301" s="840"/>
      <c r="F301" s="841"/>
      <c r="G301" s="842"/>
      <c r="H301" s="843"/>
      <c r="I301" s="844"/>
    </row>
    <row r="302" spans="1:9" s="421" customFormat="1" ht="19.899999999999999" customHeight="1" x14ac:dyDescent="0.25">
      <c r="A302" s="780" t="s">
        <v>314</v>
      </c>
      <c r="B302" s="837"/>
      <c r="C302" s="782"/>
      <c r="D302" s="782"/>
      <c r="E302" s="783"/>
      <c r="F302" s="784"/>
      <c r="G302" s="785"/>
      <c r="H302" s="786"/>
      <c r="I302" s="787"/>
    </row>
    <row r="303" spans="1:9" s="428" customFormat="1" ht="15" x14ac:dyDescent="0.25">
      <c r="A303" s="804">
        <v>239</v>
      </c>
      <c r="B303" s="805">
        <v>218009001</v>
      </c>
      <c r="C303" s="806" t="s">
        <v>333</v>
      </c>
      <c r="D303" s="806" t="s">
        <v>275</v>
      </c>
      <c r="E303" s="807">
        <v>218</v>
      </c>
      <c r="F303" s="792"/>
      <c r="G303" s="809">
        <f>E303*F303</f>
        <v>0</v>
      </c>
      <c r="H303" s="810">
        <v>0</v>
      </c>
      <c r="I303" s="811">
        <f>E303*H303</f>
        <v>0</v>
      </c>
    </row>
    <row r="304" spans="1:9" s="428" customFormat="1" ht="15" x14ac:dyDescent="0.25">
      <c r="A304" s="804">
        <v>240</v>
      </c>
      <c r="B304" s="805">
        <v>218009011</v>
      </c>
      <c r="C304" s="806" t="s">
        <v>334</v>
      </c>
      <c r="D304" s="806" t="s">
        <v>275</v>
      </c>
      <c r="E304" s="807">
        <v>338</v>
      </c>
      <c r="F304" s="792"/>
      <c r="G304" s="809">
        <f>E304*F304</f>
        <v>0</v>
      </c>
      <c r="H304" s="810">
        <v>0</v>
      </c>
      <c r="I304" s="811">
        <f>E304*H304</f>
        <v>0</v>
      </c>
    </row>
    <row r="305" spans="1:9" s="620" customFormat="1" ht="15" x14ac:dyDescent="0.25">
      <c r="A305" s="804">
        <v>241</v>
      </c>
      <c r="B305" s="789">
        <v>219002213</v>
      </c>
      <c r="C305" s="790" t="s">
        <v>606</v>
      </c>
      <c r="D305" s="790" t="s">
        <v>275</v>
      </c>
      <c r="E305" s="791">
        <v>13</v>
      </c>
      <c r="F305" s="792"/>
      <c r="G305" s="793">
        <f>E305*F305</f>
        <v>0</v>
      </c>
      <c r="H305" s="794">
        <v>0.13700000000000001</v>
      </c>
      <c r="I305" s="795">
        <f>E305*H305</f>
        <v>1.7810000000000001</v>
      </c>
    </row>
    <row r="306" spans="1:9" s="620" customFormat="1" ht="15" x14ac:dyDescent="0.25">
      <c r="A306" s="804">
        <v>242</v>
      </c>
      <c r="B306" s="789">
        <v>219002611</v>
      </c>
      <c r="C306" s="790" t="s">
        <v>607</v>
      </c>
      <c r="D306" s="790" t="s">
        <v>435</v>
      </c>
      <c r="E306" s="791">
        <v>26</v>
      </c>
      <c r="F306" s="792"/>
      <c r="G306" s="793">
        <f>E306*F306</f>
        <v>0</v>
      </c>
      <c r="H306" s="794">
        <v>0.23200000000000001</v>
      </c>
      <c r="I306" s="795">
        <f>E306*H306</f>
        <v>6.032</v>
      </c>
    </row>
    <row r="307" spans="1:9" s="620" customFormat="1" ht="15" x14ac:dyDescent="0.25">
      <c r="A307" s="804">
        <v>243</v>
      </c>
      <c r="B307" s="789">
        <v>219003242</v>
      </c>
      <c r="C307" s="790" t="s">
        <v>608</v>
      </c>
      <c r="D307" s="790" t="s">
        <v>275</v>
      </c>
      <c r="E307" s="791">
        <v>2</v>
      </c>
      <c r="F307" s="792"/>
      <c r="G307" s="793">
        <f>E307*F307</f>
        <v>0</v>
      </c>
      <c r="H307" s="794">
        <v>2.31</v>
      </c>
      <c r="I307" s="795">
        <f>E307*H307</f>
        <v>4.62</v>
      </c>
    </row>
    <row r="308" spans="1:9" s="428" customFormat="1" ht="15.75" thickBot="1" x14ac:dyDescent="0.3">
      <c r="A308" s="863"/>
      <c r="B308" s="864"/>
      <c r="C308" s="865"/>
      <c r="D308" s="865"/>
      <c r="E308" s="866"/>
      <c r="F308" s="867"/>
      <c r="G308" s="868"/>
      <c r="H308" s="869"/>
      <c r="I308" s="870"/>
    </row>
    <row r="309" spans="1:9" s="442" customFormat="1" ht="15" thickBot="1" x14ac:dyDescent="0.25">
      <c r="A309" s="772"/>
      <c r="B309" s="773"/>
      <c r="C309" s="774" t="s">
        <v>423</v>
      </c>
      <c r="D309" s="774"/>
      <c r="E309" s="775"/>
      <c r="F309" s="776"/>
      <c r="G309" s="777">
        <f>SUM(G303:G307)</f>
        <v>0</v>
      </c>
      <c r="H309" s="778"/>
      <c r="I309" s="779">
        <f>SUM(I303:I304)</f>
        <v>0</v>
      </c>
    </row>
    <row r="310" spans="1:9" s="442" customFormat="1" ht="14.25" x14ac:dyDescent="0.2">
      <c r="A310" s="871"/>
      <c r="B310" s="872"/>
      <c r="C310" s="873"/>
      <c r="D310" s="873"/>
      <c r="E310" s="874"/>
      <c r="F310" s="875"/>
      <c r="G310" s="876"/>
      <c r="H310" s="877"/>
      <c r="I310" s="878"/>
    </row>
    <row r="311" spans="1:9" s="443" customFormat="1" ht="15" customHeight="1" x14ac:dyDescent="0.2">
      <c r="A311" s="838" t="s">
        <v>335</v>
      </c>
      <c r="B311" s="879"/>
      <c r="C311" s="879"/>
      <c r="D311" s="879"/>
      <c r="E311" s="879"/>
      <c r="F311" s="880"/>
      <c r="G311" s="881"/>
      <c r="H311" s="882"/>
      <c r="I311" s="883"/>
    </row>
    <row r="312" spans="1:9" s="620" customFormat="1" ht="15" x14ac:dyDescent="0.25">
      <c r="A312" s="788">
        <v>244</v>
      </c>
      <c r="B312" s="789">
        <v>217301004</v>
      </c>
      <c r="C312" s="790" t="s">
        <v>609</v>
      </c>
      <c r="D312" s="790" t="s">
        <v>275</v>
      </c>
      <c r="E312" s="791">
        <v>2</v>
      </c>
      <c r="F312" s="792"/>
      <c r="G312" s="793">
        <f t="shared" ref="G312:G320" si="16">E312*F312</f>
        <v>0</v>
      </c>
      <c r="H312" s="794">
        <v>1.383</v>
      </c>
      <c r="I312" s="795">
        <f t="shared" ref="I312:I320" si="17">E312*H312</f>
        <v>2.766</v>
      </c>
    </row>
    <row r="313" spans="1:9" s="620" customFormat="1" ht="15" x14ac:dyDescent="0.25">
      <c r="A313" s="788">
        <v>245</v>
      </c>
      <c r="B313" s="789">
        <v>217301005</v>
      </c>
      <c r="C313" s="790" t="s">
        <v>610</v>
      </c>
      <c r="D313" s="790" t="s">
        <v>275</v>
      </c>
      <c r="E313" s="791">
        <v>1</v>
      </c>
      <c r="F313" s="792"/>
      <c r="G313" s="793">
        <f t="shared" si="16"/>
        <v>0</v>
      </c>
      <c r="H313" s="794">
        <v>0.96699999999999997</v>
      </c>
      <c r="I313" s="795">
        <f t="shared" si="17"/>
        <v>0.96699999999999997</v>
      </c>
    </row>
    <row r="314" spans="1:9" s="620" customFormat="1" ht="15" x14ac:dyDescent="0.25">
      <c r="A314" s="788">
        <v>246</v>
      </c>
      <c r="B314" s="789">
        <v>217303003</v>
      </c>
      <c r="C314" s="790" t="s">
        <v>611</v>
      </c>
      <c r="D314" s="790" t="s">
        <v>275</v>
      </c>
      <c r="E314" s="791">
        <v>64</v>
      </c>
      <c r="F314" s="792"/>
      <c r="G314" s="793">
        <f t="shared" si="16"/>
        <v>0</v>
      </c>
      <c r="H314" s="794">
        <v>0.21299999999999999</v>
      </c>
      <c r="I314" s="795">
        <f t="shared" si="17"/>
        <v>13.632</v>
      </c>
    </row>
    <row r="315" spans="1:9" s="620" customFormat="1" ht="15" x14ac:dyDescent="0.25">
      <c r="A315" s="788">
        <v>247</v>
      </c>
      <c r="B315" s="789">
        <v>217306001</v>
      </c>
      <c r="C315" s="790" t="s">
        <v>612</v>
      </c>
      <c r="D315" s="790" t="s">
        <v>275</v>
      </c>
      <c r="E315" s="791">
        <v>4</v>
      </c>
      <c r="F315" s="792"/>
      <c r="G315" s="793">
        <f t="shared" si="16"/>
        <v>0</v>
      </c>
      <c r="H315" s="794">
        <v>7.8E-2</v>
      </c>
      <c r="I315" s="795">
        <f t="shared" si="17"/>
        <v>0.312</v>
      </c>
    </row>
    <row r="316" spans="1:9" s="620" customFormat="1" ht="15" x14ac:dyDescent="0.25">
      <c r="A316" s="788">
        <v>248</v>
      </c>
      <c r="B316" s="789">
        <v>217306003</v>
      </c>
      <c r="C316" s="790" t="s">
        <v>613</v>
      </c>
      <c r="D316" s="790" t="s">
        <v>275</v>
      </c>
      <c r="E316" s="791">
        <v>4</v>
      </c>
      <c r="F316" s="792"/>
      <c r="G316" s="793">
        <f t="shared" si="16"/>
        <v>0</v>
      </c>
      <c r="H316" s="794">
        <v>7.8E-2</v>
      </c>
      <c r="I316" s="795">
        <f t="shared" si="17"/>
        <v>0.312</v>
      </c>
    </row>
    <row r="317" spans="1:9" s="620" customFormat="1" ht="15" x14ac:dyDescent="0.25">
      <c r="A317" s="788">
        <v>249</v>
      </c>
      <c r="B317" s="789">
        <v>217306006</v>
      </c>
      <c r="C317" s="790" t="s">
        <v>614</v>
      </c>
      <c r="D317" s="790" t="s">
        <v>275</v>
      </c>
      <c r="E317" s="791">
        <v>58</v>
      </c>
      <c r="F317" s="792"/>
      <c r="G317" s="793">
        <f t="shared" si="16"/>
        <v>0</v>
      </c>
      <c r="H317" s="794">
        <v>0.09</v>
      </c>
      <c r="I317" s="795">
        <f t="shared" si="17"/>
        <v>5.22</v>
      </c>
    </row>
    <row r="318" spans="1:9" s="620" customFormat="1" ht="15" x14ac:dyDescent="0.25">
      <c r="A318" s="788">
        <v>250</v>
      </c>
      <c r="B318" s="789">
        <v>217306012</v>
      </c>
      <c r="C318" s="790" t="s">
        <v>615</v>
      </c>
      <c r="D318" s="790" t="s">
        <v>275</v>
      </c>
      <c r="E318" s="791">
        <v>44</v>
      </c>
      <c r="F318" s="792"/>
      <c r="G318" s="793">
        <f t="shared" si="16"/>
        <v>0</v>
      </c>
      <c r="H318" s="794">
        <v>0.10100000000000001</v>
      </c>
      <c r="I318" s="795">
        <f t="shared" si="17"/>
        <v>4.444</v>
      </c>
    </row>
    <row r="319" spans="1:9" s="620" customFormat="1" ht="15" x14ac:dyDescent="0.25">
      <c r="A319" s="788">
        <v>251</v>
      </c>
      <c r="B319" s="789">
        <v>217307001</v>
      </c>
      <c r="C319" s="790" t="s">
        <v>616</v>
      </c>
      <c r="D319" s="790" t="s">
        <v>275</v>
      </c>
      <c r="E319" s="791">
        <v>2</v>
      </c>
      <c r="F319" s="792"/>
      <c r="G319" s="793">
        <f t="shared" si="16"/>
        <v>0</v>
      </c>
      <c r="H319" s="794">
        <v>0.16700000000000001</v>
      </c>
      <c r="I319" s="795">
        <f t="shared" si="17"/>
        <v>0.33400000000000002</v>
      </c>
    </row>
    <row r="320" spans="1:9" s="620" customFormat="1" ht="15" x14ac:dyDescent="0.25">
      <c r="A320" s="788">
        <v>252</v>
      </c>
      <c r="B320" s="789">
        <v>217309002</v>
      </c>
      <c r="C320" s="790" t="s">
        <v>617</v>
      </c>
      <c r="D320" s="790" t="s">
        <v>200</v>
      </c>
      <c r="E320" s="791">
        <v>8</v>
      </c>
      <c r="F320" s="792"/>
      <c r="G320" s="793">
        <f t="shared" si="16"/>
        <v>0</v>
      </c>
      <c r="H320" s="794">
        <v>1</v>
      </c>
      <c r="I320" s="795">
        <f t="shared" si="17"/>
        <v>8</v>
      </c>
    </row>
    <row r="321" spans="1:9" s="444" customFormat="1" ht="15.75" thickBot="1" x14ac:dyDescent="0.25">
      <c r="A321" s="863"/>
      <c r="B321" s="864"/>
      <c r="C321" s="865"/>
      <c r="D321" s="865"/>
      <c r="E321" s="866"/>
      <c r="F321" s="867"/>
      <c r="G321" s="884"/>
      <c r="H321" s="885"/>
      <c r="I321" s="886"/>
    </row>
    <row r="322" spans="1:9" s="445" customFormat="1" ht="13.5" thickBot="1" x14ac:dyDescent="0.25">
      <c r="A322" s="772"/>
      <c r="B322" s="773"/>
      <c r="C322" s="774" t="s">
        <v>336</v>
      </c>
      <c r="D322" s="774"/>
      <c r="E322" s="775"/>
      <c r="F322" s="776"/>
      <c r="G322" s="777">
        <f>ROUND(SUM(G312:G320),0)</f>
        <v>0</v>
      </c>
      <c r="H322" s="778"/>
      <c r="I322" s="779">
        <f>SUM(I312:I320)</f>
        <v>35.986999999999995</v>
      </c>
    </row>
  </sheetData>
  <customSheetViews>
    <customSheetView guid="{30B10D60-758F-4E0B-9F03-5879C6CAFDF6}" scale="130" showPageBreaks="1" view="pageBreakPreview">
      <pane ySplit="7" topLeftCell="A8" activePane="bottomLeft" state="frozen"/>
      <selection pane="bottomLeft" activeCell="M16" sqref="M16"/>
      <rowBreaks count="5" manualBreakCount="5">
        <brk id="36" max="16383" man="1"/>
        <brk id="70" max="16383" man="1"/>
        <brk id="133" max="16383" man="1"/>
        <brk id="169" max="8" man="1"/>
        <brk id="310" max="16383" man="1"/>
      </rowBreaks>
      <pageMargins left="0.70866141732283472" right="0.70866141732283472" top="0.78740157480314965" bottom="0.78740157480314965" header="0.31496062992125984" footer="0.31496062992125984"/>
      <pageSetup paperSize="9" scale="99" orientation="landscape" r:id="rId1"/>
      <headerFooter>
        <oddFooter>&amp;Csilnoproudá elektrotechnika&amp;Rstránka &amp;P z &amp;N</oddFooter>
      </headerFooter>
    </customSheetView>
  </customSheetViews>
  <mergeCells count="1">
    <mergeCell ref="A4:I4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scale="99" orientation="landscape" r:id="rId2"/>
  <headerFooter>
    <oddFooter>&amp;Csilnoproudá elektrotechnika&amp;Rstránka &amp;P z &amp;N</oddFooter>
  </headerFooter>
  <rowBreaks count="5" manualBreakCount="5">
    <brk id="36" max="16383" man="1"/>
    <brk id="70" max="16383" man="1"/>
    <brk id="133" max="16383" man="1"/>
    <brk id="169" max="8" man="1"/>
    <brk id="310" max="16383" man="1"/>
  </rowBreak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95"/>
  <sheetViews>
    <sheetView view="pageBreakPreview" zoomScale="115" zoomScaleNormal="100" zoomScaleSheetLayoutView="115" workbookViewId="0">
      <pane ySplit="8" topLeftCell="A9" activePane="bottomLeft" state="frozen"/>
      <selection activeCell="M16" sqref="M16"/>
      <selection pane="bottomLeft" activeCell="A9" sqref="A9"/>
    </sheetView>
  </sheetViews>
  <sheetFormatPr defaultColWidth="9.140625" defaultRowHeight="12.75" x14ac:dyDescent="0.2"/>
  <cols>
    <col min="1" max="1" width="4.42578125" style="1" customWidth="1"/>
    <col min="2" max="2" width="15" style="1" customWidth="1"/>
    <col min="3" max="3" width="47.5703125" style="1" customWidth="1"/>
    <col min="4" max="4" width="5.5703125" style="1" customWidth="1"/>
    <col min="5" max="5" width="10" style="10" customWidth="1"/>
    <col min="6" max="6" width="11.28515625" style="554" customWidth="1"/>
    <col min="7" max="7" width="16.140625" style="539" customWidth="1"/>
    <col min="8" max="8" width="11.28515625" style="1" customWidth="1"/>
    <col min="9" max="9" width="12.28515625" style="520" customWidth="1"/>
    <col min="10" max="16384" width="9.140625" style="1"/>
  </cols>
  <sheetData>
    <row r="1" spans="1:9" customFormat="1" ht="16.5" thickTop="1" x14ac:dyDescent="0.25">
      <c r="A1" s="273" t="s">
        <v>49</v>
      </c>
      <c r="B1" s="286"/>
      <c r="C1" s="279" t="str">
        <f>'SO01 Krycí list'!$C$4&amp;" "&amp;'SO01 Krycí list'!$C$5</f>
        <v>Rekonstrukce oddělení ortopedie v pavilonu "B" nemocnice Šumperk</v>
      </c>
      <c r="D1" s="289"/>
      <c r="E1" s="286"/>
      <c r="F1" s="540"/>
      <c r="G1" s="555"/>
      <c r="H1" s="150"/>
      <c r="I1" s="521"/>
    </row>
    <row r="2" spans="1:9" customFormat="1" x14ac:dyDescent="0.2">
      <c r="A2" s="275" t="s">
        <v>50</v>
      </c>
      <c r="B2" s="287"/>
      <c r="C2" s="282" t="str">
        <f>'SO01 Krycí list'!$C$7</f>
        <v>SO 01 Vlastní objekt</v>
      </c>
      <c r="D2" s="290"/>
      <c r="E2" s="287"/>
      <c r="F2" s="541"/>
      <c r="G2" s="530"/>
      <c r="H2" s="12" t="s">
        <v>52</v>
      </c>
      <c r="I2" s="768">
        <f>'SO01 Krycí list'!H12</f>
        <v>2016021</v>
      </c>
    </row>
    <row r="3" spans="1:9" customFormat="1" ht="13.5" thickBot="1" x14ac:dyDescent="0.25">
      <c r="A3" s="277" t="s">
        <v>53</v>
      </c>
      <c r="B3" s="288"/>
      <c r="C3" s="285" t="str">
        <f>'07rek'!C4</f>
        <v>Silnoproudé zařízení</v>
      </c>
      <c r="D3" s="291"/>
      <c r="E3" s="288"/>
      <c r="F3" s="542"/>
      <c r="G3" s="531"/>
      <c r="H3" s="14" t="s">
        <v>54</v>
      </c>
      <c r="I3" s="604">
        <f>'SO01 Krycí list'!C28</f>
        <v>42635</v>
      </c>
    </row>
    <row r="4" spans="1:9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9" ht="6" customHeight="1" x14ac:dyDescent="0.2">
      <c r="B5" s="2"/>
      <c r="C5" s="3"/>
      <c r="D5" s="3"/>
      <c r="E5" s="4"/>
      <c r="F5" s="543"/>
      <c r="G5" s="532"/>
    </row>
    <row r="6" spans="1:9" ht="6" customHeight="1" thickBot="1" x14ac:dyDescent="0.25">
      <c r="A6" s="5"/>
      <c r="B6" s="6"/>
      <c r="C6" s="6"/>
      <c r="D6" s="7"/>
      <c r="E6" s="8"/>
      <c r="F6" s="544"/>
      <c r="G6" s="533"/>
      <c r="H6" s="7"/>
      <c r="I6" s="522"/>
    </row>
    <row r="7" spans="1:9" s="381" customFormat="1" ht="21" thickBot="1" x14ac:dyDescent="0.25">
      <c r="A7" s="527" t="s">
        <v>474</v>
      </c>
      <c r="B7" s="528"/>
      <c r="C7" s="528"/>
      <c r="D7" s="528"/>
      <c r="E7" s="528"/>
      <c r="F7" s="545"/>
      <c r="G7" s="556"/>
      <c r="H7" s="528"/>
      <c r="I7" s="565"/>
    </row>
    <row r="8" spans="1:9" s="315" customFormat="1" ht="15.75" thickBot="1" x14ac:dyDescent="0.3">
      <c r="A8" s="300" t="s">
        <v>292</v>
      </c>
      <c r="B8" s="301" t="s">
        <v>293</v>
      </c>
      <c r="C8" s="302" t="s">
        <v>294</v>
      </c>
      <c r="D8" s="302" t="s">
        <v>295</v>
      </c>
      <c r="E8" s="509" t="s">
        <v>51</v>
      </c>
      <c r="F8" s="546" t="s">
        <v>296</v>
      </c>
      <c r="G8" s="557" t="s">
        <v>297</v>
      </c>
      <c r="H8" s="304" t="s">
        <v>298</v>
      </c>
      <c r="I8" s="305" t="s">
        <v>299</v>
      </c>
    </row>
    <row r="9" spans="1:9" s="614" customFormat="1" ht="19.899999999999999" customHeight="1" x14ac:dyDescent="0.25">
      <c r="A9" s="607"/>
      <c r="B9" s="608" t="s">
        <v>917</v>
      </c>
      <c r="C9" s="609"/>
      <c r="D9" s="609"/>
      <c r="E9" s="610"/>
      <c r="F9" s="610"/>
      <c r="G9" s="611"/>
      <c r="H9" s="612"/>
      <c r="I9" s="613"/>
    </row>
    <row r="10" spans="1:9" s="620" customFormat="1" ht="15" x14ac:dyDescent="0.25">
      <c r="A10" s="615">
        <v>1</v>
      </c>
      <c r="B10" s="616">
        <v>767408</v>
      </c>
      <c r="C10" s="617" t="s">
        <v>461</v>
      </c>
      <c r="D10" s="617" t="s">
        <v>275</v>
      </c>
      <c r="E10" s="618">
        <v>1</v>
      </c>
      <c r="F10" s="1070"/>
      <c r="G10" s="845">
        <f t="shared" ref="G10:G38" si="0">E10*F10</f>
        <v>0</v>
      </c>
      <c r="H10" s="846">
        <v>0.3</v>
      </c>
      <c r="I10" s="619">
        <f t="shared" ref="I10:I38" si="1">E10*H10</f>
        <v>0.3</v>
      </c>
    </row>
    <row r="11" spans="1:9" s="620" customFormat="1" ht="15" x14ac:dyDescent="0.25">
      <c r="A11" s="615">
        <v>2</v>
      </c>
      <c r="B11" s="616">
        <v>290211</v>
      </c>
      <c r="C11" s="617" t="s">
        <v>462</v>
      </c>
      <c r="D11" s="617" t="s">
        <v>435</v>
      </c>
      <c r="E11" s="618">
        <v>2.4</v>
      </c>
      <c r="F11" s="1070"/>
      <c r="G11" s="845">
        <f t="shared" si="0"/>
        <v>0</v>
      </c>
      <c r="H11" s="846">
        <v>0.61</v>
      </c>
      <c r="I11" s="619">
        <f t="shared" si="1"/>
        <v>1.464</v>
      </c>
    </row>
    <row r="12" spans="1:9" s="620" customFormat="1" ht="15" x14ac:dyDescent="0.25">
      <c r="A12" s="615">
        <v>3</v>
      </c>
      <c r="B12" s="616">
        <v>782311</v>
      </c>
      <c r="C12" s="617" t="s">
        <v>417</v>
      </c>
      <c r="D12" s="617" t="s">
        <v>435</v>
      </c>
      <c r="E12" s="618">
        <v>0.6</v>
      </c>
      <c r="F12" s="1070"/>
      <c r="G12" s="845">
        <f t="shared" si="0"/>
        <v>0</v>
      </c>
      <c r="H12" s="846">
        <v>0.49</v>
      </c>
      <c r="I12" s="619">
        <f t="shared" si="1"/>
        <v>0.29399999999999998</v>
      </c>
    </row>
    <row r="13" spans="1:9" s="620" customFormat="1" ht="15" x14ac:dyDescent="0.25">
      <c r="A13" s="615">
        <v>4</v>
      </c>
      <c r="B13" s="616">
        <v>784311</v>
      </c>
      <c r="C13" s="617" t="s">
        <v>368</v>
      </c>
      <c r="D13" s="617" t="s">
        <v>275</v>
      </c>
      <c r="E13" s="618">
        <v>48</v>
      </c>
      <c r="F13" s="1070"/>
      <c r="G13" s="845">
        <f t="shared" si="0"/>
        <v>0</v>
      </c>
      <c r="H13" s="846">
        <v>0.16</v>
      </c>
      <c r="I13" s="619">
        <f t="shared" si="1"/>
        <v>7.68</v>
      </c>
    </row>
    <row r="14" spans="1:9" s="620" customFormat="1" ht="15" x14ac:dyDescent="0.25">
      <c r="A14" s="615">
        <v>5</v>
      </c>
      <c r="B14" s="616">
        <v>784314</v>
      </c>
      <c r="C14" s="617" t="s">
        <v>463</v>
      </c>
      <c r="D14" s="617" t="s">
        <v>275</v>
      </c>
      <c r="E14" s="618">
        <v>8</v>
      </c>
      <c r="F14" s="1070"/>
      <c r="G14" s="845">
        <f t="shared" si="0"/>
        <v>0</v>
      </c>
      <c r="H14" s="846">
        <v>0.24</v>
      </c>
      <c r="I14" s="619">
        <f t="shared" si="1"/>
        <v>1.92</v>
      </c>
    </row>
    <row r="15" spans="1:9" s="620" customFormat="1" ht="15" x14ac:dyDescent="0.25">
      <c r="A15" s="615">
        <v>6</v>
      </c>
      <c r="B15" s="616">
        <v>784315</v>
      </c>
      <c r="C15" s="617" t="s">
        <v>464</v>
      </c>
      <c r="D15" s="617" t="s">
        <v>275</v>
      </c>
      <c r="E15" s="618">
        <v>8</v>
      </c>
      <c r="F15" s="1070"/>
      <c r="G15" s="845">
        <f t="shared" si="0"/>
        <v>0</v>
      </c>
      <c r="H15" s="846">
        <v>0.42</v>
      </c>
      <c r="I15" s="619">
        <f t="shared" si="1"/>
        <v>3.36</v>
      </c>
    </row>
    <row r="16" spans="1:9" s="620" customFormat="1" ht="15" x14ac:dyDescent="0.25">
      <c r="A16" s="615">
        <v>7</v>
      </c>
      <c r="B16" s="616">
        <v>415024</v>
      </c>
      <c r="C16" s="617" t="s">
        <v>918</v>
      </c>
      <c r="D16" s="617" t="s">
        <v>275</v>
      </c>
      <c r="E16" s="618">
        <v>2</v>
      </c>
      <c r="F16" s="1070"/>
      <c r="G16" s="845">
        <f t="shared" si="0"/>
        <v>0</v>
      </c>
      <c r="H16" s="846">
        <v>0.56000000000000005</v>
      </c>
      <c r="I16" s="619">
        <f t="shared" si="1"/>
        <v>1.1200000000000001</v>
      </c>
    </row>
    <row r="17" spans="1:9" s="620" customFormat="1" ht="15" x14ac:dyDescent="0.25">
      <c r="A17" s="615">
        <v>8</v>
      </c>
      <c r="B17" s="616">
        <v>432216</v>
      </c>
      <c r="C17" s="617" t="s">
        <v>919</v>
      </c>
      <c r="D17" s="617" t="s">
        <v>275</v>
      </c>
      <c r="E17" s="618">
        <v>1</v>
      </c>
      <c r="F17" s="1070"/>
      <c r="G17" s="845">
        <f t="shared" si="0"/>
        <v>0</v>
      </c>
      <c r="H17" s="846">
        <v>0.23</v>
      </c>
      <c r="I17" s="619">
        <f t="shared" si="1"/>
        <v>0.23</v>
      </c>
    </row>
    <row r="18" spans="1:9" s="620" customFormat="1" ht="15" x14ac:dyDescent="0.25">
      <c r="A18" s="615">
        <v>9</v>
      </c>
      <c r="B18" s="616">
        <v>432232</v>
      </c>
      <c r="C18" s="617" t="s">
        <v>466</v>
      </c>
      <c r="D18" s="617" t="s">
        <v>275</v>
      </c>
      <c r="E18" s="618">
        <v>3</v>
      </c>
      <c r="F18" s="1070"/>
      <c r="G18" s="845">
        <f t="shared" si="0"/>
        <v>0</v>
      </c>
      <c r="H18" s="846">
        <v>0</v>
      </c>
      <c r="I18" s="619">
        <f t="shared" si="1"/>
        <v>0</v>
      </c>
    </row>
    <row r="19" spans="1:9" s="620" customFormat="1" ht="15" x14ac:dyDescent="0.25">
      <c r="A19" s="615">
        <v>10</v>
      </c>
      <c r="B19" s="616">
        <v>434080</v>
      </c>
      <c r="C19" s="617" t="s">
        <v>920</v>
      </c>
      <c r="D19" s="617" t="s">
        <v>275</v>
      </c>
      <c r="E19" s="618">
        <v>5</v>
      </c>
      <c r="F19" s="1070"/>
      <c r="G19" s="845">
        <f t="shared" si="0"/>
        <v>0</v>
      </c>
      <c r="H19" s="846">
        <v>0.16</v>
      </c>
      <c r="I19" s="619">
        <f t="shared" si="1"/>
        <v>0.8</v>
      </c>
    </row>
    <row r="20" spans="1:9" s="620" customFormat="1" ht="15" x14ac:dyDescent="0.25">
      <c r="A20" s="615">
        <v>11</v>
      </c>
      <c r="B20" s="616">
        <v>434501</v>
      </c>
      <c r="C20" s="617" t="s">
        <v>921</v>
      </c>
      <c r="D20" s="617" t="s">
        <v>275</v>
      </c>
      <c r="E20" s="618">
        <v>15</v>
      </c>
      <c r="F20" s="1070"/>
      <c r="G20" s="845">
        <f t="shared" si="0"/>
        <v>0</v>
      </c>
      <c r="H20" s="846">
        <v>0.28000000000000003</v>
      </c>
      <c r="I20" s="619">
        <f t="shared" si="1"/>
        <v>4.2</v>
      </c>
    </row>
    <row r="21" spans="1:9" s="620" customFormat="1" ht="15" x14ac:dyDescent="0.25">
      <c r="A21" s="615">
        <v>12</v>
      </c>
      <c r="B21" s="616">
        <v>434501</v>
      </c>
      <c r="C21" s="617" t="s">
        <v>922</v>
      </c>
      <c r="D21" s="617" t="s">
        <v>275</v>
      </c>
      <c r="E21" s="618">
        <v>19</v>
      </c>
      <c r="F21" s="1070"/>
      <c r="G21" s="845">
        <f t="shared" si="0"/>
        <v>0</v>
      </c>
      <c r="H21" s="846">
        <v>0.28000000000000003</v>
      </c>
      <c r="I21" s="619">
        <f t="shared" si="1"/>
        <v>5.32</v>
      </c>
    </row>
    <row r="22" spans="1:9" s="620" customFormat="1" ht="15" x14ac:dyDescent="0.25">
      <c r="A22" s="615">
        <v>13</v>
      </c>
      <c r="B22" s="616">
        <v>435160</v>
      </c>
      <c r="C22" s="617" t="s">
        <v>923</v>
      </c>
      <c r="D22" s="617" t="s">
        <v>275</v>
      </c>
      <c r="E22" s="618">
        <v>2</v>
      </c>
      <c r="F22" s="1070"/>
      <c r="G22" s="845">
        <f t="shared" si="0"/>
        <v>0</v>
      </c>
      <c r="H22" s="846">
        <v>0.36</v>
      </c>
      <c r="I22" s="619">
        <f t="shared" si="1"/>
        <v>0.72</v>
      </c>
    </row>
    <row r="23" spans="1:9" s="620" customFormat="1" ht="15" x14ac:dyDescent="0.25">
      <c r="A23" s="615">
        <v>14</v>
      </c>
      <c r="B23" s="616">
        <v>435162</v>
      </c>
      <c r="C23" s="617" t="s">
        <v>924</v>
      </c>
      <c r="D23" s="617" t="s">
        <v>275</v>
      </c>
      <c r="E23" s="618">
        <v>1</v>
      </c>
      <c r="F23" s="1070"/>
      <c r="G23" s="845">
        <f t="shared" si="0"/>
        <v>0</v>
      </c>
      <c r="H23" s="846">
        <v>0.39</v>
      </c>
      <c r="I23" s="619">
        <f t="shared" si="1"/>
        <v>0.39</v>
      </c>
    </row>
    <row r="24" spans="1:9" s="620" customFormat="1" ht="15" x14ac:dyDescent="0.25">
      <c r="A24" s="615">
        <v>15</v>
      </c>
      <c r="B24" s="616">
        <v>435163</v>
      </c>
      <c r="C24" s="617" t="s">
        <v>925</v>
      </c>
      <c r="D24" s="617" t="s">
        <v>275</v>
      </c>
      <c r="E24" s="618">
        <v>2</v>
      </c>
      <c r="F24" s="1070"/>
      <c r="G24" s="845">
        <f t="shared" si="0"/>
        <v>0</v>
      </c>
      <c r="H24" s="846">
        <v>0.39</v>
      </c>
      <c r="I24" s="619">
        <f t="shared" si="1"/>
        <v>0.78</v>
      </c>
    </row>
    <row r="25" spans="1:9" s="620" customFormat="1" ht="15" x14ac:dyDescent="0.25">
      <c r="A25" s="615">
        <v>16</v>
      </c>
      <c r="B25" s="616">
        <v>435164</v>
      </c>
      <c r="C25" s="617" t="s">
        <v>926</v>
      </c>
      <c r="D25" s="617" t="s">
        <v>275</v>
      </c>
      <c r="E25" s="618">
        <v>3</v>
      </c>
      <c r="F25" s="1070"/>
      <c r="G25" s="845">
        <f t="shared" si="0"/>
        <v>0</v>
      </c>
      <c r="H25" s="846">
        <v>0.56000000000000005</v>
      </c>
      <c r="I25" s="619">
        <f t="shared" si="1"/>
        <v>1.6800000000000002</v>
      </c>
    </row>
    <row r="26" spans="1:9" s="620" customFormat="1" ht="15" x14ac:dyDescent="0.25">
      <c r="A26" s="615">
        <v>17</v>
      </c>
      <c r="B26" s="616">
        <v>434670</v>
      </c>
      <c r="C26" s="617" t="s">
        <v>467</v>
      </c>
      <c r="D26" s="617" t="s">
        <v>275</v>
      </c>
      <c r="E26" s="618">
        <v>5</v>
      </c>
      <c r="F26" s="1070"/>
      <c r="G26" s="845">
        <f t="shared" si="0"/>
        <v>0</v>
      </c>
      <c r="H26" s="846">
        <v>0.26</v>
      </c>
      <c r="I26" s="619">
        <f t="shared" si="1"/>
        <v>1.3</v>
      </c>
    </row>
    <row r="27" spans="1:9" s="620" customFormat="1" ht="15" x14ac:dyDescent="0.25">
      <c r="A27" s="615">
        <v>18</v>
      </c>
      <c r="B27" s="616">
        <v>438711</v>
      </c>
      <c r="C27" s="617" t="s">
        <v>468</v>
      </c>
      <c r="D27" s="617" t="s">
        <v>275</v>
      </c>
      <c r="E27" s="618">
        <v>3</v>
      </c>
      <c r="F27" s="1070"/>
      <c r="G27" s="845">
        <f t="shared" si="0"/>
        <v>0</v>
      </c>
      <c r="H27" s="846">
        <v>0.49</v>
      </c>
      <c r="I27" s="619">
        <f t="shared" si="1"/>
        <v>1.47</v>
      </c>
    </row>
    <row r="28" spans="1:9" s="620" customFormat="1" ht="15" x14ac:dyDescent="0.25">
      <c r="A28" s="615">
        <v>19</v>
      </c>
      <c r="B28" s="616">
        <v>438712</v>
      </c>
      <c r="C28" s="617" t="s">
        <v>369</v>
      </c>
      <c r="D28" s="617" t="s">
        <v>275</v>
      </c>
      <c r="E28" s="618">
        <v>3</v>
      </c>
      <c r="F28" s="1070"/>
      <c r="G28" s="845">
        <f t="shared" si="0"/>
        <v>0</v>
      </c>
      <c r="H28" s="846">
        <v>0.72</v>
      </c>
      <c r="I28" s="619">
        <f t="shared" si="1"/>
        <v>2.16</v>
      </c>
    </row>
    <row r="29" spans="1:9" s="620" customFormat="1" ht="15" x14ac:dyDescent="0.25">
      <c r="A29" s="615">
        <v>20</v>
      </c>
      <c r="B29" s="616">
        <v>434670</v>
      </c>
      <c r="C29" s="617" t="s">
        <v>467</v>
      </c>
      <c r="D29" s="617" t="s">
        <v>275</v>
      </c>
      <c r="E29" s="618">
        <v>4</v>
      </c>
      <c r="F29" s="1070"/>
      <c r="G29" s="845">
        <f t="shared" si="0"/>
        <v>0</v>
      </c>
      <c r="H29" s="846">
        <v>0.26</v>
      </c>
      <c r="I29" s="619">
        <f t="shared" si="1"/>
        <v>1.04</v>
      </c>
    </row>
    <row r="30" spans="1:9" s="620" customFormat="1" ht="15" x14ac:dyDescent="0.25">
      <c r="A30" s="615">
        <v>21</v>
      </c>
      <c r="B30" s="616">
        <v>443125</v>
      </c>
      <c r="C30" s="617" t="s">
        <v>927</v>
      </c>
      <c r="D30" s="617" t="s">
        <v>275</v>
      </c>
      <c r="E30" s="618">
        <v>2</v>
      </c>
      <c r="F30" s="1070"/>
      <c r="G30" s="845">
        <f t="shared" si="0"/>
        <v>0</v>
      </c>
      <c r="H30" s="846">
        <v>1.44</v>
      </c>
      <c r="I30" s="619">
        <f t="shared" si="1"/>
        <v>2.88</v>
      </c>
    </row>
    <row r="31" spans="1:9" s="620" customFormat="1" ht="15" x14ac:dyDescent="0.25">
      <c r="A31" s="615">
        <v>22</v>
      </c>
      <c r="B31" s="616">
        <v>443155</v>
      </c>
      <c r="C31" s="617" t="s">
        <v>928</v>
      </c>
      <c r="D31" s="617" t="s">
        <v>275</v>
      </c>
      <c r="E31" s="618">
        <v>1</v>
      </c>
      <c r="F31" s="1070"/>
      <c r="G31" s="845">
        <f t="shared" si="0"/>
        <v>0</v>
      </c>
      <c r="H31" s="846">
        <v>0.46</v>
      </c>
      <c r="I31" s="619">
        <f t="shared" si="1"/>
        <v>0.46</v>
      </c>
    </row>
    <row r="32" spans="1:9" s="620" customFormat="1" ht="15" x14ac:dyDescent="0.25">
      <c r="A32" s="615">
        <v>23</v>
      </c>
      <c r="B32" s="616">
        <v>450003</v>
      </c>
      <c r="C32" s="617" t="s">
        <v>469</v>
      </c>
      <c r="D32" s="617" t="s">
        <v>275</v>
      </c>
      <c r="E32" s="618">
        <v>2</v>
      </c>
      <c r="F32" s="1070"/>
      <c r="G32" s="845">
        <f t="shared" si="0"/>
        <v>0</v>
      </c>
      <c r="H32" s="846">
        <v>0.51</v>
      </c>
      <c r="I32" s="619">
        <f t="shared" si="1"/>
        <v>1.02</v>
      </c>
    </row>
    <row r="33" spans="1:9" s="620" customFormat="1" ht="15" x14ac:dyDescent="0.25">
      <c r="A33" s="615">
        <v>24</v>
      </c>
      <c r="B33" s="616">
        <v>450052</v>
      </c>
      <c r="C33" s="617" t="s">
        <v>470</v>
      </c>
      <c r="D33" s="617" t="s">
        <v>275</v>
      </c>
      <c r="E33" s="618">
        <v>3</v>
      </c>
      <c r="F33" s="1070"/>
      <c r="G33" s="845">
        <f t="shared" si="0"/>
        <v>0</v>
      </c>
      <c r="H33" s="846">
        <v>0.51</v>
      </c>
      <c r="I33" s="619">
        <f t="shared" si="1"/>
        <v>1.53</v>
      </c>
    </row>
    <row r="34" spans="1:9" s="620" customFormat="1" ht="15" x14ac:dyDescent="0.25">
      <c r="A34" s="615">
        <v>25</v>
      </c>
      <c r="B34" s="616">
        <v>461131</v>
      </c>
      <c r="C34" s="617" t="s">
        <v>929</v>
      </c>
      <c r="D34" s="617" t="s">
        <v>275</v>
      </c>
      <c r="E34" s="618">
        <v>16</v>
      </c>
      <c r="F34" s="1070"/>
      <c r="G34" s="845">
        <f t="shared" si="0"/>
        <v>0</v>
      </c>
      <c r="H34" s="846">
        <v>0.06</v>
      </c>
      <c r="I34" s="619">
        <f t="shared" si="1"/>
        <v>0.96</v>
      </c>
    </row>
    <row r="35" spans="1:9" s="620" customFormat="1" ht="15" x14ac:dyDescent="0.25">
      <c r="A35" s="615">
        <v>26</v>
      </c>
      <c r="B35" s="616">
        <v>462511</v>
      </c>
      <c r="C35" s="617" t="s">
        <v>472</v>
      </c>
      <c r="D35" s="617" t="s">
        <v>275</v>
      </c>
      <c r="E35" s="618">
        <v>2</v>
      </c>
      <c r="F35" s="1070"/>
      <c r="G35" s="845">
        <f t="shared" si="0"/>
        <v>0</v>
      </c>
      <c r="H35" s="846">
        <v>0.31</v>
      </c>
      <c r="I35" s="619">
        <f t="shared" si="1"/>
        <v>0.62</v>
      </c>
    </row>
    <row r="36" spans="1:9" s="620" customFormat="1" ht="15" x14ac:dyDescent="0.25">
      <c r="A36" s="615">
        <v>27</v>
      </c>
      <c r="B36" s="616">
        <v>464312</v>
      </c>
      <c r="C36" s="617" t="s">
        <v>930</v>
      </c>
      <c r="D36" s="617" t="s">
        <v>275</v>
      </c>
      <c r="E36" s="618">
        <v>2</v>
      </c>
      <c r="F36" s="1070"/>
      <c r="G36" s="845">
        <f t="shared" si="0"/>
        <v>0</v>
      </c>
      <c r="H36" s="846">
        <v>0.36</v>
      </c>
      <c r="I36" s="619">
        <f t="shared" si="1"/>
        <v>0.72</v>
      </c>
    </row>
    <row r="37" spans="1:9" s="620" customFormat="1" ht="15" x14ac:dyDescent="0.25">
      <c r="A37" s="615">
        <v>28</v>
      </c>
      <c r="B37" s="616">
        <v>441111</v>
      </c>
      <c r="C37" s="617" t="s">
        <v>931</v>
      </c>
      <c r="D37" s="617" t="s">
        <v>275</v>
      </c>
      <c r="E37" s="618">
        <v>2</v>
      </c>
      <c r="F37" s="1070"/>
      <c r="G37" s="845">
        <f t="shared" si="0"/>
        <v>0</v>
      </c>
      <c r="H37" s="846">
        <v>0.27</v>
      </c>
      <c r="I37" s="619">
        <f t="shared" si="1"/>
        <v>0.54</v>
      </c>
    </row>
    <row r="38" spans="1:9" s="620" customFormat="1" ht="15.75" thickBot="1" x14ac:dyDescent="0.3">
      <c r="A38" s="621">
        <v>29</v>
      </c>
      <c r="B38" s="622">
        <v>472208</v>
      </c>
      <c r="C38" s="623" t="s">
        <v>932</v>
      </c>
      <c r="D38" s="623" t="s">
        <v>275</v>
      </c>
      <c r="E38" s="624">
        <v>2</v>
      </c>
      <c r="F38" s="1074"/>
      <c r="G38" s="847">
        <f t="shared" si="0"/>
        <v>0</v>
      </c>
      <c r="H38" s="848">
        <v>1.49</v>
      </c>
      <c r="I38" s="625">
        <f t="shared" si="1"/>
        <v>2.98</v>
      </c>
    </row>
    <row r="39" spans="1:9" s="315" customFormat="1" ht="15" x14ac:dyDescent="0.25">
      <c r="A39" s="309"/>
      <c r="B39" s="310"/>
      <c r="C39" s="311"/>
      <c r="D39" s="311"/>
      <c r="E39" s="312"/>
      <c r="F39" s="548"/>
      <c r="G39" s="559"/>
      <c r="H39" s="313"/>
      <c r="I39" s="314"/>
    </row>
    <row r="40" spans="1:9" s="315" customFormat="1" ht="15" x14ac:dyDescent="0.25">
      <c r="A40" s="382" t="s">
        <v>69</v>
      </c>
      <c r="B40" s="383"/>
      <c r="C40" s="383" t="s">
        <v>347</v>
      </c>
      <c r="D40" s="29"/>
      <c r="E40" s="384"/>
      <c r="F40" s="549"/>
      <c r="G40" s="560">
        <f>SUM(G10:G39)</f>
        <v>0</v>
      </c>
      <c r="H40" s="385"/>
      <c r="I40" s="365">
        <f>SUM(I39:I39)</f>
        <v>0</v>
      </c>
    </row>
    <row r="41" spans="1:9" s="315" customFormat="1" ht="15" x14ac:dyDescent="0.25">
      <c r="A41" s="366" t="s">
        <v>69</v>
      </c>
      <c r="B41" s="386"/>
      <c r="C41" s="386" t="s">
        <v>348</v>
      </c>
      <c r="D41" s="29"/>
      <c r="E41" s="1071"/>
      <c r="F41" s="550">
        <f>G40</f>
        <v>0</v>
      </c>
      <c r="G41" s="561">
        <f>E41*F41/100</f>
        <v>0</v>
      </c>
      <c r="H41" s="385"/>
      <c r="I41" s="365"/>
    </row>
    <row r="42" spans="1:9" s="315" customFormat="1" ht="15" x14ac:dyDescent="0.25">
      <c r="A42" s="366" t="s">
        <v>69</v>
      </c>
      <c r="B42" s="386"/>
      <c r="C42" s="386" t="s">
        <v>349</v>
      </c>
      <c r="D42" s="29"/>
      <c r="E42" s="387">
        <f>SUM(I10:I39)</f>
        <v>47.938000000000002</v>
      </c>
      <c r="F42" s="1072"/>
      <c r="G42" s="561">
        <f>E42*F42</f>
        <v>0</v>
      </c>
      <c r="H42" s="385"/>
      <c r="I42" s="365"/>
    </row>
    <row r="43" spans="1:9" s="315" customFormat="1" ht="15" x14ac:dyDescent="0.25">
      <c r="A43" s="366" t="s">
        <v>69</v>
      </c>
      <c r="B43" s="386"/>
      <c r="C43" s="386" t="s">
        <v>419</v>
      </c>
      <c r="D43" s="29"/>
      <c r="E43" s="387" t="s">
        <v>69</v>
      </c>
      <c r="F43" s="550" t="s">
        <v>69</v>
      </c>
      <c r="G43" s="1073"/>
      <c r="H43" s="385"/>
      <c r="I43" s="365"/>
    </row>
    <row r="44" spans="1:9" s="322" customFormat="1" ht="15" thickBot="1" x14ac:dyDescent="0.25">
      <c r="A44" s="323"/>
      <c r="B44" s="324"/>
      <c r="C44" s="325" t="s">
        <v>306</v>
      </c>
      <c r="D44" s="325"/>
      <c r="E44" s="326"/>
      <c r="F44" s="551"/>
      <c r="G44" s="562">
        <f>ROUND(SUM(G40:G43),0)</f>
        <v>0</v>
      </c>
      <c r="H44" s="327"/>
      <c r="I44" s="328"/>
    </row>
    <row r="45" spans="1:9" x14ac:dyDescent="0.2">
      <c r="A45" s="523"/>
      <c r="B45" s="9"/>
      <c r="C45" s="9"/>
      <c r="D45" s="9"/>
      <c r="E45" s="524"/>
      <c r="F45" s="552"/>
      <c r="G45" s="563"/>
      <c r="H45" s="9"/>
      <c r="I45" s="566"/>
    </row>
    <row r="46" spans="1:9" s="381" customFormat="1" ht="24.6" customHeight="1" thickBot="1" x14ac:dyDescent="0.25">
      <c r="A46" s="525" t="s">
        <v>474</v>
      </c>
      <c r="B46" s="526"/>
      <c r="C46" s="526"/>
      <c r="D46" s="526"/>
      <c r="E46" s="526"/>
      <c r="F46" s="553"/>
      <c r="G46" s="564"/>
      <c r="H46" s="526"/>
      <c r="I46" s="567"/>
    </row>
    <row r="47" spans="1:9" s="315" customFormat="1" ht="15.75" thickBot="1" x14ac:dyDescent="0.3">
      <c r="A47" s="300" t="s">
        <v>292</v>
      </c>
      <c r="B47" s="301" t="s">
        <v>293</v>
      </c>
      <c r="C47" s="302" t="s">
        <v>294</v>
      </c>
      <c r="D47" s="302" t="s">
        <v>295</v>
      </c>
      <c r="E47" s="303" t="s">
        <v>51</v>
      </c>
      <c r="F47" s="546" t="s">
        <v>296</v>
      </c>
      <c r="G47" s="557" t="s">
        <v>297</v>
      </c>
      <c r="H47" s="304" t="s">
        <v>298</v>
      </c>
      <c r="I47" s="305" t="s">
        <v>299</v>
      </c>
    </row>
    <row r="48" spans="1:9" s="308" customFormat="1" ht="19.899999999999999" customHeight="1" x14ac:dyDescent="0.25">
      <c r="A48" s="409"/>
      <c r="B48" s="410" t="s">
        <v>473</v>
      </c>
      <c r="C48" s="411"/>
      <c r="D48" s="411"/>
      <c r="E48" s="412"/>
      <c r="F48" s="547"/>
      <c r="G48" s="558"/>
      <c r="H48" s="413"/>
      <c r="I48" s="414"/>
    </row>
    <row r="49" spans="1:9" s="620" customFormat="1" ht="15" x14ac:dyDescent="0.25">
      <c r="A49" s="615">
        <v>1</v>
      </c>
      <c r="B49" s="616">
        <v>767409</v>
      </c>
      <c r="C49" s="617" t="s">
        <v>933</v>
      </c>
      <c r="D49" s="617" t="s">
        <v>275</v>
      </c>
      <c r="E49" s="618">
        <v>1</v>
      </c>
      <c r="F49" s="1070"/>
      <c r="G49" s="845">
        <f t="shared" ref="G49:G77" si="2">E49*F49</f>
        <v>0</v>
      </c>
      <c r="H49" s="846">
        <v>0.3</v>
      </c>
      <c r="I49" s="619">
        <f t="shared" ref="I49:I77" si="3">E49*H49</f>
        <v>0.3</v>
      </c>
    </row>
    <row r="50" spans="1:9" s="620" customFormat="1" ht="15" x14ac:dyDescent="0.25">
      <c r="A50" s="615">
        <v>2</v>
      </c>
      <c r="B50" s="616">
        <v>290211</v>
      </c>
      <c r="C50" s="617" t="s">
        <v>462</v>
      </c>
      <c r="D50" s="617" t="s">
        <v>435</v>
      </c>
      <c r="E50" s="618">
        <v>2.4</v>
      </c>
      <c r="F50" s="1070"/>
      <c r="G50" s="845">
        <f t="shared" si="2"/>
        <v>0</v>
      </c>
      <c r="H50" s="846">
        <v>0.61</v>
      </c>
      <c r="I50" s="619">
        <f t="shared" si="3"/>
        <v>1.464</v>
      </c>
    </row>
    <row r="51" spans="1:9" s="620" customFormat="1" ht="15" x14ac:dyDescent="0.25">
      <c r="A51" s="615">
        <v>3</v>
      </c>
      <c r="B51" s="616">
        <v>782311</v>
      </c>
      <c r="C51" s="617" t="s">
        <v>417</v>
      </c>
      <c r="D51" s="617" t="s">
        <v>435</v>
      </c>
      <c r="E51" s="618">
        <v>0.6</v>
      </c>
      <c r="F51" s="1070"/>
      <c r="G51" s="845">
        <f t="shared" si="2"/>
        <v>0</v>
      </c>
      <c r="H51" s="846">
        <v>0.49</v>
      </c>
      <c r="I51" s="619">
        <f t="shared" si="3"/>
        <v>0.29399999999999998</v>
      </c>
    </row>
    <row r="52" spans="1:9" s="620" customFormat="1" ht="15" x14ac:dyDescent="0.25">
      <c r="A52" s="615">
        <v>4</v>
      </c>
      <c r="B52" s="616">
        <v>784311</v>
      </c>
      <c r="C52" s="617" t="s">
        <v>368</v>
      </c>
      <c r="D52" s="617" t="s">
        <v>275</v>
      </c>
      <c r="E52" s="618">
        <v>16</v>
      </c>
      <c r="F52" s="1070"/>
      <c r="G52" s="845">
        <f t="shared" si="2"/>
        <v>0</v>
      </c>
      <c r="H52" s="846">
        <v>0.16</v>
      </c>
      <c r="I52" s="619">
        <f t="shared" si="3"/>
        <v>2.56</v>
      </c>
    </row>
    <row r="53" spans="1:9" s="620" customFormat="1" ht="15" x14ac:dyDescent="0.25">
      <c r="A53" s="615">
        <v>5</v>
      </c>
      <c r="B53" s="616">
        <v>784314</v>
      </c>
      <c r="C53" s="617" t="s">
        <v>463</v>
      </c>
      <c r="D53" s="617" t="s">
        <v>275</v>
      </c>
      <c r="E53" s="618">
        <v>4</v>
      </c>
      <c r="F53" s="1070"/>
      <c r="G53" s="845">
        <f t="shared" si="2"/>
        <v>0</v>
      </c>
      <c r="H53" s="846">
        <v>0.24</v>
      </c>
      <c r="I53" s="619">
        <f t="shared" si="3"/>
        <v>0.96</v>
      </c>
    </row>
    <row r="54" spans="1:9" s="620" customFormat="1" ht="15" x14ac:dyDescent="0.25">
      <c r="A54" s="615">
        <v>6</v>
      </c>
      <c r="B54" s="616">
        <v>784315</v>
      </c>
      <c r="C54" s="617" t="s">
        <v>464</v>
      </c>
      <c r="D54" s="617" t="s">
        <v>275</v>
      </c>
      <c r="E54" s="618">
        <v>4</v>
      </c>
      <c r="F54" s="1070"/>
      <c r="G54" s="845">
        <f t="shared" si="2"/>
        <v>0</v>
      </c>
      <c r="H54" s="846">
        <v>0.42</v>
      </c>
      <c r="I54" s="619">
        <f t="shared" si="3"/>
        <v>1.68</v>
      </c>
    </row>
    <row r="55" spans="1:9" s="620" customFormat="1" ht="15" x14ac:dyDescent="0.25">
      <c r="A55" s="615">
        <v>7</v>
      </c>
      <c r="B55" s="616">
        <v>415024</v>
      </c>
      <c r="C55" s="617" t="s">
        <v>465</v>
      </c>
      <c r="D55" s="617" t="s">
        <v>275</v>
      </c>
      <c r="E55" s="618">
        <v>2</v>
      </c>
      <c r="F55" s="1070"/>
      <c r="G55" s="845">
        <f t="shared" si="2"/>
        <v>0</v>
      </c>
      <c r="H55" s="846">
        <v>0.56000000000000005</v>
      </c>
      <c r="I55" s="619">
        <f t="shared" si="3"/>
        <v>1.1200000000000001</v>
      </c>
    </row>
    <row r="56" spans="1:9" s="620" customFormat="1" ht="15" x14ac:dyDescent="0.25">
      <c r="A56" s="615">
        <v>8</v>
      </c>
      <c r="B56" s="616">
        <v>432216</v>
      </c>
      <c r="C56" s="617" t="s">
        <v>919</v>
      </c>
      <c r="D56" s="617" t="s">
        <v>275</v>
      </c>
      <c r="E56" s="618">
        <v>1</v>
      </c>
      <c r="F56" s="1070"/>
      <c r="G56" s="845">
        <f t="shared" si="2"/>
        <v>0</v>
      </c>
      <c r="H56" s="846">
        <v>0.23</v>
      </c>
      <c r="I56" s="619">
        <f t="shared" si="3"/>
        <v>0.23</v>
      </c>
    </row>
    <row r="57" spans="1:9" s="620" customFormat="1" ht="15" x14ac:dyDescent="0.25">
      <c r="A57" s="615">
        <v>9</v>
      </c>
      <c r="B57" s="616">
        <v>432232</v>
      </c>
      <c r="C57" s="617" t="s">
        <v>466</v>
      </c>
      <c r="D57" s="617" t="s">
        <v>275</v>
      </c>
      <c r="E57" s="618">
        <v>3</v>
      </c>
      <c r="F57" s="1070"/>
      <c r="G57" s="845">
        <f t="shared" si="2"/>
        <v>0</v>
      </c>
      <c r="H57" s="846">
        <v>0</v>
      </c>
      <c r="I57" s="619">
        <f t="shared" si="3"/>
        <v>0</v>
      </c>
    </row>
    <row r="58" spans="1:9" s="620" customFormat="1" ht="15" x14ac:dyDescent="0.25">
      <c r="A58" s="615">
        <v>10</v>
      </c>
      <c r="B58" s="616">
        <v>434080</v>
      </c>
      <c r="C58" s="617" t="s">
        <v>920</v>
      </c>
      <c r="D58" s="617" t="s">
        <v>275</v>
      </c>
      <c r="E58" s="618">
        <v>1</v>
      </c>
      <c r="F58" s="1070"/>
      <c r="G58" s="845">
        <f t="shared" si="2"/>
        <v>0</v>
      </c>
      <c r="H58" s="846">
        <v>0.16</v>
      </c>
      <c r="I58" s="619">
        <f t="shared" si="3"/>
        <v>0.16</v>
      </c>
    </row>
    <row r="59" spans="1:9" s="620" customFormat="1" ht="15" x14ac:dyDescent="0.25">
      <c r="A59" s="615">
        <v>11</v>
      </c>
      <c r="B59" s="616">
        <v>434081</v>
      </c>
      <c r="C59" s="617" t="s">
        <v>934</v>
      </c>
      <c r="D59" s="617" t="s">
        <v>275</v>
      </c>
      <c r="E59" s="618">
        <v>4</v>
      </c>
      <c r="F59" s="1070"/>
      <c r="G59" s="845">
        <f t="shared" si="2"/>
        <v>0</v>
      </c>
      <c r="H59" s="846">
        <v>0.17</v>
      </c>
      <c r="I59" s="619">
        <f t="shared" si="3"/>
        <v>0.68</v>
      </c>
    </row>
    <row r="60" spans="1:9" s="620" customFormat="1" ht="15" x14ac:dyDescent="0.25">
      <c r="A60" s="615">
        <v>12</v>
      </c>
      <c r="B60" s="616">
        <v>434081</v>
      </c>
      <c r="C60" s="617" t="s">
        <v>935</v>
      </c>
      <c r="D60" s="617" t="s">
        <v>275</v>
      </c>
      <c r="E60" s="618">
        <v>4</v>
      </c>
      <c r="F60" s="1070"/>
      <c r="G60" s="845">
        <f t="shared" si="2"/>
        <v>0</v>
      </c>
      <c r="H60" s="846">
        <v>0.17</v>
      </c>
      <c r="I60" s="619">
        <f t="shared" si="3"/>
        <v>0.68</v>
      </c>
    </row>
    <row r="61" spans="1:9" s="620" customFormat="1" ht="15" x14ac:dyDescent="0.25">
      <c r="A61" s="615">
        <v>13</v>
      </c>
      <c r="B61" s="616">
        <v>434501</v>
      </c>
      <c r="C61" s="617" t="s">
        <v>921</v>
      </c>
      <c r="D61" s="617" t="s">
        <v>275</v>
      </c>
      <c r="E61" s="618">
        <v>15</v>
      </c>
      <c r="F61" s="1070"/>
      <c r="G61" s="845">
        <f t="shared" si="2"/>
        <v>0</v>
      </c>
      <c r="H61" s="846">
        <v>0.28000000000000003</v>
      </c>
      <c r="I61" s="619">
        <f t="shared" si="3"/>
        <v>4.2</v>
      </c>
    </row>
    <row r="62" spans="1:9" s="620" customFormat="1" ht="15" x14ac:dyDescent="0.25">
      <c r="A62" s="615">
        <v>14</v>
      </c>
      <c r="B62" s="616">
        <v>434501</v>
      </c>
      <c r="C62" s="617" t="s">
        <v>922</v>
      </c>
      <c r="D62" s="617" t="s">
        <v>275</v>
      </c>
      <c r="E62" s="618">
        <v>14</v>
      </c>
      <c r="F62" s="1070"/>
      <c r="G62" s="845">
        <f t="shared" si="2"/>
        <v>0</v>
      </c>
      <c r="H62" s="846">
        <v>0.28000000000000003</v>
      </c>
      <c r="I62" s="619">
        <f t="shared" si="3"/>
        <v>3.9200000000000004</v>
      </c>
    </row>
    <row r="63" spans="1:9" s="620" customFormat="1" ht="15" x14ac:dyDescent="0.25">
      <c r="A63" s="615">
        <v>15</v>
      </c>
      <c r="B63" s="616">
        <v>435160</v>
      </c>
      <c r="C63" s="617" t="s">
        <v>923</v>
      </c>
      <c r="D63" s="617" t="s">
        <v>275</v>
      </c>
      <c r="E63" s="618">
        <v>2</v>
      </c>
      <c r="F63" s="1070"/>
      <c r="G63" s="845">
        <f t="shared" si="2"/>
        <v>0</v>
      </c>
      <c r="H63" s="846">
        <v>0.36</v>
      </c>
      <c r="I63" s="619">
        <f t="shared" si="3"/>
        <v>0.72</v>
      </c>
    </row>
    <row r="64" spans="1:9" s="620" customFormat="1" ht="15" x14ac:dyDescent="0.25">
      <c r="A64" s="615">
        <v>16</v>
      </c>
      <c r="B64" s="616">
        <v>435163</v>
      </c>
      <c r="C64" s="617" t="s">
        <v>925</v>
      </c>
      <c r="D64" s="617" t="s">
        <v>275</v>
      </c>
      <c r="E64" s="618">
        <v>3</v>
      </c>
      <c r="F64" s="1070"/>
      <c r="G64" s="845">
        <f t="shared" si="2"/>
        <v>0</v>
      </c>
      <c r="H64" s="846">
        <v>0.39</v>
      </c>
      <c r="I64" s="619">
        <f t="shared" si="3"/>
        <v>1.17</v>
      </c>
    </row>
    <row r="65" spans="1:9" s="620" customFormat="1" ht="15" x14ac:dyDescent="0.25">
      <c r="A65" s="615">
        <v>17</v>
      </c>
      <c r="B65" s="616">
        <v>435164</v>
      </c>
      <c r="C65" s="617" t="s">
        <v>926</v>
      </c>
      <c r="D65" s="617" t="s">
        <v>275</v>
      </c>
      <c r="E65" s="618">
        <v>2</v>
      </c>
      <c r="F65" s="1070"/>
      <c r="G65" s="845">
        <f t="shared" si="2"/>
        <v>0</v>
      </c>
      <c r="H65" s="846">
        <v>0.56000000000000005</v>
      </c>
      <c r="I65" s="619">
        <f t="shared" si="3"/>
        <v>1.1200000000000001</v>
      </c>
    </row>
    <row r="66" spans="1:9" s="620" customFormat="1" ht="15" x14ac:dyDescent="0.25">
      <c r="A66" s="615">
        <v>18</v>
      </c>
      <c r="B66" s="616">
        <v>434670</v>
      </c>
      <c r="C66" s="617" t="s">
        <v>467</v>
      </c>
      <c r="D66" s="617" t="s">
        <v>275</v>
      </c>
      <c r="E66" s="618">
        <v>2</v>
      </c>
      <c r="F66" s="1070"/>
      <c r="G66" s="845">
        <f t="shared" si="2"/>
        <v>0</v>
      </c>
      <c r="H66" s="846">
        <v>0.26</v>
      </c>
      <c r="I66" s="619">
        <f t="shared" si="3"/>
        <v>0.52</v>
      </c>
    </row>
    <row r="67" spans="1:9" s="620" customFormat="1" ht="15" x14ac:dyDescent="0.25">
      <c r="A67" s="615">
        <v>19</v>
      </c>
      <c r="B67" s="616">
        <v>438711</v>
      </c>
      <c r="C67" s="617" t="s">
        <v>468</v>
      </c>
      <c r="D67" s="617" t="s">
        <v>275</v>
      </c>
      <c r="E67" s="618">
        <v>2</v>
      </c>
      <c r="F67" s="1070"/>
      <c r="G67" s="845">
        <f t="shared" si="2"/>
        <v>0</v>
      </c>
      <c r="H67" s="846">
        <v>0.49</v>
      </c>
      <c r="I67" s="619">
        <f t="shared" si="3"/>
        <v>0.98</v>
      </c>
    </row>
    <row r="68" spans="1:9" s="620" customFormat="1" ht="15" x14ac:dyDescent="0.25">
      <c r="A68" s="615">
        <v>20</v>
      </c>
      <c r="B68" s="616">
        <v>438712</v>
      </c>
      <c r="C68" s="617" t="s">
        <v>369</v>
      </c>
      <c r="D68" s="617" t="s">
        <v>275</v>
      </c>
      <c r="E68" s="618">
        <v>3</v>
      </c>
      <c r="F68" s="1070"/>
      <c r="G68" s="845">
        <f t="shared" si="2"/>
        <v>0</v>
      </c>
      <c r="H68" s="846">
        <v>0.72</v>
      </c>
      <c r="I68" s="619">
        <f t="shared" si="3"/>
        <v>2.16</v>
      </c>
    </row>
    <row r="69" spans="1:9" s="620" customFormat="1" ht="15" x14ac:dyDescent="0.25">
      <c r="A69" s="615">
        <v>21</v>
      </c>
      <c r="B69" s="616">
        <v>434670</v>
      </c>
      <c r="C69" s="617" t="s">
        <v>467</v>
      </c>
      <c r="D69" s="617" t="s">
        <v>275</v>
      </c>
      <c r="E69" s="618">
        <v>4</v>
      </c>
      <c r="F69" s="1070"/>
      <c r="G69" s="845">
        <f t="shared" si="2"/>
        <v>0</v>
      </c>
      <c r="H69" s="846">
        <v>0.26</v>
      </c>
      <c r="I69" s="619">
        <f t="shared" si="3"/>
        <v>1.04</v>
      </c>
    </row>
    <row r="70" spans="1:9" s="620" customFormat="1" ht="15" x14ac:dyDescent="0.25">
      <c r="A70" s="615">
        <v>22</v>
      </c>
      <c r="B70" s="616">
        <v>443125</v>
      </c>
      <c r="C70" s="617" t="s">
        <v>936</v>
      </c>
      <c r="D70" s="617" t="s">
        <v>275</v>
      </c>
      <c r="E70" s="618">
        <v>2</v>
      </c>
      <c r="F70" s="1070"/>
      <c r="G70" s="845">
        <f t="shared" si="2"/>
        <v>0</v>
      </c>
      <c r="H70" s="846">
        <v>1.44</v>
      </c>
      <c r="I70" s="619">
        <f t="shared" si="3"/>
        <v>2.88</v>
      </c>
    </row>
    <row r="71" spans="1:9" s="620" customFormat="1" ht="15" x14ac:dyDescent="0.25">
      <c r="A71" s="615">
        <v>23</v>
      </c>
      <c r="B71" s="616">
        <v>443155</v>
      </c>
      <c r="C71" s="617" t="s">
        <v>937</v>
      </c>
      <c r="D71" s="617" t="s">
        <v>275</v>
      </c>
      <c r="E71" s="618">
        <v>1</v>
      </c>
      <c r="F71" s="1070"/>
      <c r="G71" s="845">
        <f t="shared" si="2"/>
        <v>0</v>
      </c>
      <c r="H71" s="846">
        <v>0.46</v>
      </c>
      <c r="I71" s="619">
        <f t="shared" si="3"/>
        <v>0.46</v>
      </c>
    </row>
    <row r="72" spans="1:9" s="620" customFormat="1" ht="15" x14ac:dyDescent="0.25">
      <c r="A72" s="615">
        <v>24</v>
      </c>
      <c r="B72" s="616">
        <v>450003</v>
      </c>
      <c r="C72" s="617" t="s">
        <v>469</v>
      </c>
      <c r="D72" s="617" t="s">
        <v>275</v>
      </c>
      <c r="E72" s="618">
        <v>2</v>
      </c>
      <c r="F72" s="1070"/>
      <c r="G72" s="845">
        <f t="shared" si="2"/>
        <v>0</v>
      </c>
      <c r="H72" s="846">
        <v>0.51</v>
      </c>
      <c r="I72" s="619">
        <f t="shared" si="3"/>
        <v>1.02</v>
      </c>
    </row>
    <row r="73" spans="1:9" s="620" customFormat="1" ht="15" x14ac:dyDescent="0.25">
      <c r="A73" s="615">
        <v>25</v>
      </c>
      <c r="B73" s="616">
        <v>450052</v>
      </c>
      <c r="C73" s="617" t="s">
        <v>470</v>
      </c>
      <c r="D73" s="617" t="s">
        <v>275</v>
      </c>
      <c r="E73" s="618">
        <v>3</v>
      </c>
      <c r="F73" s="1070"/>
      <c r="G73" s="845">
        <f t="shared" si="2"/>
        <v>0</v>
      </c>
      <c r="H73" s="846">
        <v>0.51</v>
      </c>
      <c r="I73" s="619">
        <f t="shared" si="3"/>
        <v>1.53</v>
      </c>
    </row>
    <row r="74" spans="1:9" s="620" customFormat="1" ht="15" x14ac:dyDescent="0.25">
      <c r="A74" s="615">
        <v>26</v>
      </c>
      <c r="B74" s="616">
        <v>461131</v>
      </c>
      <c r="C74" s="617" t="s">
        <v>471</v>
      </c>
      <c r="D74" s="617" t="s">
        <v>275</v>
      </c>
      <c r="E74" s="618">
        <v>9</v>
      </c>
      <c r="F74" s="1070"/>
      <c r="G74" s="845">
        <f t="shared" si="2"/>
        <v>0</v>
      </c>
      <c r="H74" s="846">
        <v>0.06</v>
      </c>
      <c r="I74" s="619">
        <f t="shared" si="3"/>
        <v>0.54</v>
      </c>
    </row>
    <row r="75" spans="1:9" s="620" customFormat="1" ht="15" x14ac:dyDescent="0.25">
      <c r="A75" s="615">
        <v>27</v>
      </c>
      <c r="B75" s="616">
        <v>462511</v>
      </c>
      <c r="C75" s="617" t="s">
        <v>472</v>
      </c>
      <c r="D75" s="617" t="s">
        <v>275</v>
      </c>
      <c r="E75" s="618">
        <v>2</v>
      </c>
      <c r="F75" s="1070"/>
      <c r="G75" s="845">
        <f t="shared" si="2"/>
        <v>0</v>
      </c>
      <c r="H75" s="846">
        <v>0.31</v>
      </c>
      <c r="I75" s="619">
        <f t="shared" si="3"/>
        <v>0.62</v>
      </c>
    </row>
    <row r="76" spans="1:9" s="620" customFormat="1" ht="15" x14ac:dyDescent="0.25">
      <c r="A76" s="615">
        <v>28</v>
      </c>
      <c r="B76" s="616">
        <v>464312</v>
      </c>
      <c r="C76" s="617" t="s">
        <v>930</v>
      </c>
      <c r="D76" s="617" t="s">
        <v>275</v>
      </c>
      <c r="E76" s="618">
        <v>1</v>
      </c>
      <c r="F76" s="1070"/>
      <c r="G76" s="845">
        <f t="shared" si="2"/>
        <v>0</v>
      </c>
      <c r="H76" s="846">
        <v>0.36</v>
      </c>
      <c r="I76" s="619">
        <f t="shared" si="3"/>
        <v>0.36</v>
      </c>
    </row>
    <row r="77" spans="1:9" s="620" customFormat="1" ht="15.75" thickBot="1" x14ac:dyDescent="0.3">
      <c r="A77" s="621">
        <v>29</v>
      </c>
      <c r="B77" s="622">
        <v>472208</v>
      </c>
      <c r="C77" s="623" t="s">
        <v>932</v>
      </c>
      <c r="D77" s="623" t="s">
        <v>275</v>
      </c>
      <c r="E77" s="624">
        <v>2</v>
      </c>
      <c r="F77" s="1074"/>
      <c r="G77" s="847">
        <f t="shared" si="2"/>
        <v>0</v>
      </c>
      <c r="H77" s="848">
        <v>1.49</v>
      </c>
      <c r="I77" s="625">
        <f t="shared" si="3"/>
        <v>2.98</v>
      </c>
    </row>
    <row r="78" spans="1:9" s="315" customFormat="1" ht="15" x14ac:dyDescent="0.25">
      <c r="A78" s="309"/>
      <c r="B78" s="310"/>
      <c r="C78" s="311"/>
      <c r="D78" s="311"/>
      <c r="E78" s="312"/>
      <c r="F78" s="548"/>
      <c r="G78" s="559"/>
      <c r="H78" s="313"/>
      <c r="I78" s="314"/>
    </row>
    <row r="79" spans="1:9" s="315" customFormat="1" ht="15" x14ac:dyDescent="0.25">
      <c r="A79" s="382" t="s">
        <v>69</v>
      </c>
      <c r="B79" s="383"/>
      <c r="C79" s="383" t="s">
        <v>347</v>
      </c>
      <c r="D79" s="29"/>
      <c r="E79" s="384"/>
      <c r="F79" s="549">
        <v>0</v>
      </c>
      <c r="G79" s="560">
        <f>SUM(G49:G78)</f>
        <v>0</v>
      </c>
      <c r="H79" s="385"/>
      <c r="I79" s="365"/>
    </row>
    <row r="80" spans="1:9" s="315" customFormat="1" ht="15" x14ac:dyDescent="0.25">
      <c r="A80" s="366" t="s">
        <v>69</v>
      </c>
      <c r="B80" s="386"/>
      <c r="C80" s="386" t="s">
        <v>348</v>
      </c>
      <c r="D80" s="29"/>
      <c r="E80" s="1071"/>
      <c r="F80" s="550">
        <f>G79</f>
        <v>0</v>
      </c>
      <c r="G80" s="561">
        <f>E80*F80/100</f>
        <v>0</v>
      </c>
      <c r="H80" s="385"/>
      <c r="I80" s="365"/>
    </row>
    <row r="81" spans="1:9" s="315" customFormat="1" ht="15" x14ac:dyDescent="0.25">
      <c r="A81" s="366" t="s">
        <v>69</v>
      </c>
      <c r="B81" s="386"/>
      <c r="C81" s="386" t="s">
        <v>349</v>
      </c>
      <c r="D81" s="29"/>
      <c r="E81" s="387">
        <f>SUM(I49:I78)</f>
        <v>36.347999999999992</v>
      </c>
      <c r="F81" s="1072"/>
      <c r="G81" s="561">
        <f>E81*F81</f>
        <v>0</v>
      </c>
      <c r="H81" s="385"/>
      <c r="I81" s="365"/>
    </row>
    <row r="82" spans="1:9" s="315" customFormat="1" ht="15" x14ac:dyDescent="0.25">
      <c r="A82" s="366" t="s">
        <v>69</v>
      </c>
      <c r="B82" s="386"/>
      <c r="C82" s="386" t="s">
        <v>419</v>
      </c>
      <c r="D82" s="29"/>
      <c r="E82" s="387" t="s">
        <v>69</v>
      </c>
      <c r="F82" s="550" t="s">
        <v>69</v>
      </c>
      <c r="G82" s="1073"/>
      <c r="H82" s="385"/>
      <c r="I82" s="365"/>
    </row>
    <row r="83" spans="1:9" s="322" customFormat="1" ht="15" thickBot="1" x14ac:dyDescent="0.25">
      <c r="A83" s="323"/>
      <c r="B83" s="324"/>
      <c r="C83" s="325" t="s">
        <v>306</v>
      </c>
      <c r="D83" s="325"/>
      <c r="E83" s="326"/>
      <c r="F83" s="551"/>
      <c r="G83" s="562">
        <f>ROUND(SUM(G79:G82),0)</f>
        <v>0</v>
      </c>
      <c r="H83" s="327"/>
      <c r="I83" s="328" t="s">
        <v>69</v>
      </c>
    </row>
    <row r="84" spans="1:9" x14ac:dyDescent="0.2">
      <c r="A84" s="523"/>
      <c r="B84" s="9"/>
      <c r="C84" s="9"/>
      <c r="D84" s="9"/>
      <c r="E84" s="524"/>
      <c r="F84" s="552"/>
      <c r="G84" s="563"/>
      <c r="H84" s="9"/>
      <c r="I84" s="566"/>
    </row>
    <row r="85" spans="1:9" s="381" customFormat="1" ht="25.15" customHeight="1" thickBot="1" x14ac:dyDescent="0.25">
      <c r="A85" s="525" t="s">
        <v>474</v>
      </c>
      <c r="B85" s="526"/>
      <c r="C85" s="526"/>
      <c r="D85" s="526"/>
      <c r="E85" s="526"/>
      <c r="F85" s="553"/>
      <c r="G85" s="564"/>
      <c r="H85" s="526"/>
      <c r="I85" s="567"/>
    </row>
    <row r="86" spans="1:9" s="315" customFormat="1" ht="15.75" thickBot="1" x14ac:dyDescent="0.3">
      <c r="A86" s="300" t="s">
        <v>292</v>
      </c>
      <c r="B86" s="301" t="s">
        <v>293</v>
      </c>
      <c r="C86" s="302" t="s">
        <v>294</v>
      </c>
      <c r="D86" s="302" t="s">
        <v>295</v>
      </c>
      <c r="E86" s="303" t="s">
        <v>51</v>
      </c>
      <c r="F86" s="546" t="s">
        <v>296</v>
      </c>
      <c r="G86" s="557" t="s">
        <v>297</v>
      </c>
      <c r="H86" s="304" t="s">
        <v>298</v>
      </c>
      <c r="I86" s="305" t="s">
        <v>299</v>
      </c>
    </row>
    <row r="87" spans="1:9" s="614" customFormat="1" ht="20.100000000000001" customHeight="1" x14ac:dyDescent="0.25">
      <c r="A87" s="607"/>
      <c r="B87" s="608" t="s">
        <v>418</v>
      </c>
      <c r="C87" s="609"/>
      <c r="D87" s="609"/>
      <c r="E87" s="610"/>
      <c r="F87" s="610"/>
      <c r="G87" s="697"/>
      <c r="H87" s="612"/>
      <c r="I87" s="613"/>
    </row>
    <row r="88" spans="1:9" s="620" customFormat="1" ht="15" x14ac:dyDescent="0.25">
      <c r="A88" s="615">
        <v>1</v>
      </c>
      <c r="B88" s="616">
        <v>763030</v>
      </c>
      <c r="C88" s="617" t="s">
        <v>475</v>
      </c>
      <c r="D88" s="617" t="s">
        <v>275</v>
      </c>
      <c r="E88" s="618">
        <v>1</v>
      </c>
      <c r="F88" s="1075"/>
      <c r="G88" s="695">
        <f>E88*F88</f>
        <v>0</v>
      </c>
      <c r="H88" s="1077">
        <v>0.2</v>
      </c>
      <c r="I88" s="619">
        <f>E88*H88</f>
        <v>0.2</v>
      </c>
    </row>
    <row r="89" spans="1:9" s="620" customFormat="1" ht="15" x14ac:dyDescent="0.25">
      <c r="A89" s="615">
        <v>2</v>
      </c>
      <c r="B89" s="616">
        <v>464342</v>
      </c>
      <c r="C89" s="617" t="s">
        <v>476</v>
      </c>
      <c r="D89" s="617" t="s">
        <v>275</v>
      </c>
      <c r="E89" s="618">
        <v>1</v>
      </c>
      <c r="F89" s="1075"/>
      <c r="G89" s="695">
        <f>E89*F89</f>
        <v>0</v>
      </c>
      <c r="H89" s="1077">
        <v>0.46</v>
      </c>
      <c r="I89" s="619">
        <f>E89*H89</f>
        <v>0.46</v>
      </c>
    </row>
    <row r="90" spans="1:9" s="620" customFormat="1" ht="15.75" thickBot="1" x14ac:dyDescent="0.3">
      <c r="A90" s="621">
        <v>3</v>
      </c>
      <c r="B90" s="622">
        <v>464421</v>
      </c>
      <c r="C90" s="623" t="s">
        <v>477</v>
      </c>
      <c r="D90" s="623" t="s">
        <v>275</v>
      </c>
      <c r="E90" s="624">
        <v>1</v>
      </c>
      <c r="F90" s="1076"/>
      <c r="G90" s="696">
        <f>E90*F90</f>
        <v>0</v>
      </c>
      <c r="H90" s="1078">
        <v>0.56000000000000005</v>
      </c>
      <c r="I90" s="625">
        <f>E90*H90</f>
        <v>0.56000000000000005</v>
      </c>
    </row>
    <row r="91" spans="1:9" s="315" customFormat="1" ht="15" x14ac:dyDescent="0.25">
      <c r="A91" s="940"/>
      <c r="B91" s="941"/>
      <c r="C91" s="942"/>
      <c r="D91" s="942"/>
      <c r="E91" s="943"/>
      <c r="F91" s="944"/>
      <c r="G91" s="945"/>
      <c r="H91" s="946"/>
      <c r="I91" s="365"/>
    </row>
    <row r="92" spans="1:9" s="315" customFormat="1" ht="15" x14ac:dyDescent="0.25">
      <c r="A92" s="382" t="s">
        <v>69</v>
      </c>
      <c r="B92" s="383"/>
      <c r="C92" s="383" t="s">
        <v>347</v>
      </c>
      <c r="D92" s="29"/>
      <c r="E92" s="384"/>
      <c r="F92" s="549">
        <v>0</v>
      </c>
      <c r="G92" s="560">
        <f>SUM(G88:G91)</f>
        <v>0</v>
      </c>
      <c r="H92" s="385"/>
      <c r="I92" s="365"/>
    </row>
    <row r="93" spans="1:9" s="315" customFormat="1" ht="15" x14ac:dyDescent="0.25">
      <c r="A93" s="366" t="s">
        <v>69</v>
      </c>
      <c r="B93" s="386"/>
      <c r="C93" s="386" t="s">
        <v>348</v>
      </c>
      <c r="D93" s="29"/>
      <c r="E93" s="1071"/>
      <c r="F93" s="550">
        <f>G92</f>
        <v>0</v>
      </c>
      <c r="G93" s="561">
        <f>E93*F93/100</f>
        <v>0</v>
      </c>
      <c r="H93" s="385"/>
      <c r="I93" s="365"/>
    </row>
    <row r="94" spans="1:9" s="315" customFormat="1" ht="15" x14ac:dyDescent="0.25">
      <c r="A94" s="366" t="s">
        <v>69</v>
      </c>
      <c r="B94" s="386"/>
      <c r="C94" s="386" t="s">
        <v>349</v>
      </c>
      <c r="D94" s="29"/>
      <c r="E94" s="387">
        <f>SUM(I88:I91)</f>
        <v>1.2200000000000002</v>
      </c>
      <c r="F94" s="1072"/>
      <c r="G94" s="561">
        <f>E94*F94</f>
        <v>0</v>
      </c>
      <c r="H94" s="385"/>
      <c r="I94" s="365"/>
    </row>
    <row r="95" spans="1:9" s="322" customFormat="1" ht="15" thickBot="1" x14ac:dyDescent="0.25">
      <c r="A95" s="323"/>
      <c r="B95" s="324"/>
      <c r="C95" s="325" t="s">
        <v>306</v>
      </c>
      <c r="D95" s="325"/>
      <c r="E95" s="326"/>
      <c r="F95" s="551"/>
      <c r="G95" s="562">
        <f>SUM(G92:G94)</f>
        <v>0</v>
      </c>
      <c r="H95" s="327"/>
      <c r="I95" s="328">
        <f>SUM(I88:I90)</f>
        <v>1.2200000000000002</v>
      </c>
    </row>
  </sheetData>
  <customSheetViews>
    <customSheetView guid="{30B10D60-758F-4E0B-9F03-5879C6CAFDF6}" scale="115" showPageBreaks="1" view="pageBreakPreview">
      <pane ySplit="8" topLeftCell="A9" activePane="bottomLeft" state="frozen"/>
      <selection pane="bottomLeft" activeCell="M16" sqref="M16"/>
      <rowBreaks count="1" manualBreakCount="1">
        <brk id="84" max="16383" man="1"/>
      </rowBreaks>
      <pageMargins left="0.70866141732283472" right="0.70866141732283472" top="0.78740157480314965" bottom="0.78740157480314965" header="0.31496062992125984" footer="0.31496062992125984"/>
      <pageSetup paperSize="9" orientation="landscape" r:id="rId1"/>
      <headerFooter>
        <oddFooter>&amp;Csilnoproudá elektrotechnika&amp;Rstránka &amp;P z &amp;N</oddFooter>
      </headerFooter>
    </customSheetView>
  </customSheetViews>
  <mergeCells count="1">
    <mergeCell ref="A4:I4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>&amp;Csilnoproudá elektrotechnika&amp;Rstránka &amp;P z &amp;N</oddFooter>
  </headerFooter>
  <rowBreaks count="1" manualBreakCount="1">
    <brk id="84" max="16383" man="1"/>
  </rowBreak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G50"/>
  <sheetViews>
    <sheetView view="pageBreakPreview" zoomScale="145" zoomScaleNormal="100" zoomScaleSheetLayoutView="145" workbookViewId="0"/>
  </sheetViews>
  <sheetFormatPr defaultRowHeight="12.75" x14ac:dyDescent="0.2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140625" customWidth="1"/>
    <col min="7" max="8" width="16.7109375" customWidth="1"/>
    <col min="9" max="9" width="5.710937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 x14ac:dyDescent="0.2">
      <c r="A1" s="935" t="s">
        <v>84</v>
      </c>
      <c r="B1" s="936"/>
      <c r="C1" s="936"/>
      <c r="D1" s="936"/>
      <c r="E1" s="936"/>
      <c r="F1" s="936"/>
      <c r="G1" s="936"/>
      <c r="H1" s="936"/>
      <c r="I1" s="937" t="s">
        <v>69</v>
      </c>
    </row>
    <row r="2" spans="1:59" ht="15" customHeight="1" thickBot="1" x14ac:dyDescent="0.25"/>
    <row r="3" spans="1:59" ht="12.95" customHeight="1" x14ac:dyDescent="0.2">
      <c r="A3" s="77" t="s">
        <v>49</v>
      </c>
      <c r="B3" s="78"/>
      <c r="C3" s="79" t="s">
        <v>85</v>
      </c>
      <c r="D3" s="79"/>
      <c r="E3" s="80"/>
      <c r="F3" s="80"/>
      <c r="G3" s="79"/>
      <c r="H3" s="81" t="s">
        <v>86</v>
      </c>
      <c r="I3" s="82"/>
    </row>
    <row r="4" spans="1:59" ht="17.45" customHeight="1" x14ac:dyDescent="0.2">
      <c r="A4" s="54"/>
      <c r="B4" s="83"/>
      <c r="C4" s="1247" t="str">
        <f>'SO01 Krycí list'!C4:G4</f>
        <v>Rekonstrukce oddělení ortopedie</v>
      </c>
      <c r="D4" s="1248"/>
      <c r="E4" s="1248"/>
      <c r="F4" s="1248"/>
      <c r="G4" s="1249"/>
      <c r="H4" s="938" t="s">
        <v>621</v>
      </c>
      <c r="I4" s="84"/>
    </row>
    <row r="5" spans="1:59" ht="21" customHeight="1" x14ac:dyDescent="0.2">
      <c r="A5" s="85"/>
      <c r="B5" s="86"/>
      <c r="C5" s="1247" t="str">
        <f>'SO01 Krycí list'!C5:G5</f>
        <v>v pavilonu "B" nemocnice Šumperk</v>
      </c>
      <c r="D5" s="1248"/>
      <c r="E5" s="1248"/>
      <c r="F5" s="1248"/>
      <c r="G5" s="1249"/>
      <c r="H5" s="1141" t="s">
        <v>1049</v>
      </c>
      <c r="I5" s="1142"/>
    </row>
    <row r="6" spans="1:59" ht="12.95" customHeight="1" x14ac:dyDescent="0.2">
      <c r="A6" s="89" t="s">
        <v>50</v>
      </c>
      <c r="B6" s="90"/>
      <c r="C6" s="91" t="s">
        <v>87</v>
      </c>
      <c r="E6" s="91"/>
      <c r="F6" s="91"/>
      <c r="G6" s="91"/>
      <c r="H6" s="1143" t="s">
        <v>1051</v>
      </c>
      <c r="I6" s="1144"/>
    </row>
    <row r="7" spans="1:59" ht="18.75" customHeight="1" x14ac:dyDescent="0.2">
      <c r="A7" s="85"/>
      <c r="B7" s="86"/>
      <c r="C7" s="1208" t="str">
        <f>'SO01 Krycí list'!C7:G7</f>
        <v>SO 01 Vlastní objekt</v>
      </c>
      <c r="D7" s="1209"/>
      <c r="E7" s="1209"/>
      <c r="F7" s="1209"/>
      <c r="G7" s="1210"/>
      <c r="H7" s="1145" t="s">
        <v>1050</v>
      </c>
      <c r="I7" s="1146"/>
    </row>
    <row r="8" spans="1:59" ht="12.95" customHeight="1" x14ac:dyDescent="0.2">
      <c r="A8" s="89" t="s">
        <v>89</v>
      </c>
      <c r="B8" s="90"/>
      <c r="C8" s="91" t="s">
        <v>90</v>
      </c>
      <c r="E8" s="91"/>
      <c r="F8" s="91"/>
      <c r="G8" s="91"/>
      <c r="H8" s="92" t="s">
        <v>91</v>
      </c>
      <c r="I8" s="93"/>
    </row>
    <row r="9" spans="1:59" ht="17.25" customHeight="1" x14ac:dyDescent="0.2">
      <c r="A9" s="85"/>
      <c r="B9" s="86"/>
      <c r="C9" s="1208" t="s">
        <v>431</v>
      </c>
      <c r="D9" s="1209"/>
      <c r="E9" s="1209"/>
      <c r="F9" s="1209"/>
      <c r="G9" s="1210"/>
      <c r="H9" s="94" t="s">
        <v>93</v>
      </c>
      <c r="I9" s="88"/>
    </row>
    <row r="10" spans="1:59" x14ac:dyDescent="0.2">
      <c r="A10" s="651" t="s">
        <v>619</v>
      </c>
      <c r="B10" s="91"/>
      <c r="C10" s="1246" t="str">
        <f>'SO01 Krycí list'!C10:E10</f>
        <v>Město Šumperk</v>
      </c>
      <c r="D10" s="1246"/>
      <c r="E10" s="1246"/>
      <c r="F10" s="95"/>
      <c r="G10" s="96" t="s">
        <v>94</v>
      </c>
      <c r="H10" s="97"/>
      <c r="I10" s="98">
        <v>0</v>
      </c>
      <c r="J10" s="99"/>
      <c r="K10" s="99"/>
    </row>
    <row r="11" spans="1:59" x14ac:dyDescent="0.2">
      <c r="A11" s="89" t="s">
        <v>95</v>
      </c>
      <c r="B11" s="91"/>
      <c r="C11" s="1245" t="str">
        <f>'SO01 Krycí list'!C11:E11</f>
        <v>Nemocnice Šumperk a.s.</v>
      </c>
      <c r="D11" s="1245"/>
      <c r="E11" s="1245"/>
      <c r="F11" s="100"/>
      <c r="G11" s="92" t="s">
        <v>96</v>
      </c>
      <c r="H11" s="91"/>
      <c r="I11" s="101">
        <f>IF(PocetMJ=0,,ROUND((H41+H43)/PocetMJ,1))</f>
        <v>0</v>
      </c>
    </row>
    <row r="12" spans="1:59" x14ac:dyDescent="0.2">
      <c r="A12" s="102" t="s">
        <v>97</v>
      </c>
      <c r="B12" s="37"/>
      <c r="C12" s="1188"/>
      <c r="D12" s="1188"/>
      <c r="E12" s="1188"/>
      <c r="F12" s="37"/>
      <c r="G12" s="103" t="s">
        <v>98</v>
      </c>
      <c r="H12" s="37">
        <f>'SO01 Krycí list'!H12</f>
        <v>2016021</v>
      </c>
      <c r="I12" s="104"/>
    </row>
    <row r="13" spans="1:59" x14ac:dyDescent="0.2">
      <c r="A13" s="54" t="s">
        <v>99</v>
      </c>
      <c r="B13" s="29"/>
      <c r="C13" s="29"/>
      <c r="D13" s="1189"/>
      <c r="E13" s="1189"/>
      <c r="F13" s="29"/>
      <c r="G13" s="105" t="s">
        <v>100</v>
      </c>
      <c r="H13" s="1189"/>
      <c r="I13" s="1228"/>
      <c r="BC13" s="46"/>
      <c r="BD13" s="46"/>
      <c r="BE13" s="46"/>
      <c r="BF13" s="46"/>
      <c r="BG13" s="46"/>
    </row>
    <row r="14" spans="1:59" x14ac:dyDescent="0.2">
      <c r="A14" s="54"/>
      <c r="B14" s="1192" t="s">
        <v>101</v>
      </c>
      <c r="C14" s="1192"/>
      <c r="D14" s="1192"/>
      <c r="E14" s="1192"/>
      <c r="F14" s="29"/>
      <c r="G14" s="1232"/>
      <c r="H14" s="1233"/>
      <c r="I14" s="1234"/>
    </row>
    <row r="15" spans="1:59" ht="30" customHeight="1" thickBot="1" x14ac:dyDescent="0.25">
      <c r="A15" s="106" t="s">
        <v>102</v>
      </c>
      <c r="B15" s="107"/>
      <c r="C15" s="107"/>
      <c r="D15" s="107"/>
      <c r="E15" s="107"/>
      <c r="F15" s="107"/>
      <c r="G15" s="108"/>
      <c r="H15" s="108"/>
      <c r="I15" s="109"/>
    </row>
    <row r="16" spans="1:59" ht="17.25" customHeight="1" thickBot="1" x14ac:dyDescent="0.25">
      <c r="A16" s="1196" t="s">
        <v>103</v>
      </c>
      <c r="B16" s="1197"/>
      <c r="C16" s="1197"/>
      <c r="D16" s="1197"/>
      <c r="E16" s="1198"/>
      <c r="F16" s="1196" t="s">
        <v>104</v>
      </c>
      <c r="G16" s="1197"/>
      <c r="H16" s="1197"/>
      <c r="I16" s="1198"/>
    </row>
    <row r="17" spans="1:13" ht="15.95" customHeight="1" x14ac:dyDescent="0.2">
      <c r="A17" s="110"/>
      <c r="B17" s="111" t="s">
        <v>105</v>
      </c>
      <c r="C17" s="111"/>
      <c r="D17" s="112" t="str">
        <f>'08rek'!E17</f>
        <v>--------------</v>
      </c>
      <c r="E17" s="113" t="str">
        <f>IF(D17&gt;0,"Kč","")</f>
        <v>Kč</v>
      </c>
      <c r="F17" s="114"/>
      <c r="G17" s="115" t="s">
        <v>106</v>
      </c>
      <c r="H17" s="116"/>
      <c r="I17" s="117"/>
    </row>
    <row r="18" spans="1:13" ht="15.95" customHeight="1" x14ac:dyDescent="0.2">
      <c r="A18" s="110" t="s">
        <v>107</v>
      </c>
      <c r="B18" s="111" t="s">
        <v>108</v>
      </c>
      <c r="C18" s="111"/>
      <c r="D18" s="118" t="str">
        <f>'08rek'!F17</f>
        <v>--------------</v>
      </c>
      <c r="E18" s="104" t="str">
        <f t="shared" ref="E18:E25" si="0">IF(D18&gt;0,"Kč","")</f>
        <v>Kč</v>
      </c>
      <c r="F18" s="119" t="s">
        <v>109</v>
      </c>
      <c r="G18" s="120"/>
      <c r="H18" s="292"/>
      <c r="I18" s="104" t="str">
        <f t="shared" ref="I18:I33" si="1">IF(H18&gt;0,"Kč","")</f>
        <v/>
      </c>
    </row>
    <row r="19" spans="1:13" ht="15.95" customHeight="1" x14ac:dyDescent="0.2">
      <c r="A19" s="110" t="s">
        <v>110</v>
      </c>
      <c r="B19" s="111" t="s">
        <v>111</v>
      </c>
      <c r="C19" s="111"/>
      <c r="D19" s="271" t="str">
        <f>'08rek'!G17</f>
        <v>--------------</v>
      </c>
      <c r="E19" s="104" t="str">
        <f t="shared" si="0"/>
        <v>Kč</v>
      </c>
      <c r="F19" s="119" t="s">
        <v>112</v>
      </c>
      <c r="G19" s="120"/>
      <c r="H19" s="292"/>
      <c r="I19" s="104" t="str">
        <f t="shared" si="1"/>
        <v/>
      </c>
    </row>
    <row r="20" spans="1:13" ht="15.95" customHeight="1" x14ac:dyDescent="0.2">
      <c r="A20" s="121" t="s">
        <v>113</v>
      </c>
      <c r="B20" s="111" t="s">
        <v>114</v>
      </c>
      <c r="C20" s="111"/>
      <c r="D20" s="271" t="str">
        <f>'08rek'!H17</f>
        <v>--------------</v>
      </c>
      <c r="E20" s="104" t="str">
        <f t="shared" si="0"/>
        <v>Kč</v>
      </c>
      <c r="F20" s="119" t="s">
        <v>115</v>
      </c>
      <c r="G20" s="120"/>
      <c r="H20" s="292"/>
      <c r="I20" s="104" t="str">
        <f t="shared" si="1"/>
        <v/>
      </c>
    </row>
    <row r="21" spans="1:13" ht="15.95" customHeight="1" x14ac:dyDescent="0.25">
      <c r="A21" s="122" t="s">
        <v>116</v>
      </c>
      <c r="B21" s="111"/>
      <c r="C21" s="111"/>
      <c r="D21" s="118">
        <f>SUM(D17:D20)</f>
        <v>0</v>
      </c>
      <c r="E21" s="123" t="str">
        <f t="shared" si="0"/>
        <v/>
      </c>
      <c r="F21" s="119"/>
      <c r="G21" s="124" t="s">
        <v>117</v>
      </c>
      <c r="H21" s="293"/>
      <c r="I21" s="123" t="str">
        <f t="shared" si="1"/>
        <v/>
      </c>
    </row>
    <row r="22" spans="1:13" ht="15.95" customHeight="1" x14ac:dyDescent="0.2">
      <c r="A22" s="122"/>
      <c r="B22" s="111"/>
      <c r="C22" s="111"/>
      <c r="D22" s="118"/>
      <c r="E22" s="104" t="str">
        <f t="shared" si="0"/>
        <v/>
      </c>
      <c r="F22" s="119"/>
      <c r="G22" s="120" t="s">
        <v>118</v>
      </c>
      <c r="H22" s="292"/>
      <c r="I22" s="104" t="str">
        <f t="shared" si="1"/>
        <v/>
      </c>
    </row>
    <row r="23" spans="1:13" ht="15.95" customHeight="1" x14ac:dyDescent="0.2">
      <c r="A23" s="122" t="s">
        <v>61</v>
      </c>
      <c r="B23" s="111"/>
      <c r="C23" s="111"/>
      <c r="D23" s="271" t="str">
        <f>'08rek'!I17</f>
        <v>--------------</v>
      </c>
      <c r="E23" s="104" t="str">
        <f t="shared" si="0"/>
        <v>Kč</v>
      </c>
      <c r="F23" s="119" t="s">
        <v>119</v>
      </c>
      <c r="G23" s="125"/>
      <c r="H23" s="292"/>
      <c r="I23" s="104" t="str">
        <f t="shared" si="1"/>
        <v/>
      </c>
    </row>
    <row r="24" spans="1:13" ht="15.95" customHeight="1" x14ac:dyDescent="0.2">
      <c r="A24" s="54"/>
      <c r="B24" s="29"/>
      <c r="C24" s="29"/>
      <c r="D24" s="118"/>
      <c r="E24" s="104" t="str">
        <f t="shared" si="0"/>
        <v/>
      </c>
      <c r="F24" s="119" t="s">
        <v>120</v>
      </c>
      <c r="G24" s="120"/>
      <c r="H24" s="292"/>
      <c r="I24" s="104" t="str">
        <f t="shared" si="1"/>
        <v/>
      </c>
    </row>
    <row r="25" spans="1:13" ht="15.95" customHeight="1" thickBot="1" x14ac:dyDescent="0.3">
      <c r="A25" s="126" t="s">
        <v>121</v>
      </c>
      <c r="B25" s="127"/>
      <c r="C25" s="127"/>
      <c r="D25" s="128">
        <f>SUM(D21:D24)</f>
        <v>0</v>
      </c>
      <c r="E25" s="129" t="str">
        <f t="shared" si="0"/>
        <v/>
      </c>
      <c r="F25" s="119" t="s">
        <v>122</v>
      </c>
      <c r="G25" s="125"/>
      <c r="H25" s="292"/>
      <c r="I25" s="104" t="str">
        <f t="shared" si="1"/>
        <v/>
      </c>
    </row>
    <row r="26" spans="1:13" x14ac:dyDescent="0.2">
      <c r="A26" s="130" t="s">
        <v>123</v>
      </c>
      <c r="B26" s="131"/>
      <c r="C26" s="1181" t="s">
        <v>101</v>
      </c>
      <c r="D26" s="1182"/>
      <c r="E26" s="1183"/>
      <c r="F26" s="119" t="s">
        <v>124</v>
      </c>
      <c r="G26" s="125"/>
      <c r="H26" s="292"/>
      <c r="I26" s="104" t="str">
        <f t="shared" si="1"/>
        <v/>
      </c>
    </row>
    <row r="27" spans="1:13" x14ac:dyDescent="0.2">
      <c r="A27" s="132" t="s">
        <v>125</v>
      </c>
      <c r="B27" s="133"/>
      <c r="C27" s="1243" t="s">
        <v>460</v>
      </c>
      <c r="D27" s="1158"/>
      <c r="E27" s="1159"/>
      <c r="F27" s="119" t="s">
        <v>126</v>
      </c>
      <c r="G27" s="125"/>
      <c r="H27" s="292"/>
      <c r="I27" s="104" t="str">
        <f t="shared" si="1"/>
        <v/>
      </c>
    </row>
    <row r="28" spans="1:13" ht="15.75" thickBot="1" x14ac:dyDescent="0.3">
      <c r="A28" s="132" t="s">
        <v>127</v>
      </c>
      <c r="B28" s="134"/>
      <c r="C28" s="1220">
        <f>'SO01 Krycí list'!C28:D28</f>
        <v>42635</v>
      </c>
      <c r="D28" s="1221"/>
      <c r="E28" s="135"/>
      <c r="F28" s="119"/>
      <c r="G28" s="136" t="s">
        <v>128</v>
      </c>
      <c r="H28" s="294"/>
      <c r="I28" s="129" t="str">
        <f t="shared" si="1"/>
        <v/>
      </c>
      <c r="M28" s="137"/>
    </row>
    <row r="29" spans="1:13" ht="30" customHeight="1" thickBot="1" x14ac:dyDescent="0.3">
      <c r="A29" s="138" t="s">
        <v>129</v>
      </c>
      <c r="B29" s="139"/>
      <c r="C29" s="1163"/>
      <c r="D29" s="1164"/>
      <c r="E29" s="1165"/>
      <c r="F29" s="1211" t="s">
        <v>130</v>
      </c>
      <c r="G29" s="1212"/>
      <c r="H29" s="295"/>
      <c r="I29" s="129" t="str">
        <f t="shared" si="1"/>
        <v/>
      </c>
    </row>
    <row r="30" spans="1:13" x14ac:dyDescent="0.2">
      <c r="A30" s="130" t="s">
        <v>131</v>
      </c>
      <c r="B30" s="131"/>
      <c r="C30" s="1178"/>
      <c r="D30" s="1179"/>
      <c r="E30" s="1180"/>
      <c r="F30" s="92" t="s">
        <v>121</v>
      </c>
      <c r="G30" s="32"/>
      <c r="H30" s="296">
        <f>D25</f>
        <v>0</v>
      </c>
      <c r="I30" s="113" t="str">
        <f>IF(H30&gt;0,"Kč","")</f>
        <v/>
      </c>
    </row>
    <row r="31" spans="1:13" x14ac:dyDescent="0.2">
      <c r="A31" s="132" t="s">
        <v>125</v>
      </c>
      <c r="B31" s="133"/>
      <c r="C31" s="1157"/>
      <c r="D31" s="1158"/>
      <c r="E31" s="1159"/>
      <c r="F31" s="102" t="s">
        <v>132</v>
      </c>
      <c r="G31" s="37"/>
      <c r="H31" s="297"/>
      <c r="I31" s="104" t="str">
        <f t="shared" si="1"/>
        <v/>
      </c>
    </row>
    <row r="32" spans="1:13" ht="13.5" thickBot="1" x14ac:dyDescent="0.25">
      <c r="A32" s="132" t="s">
        <v>127</v>
      </c>
      <c r="B32" s="134"/>
      <c r="C32" s="1160"/>
      <c r="D32" s="1161"/>
      <c r="E32" s="1162"/>
      <c r="F32" s="138"/>
      <c r="G32" s="140"/>
      <c r="H32" s="298"/>
      <c r="I32" s="141"/>
    </row>
    <row r="33" spans="1:9" ht="30" customHeight="1" thickBot="1" x14ac:dyDescent="0.3">
      <c r="A33" s="142" t="s">
        <v>129</v>
      </c>
      <c r="B33" s="143"/>
      <c r="C33" s="1163"/>
      <c r="D33" s="1164"/>
      <c r="E33" s="1165"/>
      <c r="F33" s="144" t="s">
        <v>133</v>
      </c>
      <c r="G33" s="145"/>
      <c r="H33" s="299">
        <f>SUM(H30:H32)</f>
        <v>0</v>
      </c>
      <c r="I33" s="146" t="str">
        <f t="shared" si="1"/>
        <v/>
      </c>
    </row>
    <row r="34" spans="1:9" x14ac:dyDescent="0.2">
      <c r="A34" s="130" t="s">
        <v>134</v>
      </c>
      <c r="B34" s="131"/>
      <c r="C34" s="1178"/>
      <c r="D34" s="1179"/>
      <c r="E34" s="1180"/>
      <c r="F34" s="114">
        <v>0</v>
      </c>
      <c r="G34" s="32" t="s">
        <v>135</v>
      </c>
      <c r="H34" s="296"/>
      <c r="I34" s="113"/>
    </row>
    <row r="35" spans="1:9" x14ac:dyDescent="0.2">
      <c r="A35" s="132" t="s">
        <v>125</v>
      </c>
      <c r="B35" s="133"/>
      <c r="C35" s="1157"/>
      <c r="D35" s="1158"/>
      <c r="E35" s="1159"/>
      <c r="F35" s="102">
        <v>15</v>
      </c>
      <c r="G35" s="37" t="s">
        <v>135</v>
      </c>
      <c r="H35" s="297"/>
      <c r="I35" s="104"/>
    </row>
    <row r="36" spans="1:9" ht="13.5" thickBot="1" x14ac:dyDescent="0.25">
      <c r="A36" s="132" t="s">
        <v>127</v>
      </c>
      <c r="B36" s="134"/>
      <c r="C36" s="1160"/>
      <c r="D36" s="1161"/>
      <c r="E36" s="1162"/>
      <c r="F36" s="138">
        <v>21</v>
      </c>
      <c r="G36" s="140" t="s">
        <v>135</v>
      </c>
      <c r="H36" s="298">
        <f>ROUND(H33*F36/100,0)</f>
        <v>0</v>
      </c>
      <c r="I36" s="141" t="str">
        <f>IF(H36&gt;0,"Kč","")</f>
        <v/>
      </c>
    </row>
    <row r="37" spans="1:9" ht="30" customHeight="1" thickBot="1" x14ac:dyDescent="0.3">
      <c r="A37" s="142" t="s">
        <v>129</v>
      </c>
      <c r="B37" s="143"/>
      <c r="C37" s="1163"/>
      <c r="D37" s="1164"/>
      <c r="E37" s="1165"/>
      <c r="F37" s="144" t="s">
        <v>136</v>
      </c>
      <c r="G37" s="145"/>
      <c r="H37" s="299">
        <f>H33+H36</f>
        <v>0</v>
      </c>
      <c r="I37" s="146" t="str">
        <f>IF(H37&gt;0,"Kč","")</f>
        <v/>
      </c>
    </row>
    <row r="38" spans="1:9" x14ac:dyDescent="0.2">
      <c r="A38" s="54" t="s">
        <v>137</v>
      </c>
      <c r="B38" s="29"/>
      <c r="C38" s="29"/>
      <c r="D38" s="29"/>
      <c r="E38" s="29"/>
      <c r="F38" s="91"/>
      <c r="G38" s="91"/>
      <c r="H38" s="91"/>
      <c r="I38" s="93"/>
    </row>
    <row r="39" spans="1:9" x14ac:dyDescent="0.2">
      <c r="A39" s="54"/>
      <c r="B39" s="1235" t="s">
        <v>319</v>
      </c>
      <c r="C39" s="1235"/>
      <c r="D39" s="1235"/>
      <c r="E39" s="1235"/>
      <c r="F39" s="1235"/>
      <c r="G39" s="1235"/>
      <c r="H39" s="1235"/>
      <c r="I39" s="84"/>
    </row>
    <row r="40" spans="1:9" x14ac:dyDescent="0.2">
      <c r="A40" s="54"/>
      <c r="B40" s="1235"/>
      <c r="C40" s="1235"/>
      <c r="D40" s="1235"/>
      <c r="E40" s="1235"/>
      <c r="F40" s="1235"/>
      <c r="G40" s="1235"/>
      <c r="H40" s="1235"/>
      <c r="I40" s="84"/>
    </row>
    <row r="41" spans="1:9" x14ac:dyDescent="0.2">
      <c r="A41" s="54"/>
      <c r="B41" s="1235"/>
      <c r="C41" s="1235"/>
      <c r="D41" s="1235"/>
      <c r="E41" s="1235"/>
      <c r="F41" s="1235"/>
      <c r="G41" s="1235"/>
      <c r="H41" s="1235"/>
      <c r="I41" s="84"/>
    </row>
    <row r="42" spans="1:9" x14ac:dyDescent="0.2">
      <c r="A42" s="54"/>
      <c r="B42" s="1235"/>
      <c r="C42" s="1235"/>
      <c r="D42" s="1235"/>
      <c r="E42" s="1235"/>
      <c r="F42" s="1235"/>
      <c r="G42" s="1235"/>
      <c r="H42" s="1235"/>
      <c r="I42" s="84"/>
    </row>
    <row r="43" spans="1:9" ht="45.75" customHeight="1" x14ac:dyDescent="0.2">
      <c r="A43" s="54"/>
      <c r="B43" s="1235"/>
      <c r="C43" s="1235"/>
      <c r="D43" s="1235"/>
      <c r="E43" s="1235"/>
      <c r="F43" s="1235"/>
      <c r="G43" s="1235"/>
      <c r="H43" s="1235"/>
      <c r="I43" s="84"/>
    </row>
    <row r="44" spans="1:9" ht="8.25" customHeight="1" thickBot="1" x14ac:dyDescent="0.25">
      <c r="A44" s="147"/>
      <c r="B44" s="148"/>
      <c r="C44" s="148"/>
      <c r="D44" s="148"/>
      <c r="E44" s="148"/>
      <c r="F44" s="148"/>
      <c r="G44" s="148"/>
      <c r="H44" s="148"/>
      <c r="I44" s="149"/>
    </row>
    <row r="47" spans="1:9" x14ac:dyDescent="0.2">
      <c r="B47" s="332"/>
    </row>
    <row r="48" spans="1:9" x14ac:dyDescent="0.2">
      <c r="B48" s="332"/>
    </row>
    <row r="49" spans="2:2" x14ac:dyDescent="0.2">
      <c r="B49" s="333"/>
    </row>
    <row r="50" spans="2:2" x14ac:dyDescent="0.2">
      <c r="B50" s="332"/>
    </row>
  </sheetData>
  <customSheetViews>
    <customSheetView guid="{30B10D60-758F-4E0B-9F03-5879C6CAFDF6}" scale="145" showPageBreaks="1" view="pageBreakPreview" topLeftCell="B2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mergeCells count="30">
    <mergeCell ref="C37:E37"/>
    <mergeCell ref="B39:H43"/>
    <mergeCell ref="C31:E31"/>
    <mergeCell ref="C32:E32"/>
    <mergeCell ref="C33:E33"/>
    <mergeCell ref="C34:E34"/>
    <mergeCell ref="C35:E35"/>
    <mergeCell ref="C36:E36"/>
    <mergeCell ref="H13:I13"/>
    <mergeCell ref="B14:E14"/>
    <mergeCell ref="G14:I14"/>
    <mergeCell ref="A16:E16"/>
    <mergeCell ref="F16:I16"/>
    <mergeCell ref="C4:G4"/>
    <mergeCell ref="C5:G5"/>
    <mergeCell ref="C7:G7"/>
    <mergeCell ref="C9:G9"/>
    <mergeCell ref="C30:E30"/>
    <mergeCell ref="F29:G29"/>
    <mergeCell ref="C12:E12"/>
    <mergeCell ref="D13:E13"/>
    <mergeCell ref="C27:E27"/>
    <mergeCell ref="C28:D28"/>
    <mergeCell ref="C26:E26"/>
    <mergeCell ref="C29:E29"/>
    <mergeCell ref="H5:I5"/>
    <mergeCell ref="H6:I6"/>
    <mergeCell ref="H7:I7"/>
    <mergeCell ref="C11:E11"/>
    <mergeCell ref="C10:E10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  <drawing r:id="rId3"/>
  <legacyDrawing r:id="rId4"/>
  <oleObjects>
    <mc:AlternateContent xmlns:mc="http://schemas.openxmlformats.org/markup-compatibility/2006">
      <mc:Choice Requires="x14">
        <oleObject progId="Word.Picture.6" shapeId="69633" r:id="rId5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69633" r:id="rId5"/>
      </mc:Fallback>
    </mc:AlternateContent>
    <mc:AlternateContent xmlns:mc="http://schemas.openxmlformats.org/markup-compatibility/2006">
      <mc:Choice Requires="x14">
        <oleObject progId="Word.Picture.6" shapeId="69634" r:id="rId7">
          <objectPr defaultSize="0" autoPict="0" r:id="rId6">
            <anchor moveWithCells="1">
              <from>
                <xdr:col>0</xdr:col>
                <xdr:colOff>28575</xdr:colOff>
                <xdr:row>0</xdr:row>
                <xdr:rowOff>76200</xdr:rowOff>
              </from>
              <to>
                <xdr:col>2</xdr:col>
                <xdr:colOff>114300</xdr:colOff>
                <xdr:row>1</xdr:row>
                <xdr:rowOff>66675</xdr:rowOff>
              </to>
            </anchor>
          </objectPr>
        </oleObject>
      </mc:Choice>
      <mc:Fallback>
        <oleObject progId="Word.Picture.6" shapeId="69634" r:id="rId7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C26"/>
  <sheetViews>
    <sheetView view="pageBreakPreview" zoomScale="160" zoomScaleNormal="100" zoomScaleSheetLayoutView="160" workbookViewId="0"/>
  </sheetViews>
  <sheetFormatPr defaultRowHeight="12.75" x14ac:dyDescent="0.2"/>
  <cols>
    <col min="1" max="1" width="4.7109375" customWidth="1"/>
    <col min="2" max="2" width="6.140625" customWidth="1"/>
    <col min="3" max="3" width="11.42578125" customWidth="1"/>
    <col min="4" max="4" width="6.5703125" customWidth="1"/>
    <col min="5" max="9" width="11.7109375" customWidth="1"/>
    <col min="11" max="50" width="0" hidden="1" customWidth="1"/>
  </cols>
  <sheetData>
    <row r="1" spans="1:55" s="11" customFormat="1" ht="16.5" customHeight="1" thickTop="1" x14ac:dyDescent="0.25">
      <c r="A1" s="367" t="s">
        <v>49</v>
      </c>
      <c r="B1" s="368"/>
      <c r="C1" s="390" t="str">
        <f>'SO01 Krycí list'!C4:G4</f>
        <v>Rekonstrukce oddělení ortopedie</v>
      </c>
      <c r="D1" s="391"/>
      <c r="E1" s="391"/>
      <c r="F1" s="391"/>
      <c r="G1" s="391"/>
      <c r="H1" s="391"/>
      <c r="I1" s="392"/>
    </row>
    <row r="2" spans="1:55" s="11" customFormat="1" ht="16.5" customHeight="1" x14ac:dyDescent="0.25">
      <c r="A2" s="334"/>
      <c r="B2" s="335"/>
      <c r="C2" s="393" t="str">
        <f>'SO01 Krycí list'!C5:G5</f>
        <v>v pavilonu "B" nemocnice Šumperk</v>
      </c>
      <c r="D2" s="394"/>
      <c r="E2" s="394"/>
      <c r="F2" s="394"/>
      <c r="G2" s="394"/>
      <c r="H2" s="394"/>
      <c r="I2" s="395"/>
    </row>
    <row r="3" spans="1:55" ht="12.75" customHeight="1" x14ac:dyDescent="0.2">
      <c r="A3" s="275" t="s">
        <v>50</v>
      </c>
      <c r="B3" s="276"/>
      <c r="C3" s="282" t="str">
        <f>'SO01 Krycí list'!C7:G7</f>
        <v>SO 01 Vlastní objekt</v>
      </c>
      <c r="D3" s="280"/>
      <c r="E3" s="280"/>
      <c r="F3" s="280"/>
      <c r="G3" s="281"/>
      <c r="H3" s="12" t="s">
        <v>52</v>
      </c>
      <c r="I3" s="13">
        <f>'SO01 Krycí list'!H12</f>
        <v>2016021</v>
      </c>
    </row>
    <row r="4" spans="1:55" ht="13.5" customHeight="1" thickBot="1" x14ac:dyDescent="0.25">
      <c r="A4" s="277" t="s">
        <v>53</v>
      </c>
      <c r="B4" s="278"/>
      <c r="C4" s="285" t="str">
        <f>'08 slaboproud'!C9:G9</f>
        <v>Slaboproudé zařízení</v>
      </c>
      <c r="D4" s="283"/>
      <c r="E4" s="283"/>
      <c r="F4" s="283"/>
      <c r="G4" s="284"/>
      <c r="H4" s="14" t="s">
        <v>54</v>
      </c>
      <c r="I4" s="15">
        <f>'SO01 Krycí list'!C28</f>
        <v>42635</v>
      </c>
    </row>
    <row r="5" spans="1:55" ht="13.5" thickTop="1" x14ac:dyDescent="0.2">
      <c r="A5" s="16"/>
      <c r="B5" s="16"/>
      <c r="C5" s="17"/>
      <c r="D5" s="17"/>
      <c r="E5" s="17"/>
      <c r="F5" s="17"/>
      <c r="G5" s="17"/>
      <c r="H5" s="18"/>
      <c r="I5" s="18"/>
    </row>
    <row r="6" spans="1:55" ht="18" x14ac:dyDescent="0.25">
      <c r="A6" s="19" t="s">
        <v>55</v>
      </c>
      <c r="B6" s="20"/>
      <c r="C6" s="20"/>
      <c r="D6" s="20"/>
      <c r="E6" s="21"/>
      <c r="F6" s="20"/>
      <c r="G6" s="20"/>
      <c r="H6" s="20"/>
      <c r="I6" s="20"/>
      <c r="BC6" s="22"/>
    </row>
    <row r="7" spans="1:55" ht="13.5" thickBot="1" x14ac:dyDescent="0.25">
      <c r="BC7" s="22"/>
    </row>
    <row r="8" spans="1:55" s="29" customFormat="1" ht="13.5" thickBot="1" x14ac:dyDescent="0.25">
      <c r="A8" s="23"/>
      <c r="B8" s="24" t="s">
        <v>56</v>
      </c>
      <c r="C8" s="24"/>
      <c r="D8" s="25"/>
      <c r="E8" s="26" t="s">
        <v>57</v>
      </c>
      <c r="F8" s="27" t="s">
        <v>58</v>
      </c>
      <c r="G8" s="27" t="s">
        <v>59</v>
      </c>
      <c r="H8" s="27" t="s">
        <v>60</v>
      </c>
      <c r="I8" s="28" t="s">
        <v>61</v>
      </c>
      <c r="BC8" s="30"/>
    </row>
    <row r="9" spans="1:55" s="268" customFormat="1" ht="13.5" thickBot="1" x14ac:dyDescent="0.25">
      <c r="A9" s="369" t="s">
        <v>41</v>
      </c>
      <c r="B9" s="31" t="s">
        <v>938</v>
      </c>
      <c r="C9" s="267"/>
      <c r="D9" s="263"/>
      <c r="E9" s="34" t="s">
        <v>63</v>
      </c>
      <c r="F9" s="33" t="s">
        <v>63</v>
      </c>
      <c r="G9" s="35">
        <f>'08pol'!G32</f>
        <v>0</v>
      </c>
      <c r="H9" s="35" t="s">
        <v>63</v>
      </c>
      <c r="I9" s="35" t="s">
        <v>63</v>
      </c>
      <c r="BC9" s="269"/>
    </row>
    <row r="10" spans="1:55" s="268" customFormat="1" x14ac:dyDescent="0.2">
      <c r="A10" s="369" t="s">
        <v>42</v>
      </c>
      <c r="B10" s="36" t="s">
        <v>989</v>
      </c>
      <c r="C10" s="270"/>
      <c r="D10" s="264"/>
      <c r="E10" s="34" t="s">
        <v>63</v>
      </c>
      <c r="F10" s="34" t="s">
        <v>63</v>
      </c>
      <c r="G10" s="34" t="s">
        <v>63</v>
      </c>
      <c r="H10" s="34">
        <f>'08pol'!G50</f>
        <v>0</v>
      </c>
      <c r="I10" s="38" t="s">
        <v>63</v>
      </c>
    </row>
    <row r="11" spans="1:55" s="268" customFormat="1" x14ac:dyDescent="0.2">
      <c r="A11" s="370" t="s">
        <v>971</v>
      </c>
      <c r="B11" s="36" t="s">
        <v>972</v>
      </c>
      <c r="C11" s="270"/>
      <c r="D11" s="264"/>
      <c r="E11" s="34" t="s">
        <v>63</v>
      </c>
      <c r="F11" s="34" t="s">
        <v>63</v>
      </c>
      <c r="G11" s="34" t="s">
        <v>63</v>
      </c>
      <c r="H11" s="34">
        <f>'08pol'!G93</f>
        <v>0</v>
      </c>
      <c r="I11" s="38" t="s">
        <v>63</v>
      </c>
      <c r="BC11" s="269"/>
    </row>
    <row r="12" spans="1:55" s="268" customFormat="1" x14ac:dyDescent="0.2">
      <c r="A12" s="370" t="s">
        <v>986</v>
      </c>
      <c r="B12" s="36" t="s">
        <v>990</v>
      </c>
      <c r="C12" s="270"/>
      <c r="D12" s="264"/>
      <c r="E12" s="34" t="s">
        <v>63</v>
      </c>
      <c r="F12" s="34" t="s">
        <v>63</v>
      </c>
      <c r="G12" s="34">
        <f>'08pol'!G99</f>
        <v>0</v>
      </c>
      <c r="H12" s="34" t="s">
        <v>63</v>
      </c>
      <c r="I12" s="38" t="s">
        <v>63</v>
      </c>
    </row>
    <row r="13" spans="1:55" s="29" customFormat="1" x14ac:dyDescent="0.2">
      <c r="A13" s="370" t="s">
        <v>987</v>
      </c>
      <c r="B13" s="503" t="s">
        <v>991</v>
      </c>
      <c r="C13" s="454"/>
      <c r="D13" s="455"/>
      <c r="E13" s="371" t="s">
        <v>63</v>
      </c>
      <c r="F13" s="34" t="s">
        <v>63</v>
      </c>
      <c r="G13" s="34" t="s">
        <v>63</v>
      </c>
      <c r="H13" s="34">
        <f>'08pol'!G114</f>
        <v>0</v>
      </c>
      <c r="I13" s="38" t="s">
        <v>63</v>
      </c>
    </row>
    <row r="14" spans="1:55" s="29" customFormat="1" x14ac:dyDescent="0.2">
      <c r="A14" s="501" t="s">
        <v>988</v>
      </c>
      <c r="B14" s="503" t="s">
        <v>985</v>
      </c>
      <c r="C14" s="454"/>
      <c r="D14" s="455"/>
      <c r="E14" s="371" t="s">
        <v>63</v>
      </c>
      <c r="F14" s="34" t="s">
        <v>63</v>
      </c>
      <c r="G14" s="34" t="s">
        <v>63</v>
      </c>
      <c r="H14" s="375">
        <f>'08pol'!G126</f>
        <v>0</v>
      </c>
      <c r="I14" s="38" t="s">
        <v>63</v>
      </c>
    </row>
    <row r="15" spans="1:55" s="29" customFormat="1" x14ac:dyDescent="0.2">
      <c r="A15" s="501"/>
      <c r="B15" s="503"/>
      <c r="C15" s="454"/>
      <c r="D15" s="455"/>
      <c r="E15" s="371" t="s">
        <v>63</v>
      </c>
      <c r="F15" s="34" t="s">
        <v>63</v>
      </c>
      <c r="G15" s="34" t="s">
        <v>63</v>
      </c>
      <c r="H15" s="375" t="str">
        <f>IF(D15=0,"--------------",ROUND(D15*B15/100,0))</f>
        <v>--------------</v>
      </c>
      <c r="I15" s="38" t="s">
        <v>63</v>
      </c>
    </row>
    <row r="16" spans="1:55" s="29" customFormat="1" ht="13.5" thickBot="1" x14ac:dyDescent="0.25">
      <c r="A16" s="502"/>
      <c r="B16" s="504"/>
      <c r="C16" s="456"/>
      <c r="D16" s="457"/>
      <c r="E16" s="376" t="s">
        <v>63</v>
      </c>
      <c r="F16" s="262" t="s">
        <v>63</v>
      </c>
      <c r="G16" s="262" t="s">
        <v>63</v>
      </c>
      <c r="H16" s="375" t="str">
        <f>IF(D16=0,"--------------",ROUND(D16*B16/100,0))</f>
        <v>--------------</v>
      </c>
      <c r="I16" s="377" t="s">
        <v>63</v>
      </c>
    </row>
    <row r="17" spans="1:9" s="44" customFormat="1" ht="13.5" thickBot="1" x14ac:dyDescent="0.25">
      <c r="A17" s="39"/>
      <c r="B17" s="40" t="s">
        <v>70</v>
      </c>
      <c r="C17" s="40"/>
      <c r="D17" s="41"/>
      <c r="E17" s="42" t="str">
        <f>IF(SUM(E9:E16)&gt;0,SUM(E9:E16),"--------------")</f>
        <v>--------------</v>
      </c>
      <c r="F17" s="42" t="str">
        <f>IF(SUM(F9:F16)&gt;0,SUM(F9:F16),"--------------")</f>
        <v>--------------</v>
      </c>
      <c r="G17" s="42" t="str">
        <f>IF(SUM(G9:G16)&gt;0,SUM(G9:G16),"--------------")</f>
        <v>--------------</v>
      </c>
      <c r="H17" s="42" t="str">
        <f>IF(SUM(H9:H16)&gt;0,SUM(H9:H16),"--------------")</f>
        <v>--------------</v>
      </c>
      <c r="I17" s="43" t="str">
        <f>IF(SUM(I9:I16)&gt;0,SUM(I9:I16),"--------------")</f>
        <v>--------------</v>
      </c>
    </row>
    <row r="18" spans="1:9" x14ac:dyDescent="0.2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2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2">
      <c r="F20" s="74"/>
      <c r="G20" s="75"/>
      <c r="H20" s="75"/>
      <c r="I20" s="76"/>
    </row>
    <row r="21" spans="1:9" x14ac:dyDescent="0.2">
      <c r="F21" s="74"/>
      <c r="G21" s="75"/>
      <c r="H21" s="75"/>
      <c r="I21" s="76"/>
    </row>
    <row r="22" spans="1:9" x14ac:dyDescent="0.2">
      <c r="F22" s="74"/>
      <c r="G22" s="75"/>
      <c r="H22" s="75"/>
      <c r="I22" s="76"/>
    </row>
    <row r="23" spans="1:9" x14ac:dyDescent="0.2">
      <c r="F23" s="74"/>
      <c r="G23" s="75"/>
      <c r="H23" s="75"/>
      <c r="I23" s="76"/>
    </row>
    <row r="24" spans="1:9" x14ac:dyDescent="0.2">
      <c r="F24" s="74"/>
      <c r="G24" s="75"/>
      <c r="H24" s="75"/>
      <c r="I24" s="76"/>
    </row>
    <row r="25" spans="1:9" x14ac:dyDescent="0.2">
      <c r="F25" s="74"/>
      <c r="G25" s="75"/>
      <c r="H25" s="75"/>
      <c r="I25" s="76"/>
    </row>
    <row r="26" spans="1:9" x14ac:dyDescent="0.2">
      <c r="F26" s="74"/>
      <c r="G26" s="75"/>
      <c r="H26" s="75"/>
      <c r="I26" s="76"/>
    </row>
  </sheetData>
  <customSheetViews>
    <customSheetView guid="{30B10D60-758F-4E0B-9F03-5879C6CAFDF6}" scale="160" showPageBreaks="1" hiddenColumns="1" view="pageBreakPreview">
      <selection activeCell="M16" sqref="M16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&amp;Rstránka &amp;P z &amp;N</oddFooter>
      </headerFooter>
    </customSheetView>
  </customSheetViews>
  <phoneticPr fontId="73" type="noConversion"/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&amp;Rstránka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I144"/>
  <sheetViews>
    <sheetView view="pageBreakPreview" zoomScale="130" zoomScaleNormal="100" zoomScaleSheetLayoutView="130" workbookViewId="0">
      <pane ySplit="7" topLeftCell="A8" activePane="bottomLeft" state="frozen"/>
      <selection activeCell="M16" sqref="M16"/>
      <selection pane="bottomLeft" activeCell="A8" sqref="A8"/>
    </sheetView>
  </sheetViews>
  <sheetFormatPr defaultColWidth="9.140625" defaultRowHeight="12.75" x14ac:dyDescent="0.2"/>
  <cols>
    <col min="1" max="1" width="4.42578125" style="498" customWidth="1"/>
    <col min="2" max="2" width="10.5703125" style="1" customWidth="1"/>
    <col min="3" max="3" width="49.7109375" style="1" customWidth="1"/>
    <col min="4" max="4" width="5.5703125" style="1" customWidth="1"/>
    <col min="5" max="5" width="10" style="10" customWidth="1"/>
    <col min="6" max="6" width="11.28515625" style="1" customWidth="1"/>
    <col min="7" max="7" width="16.140625" style="539" customWidth="1"/>
    <col min="8" max="8" width="10.85546875" style="1" customWidth="1"/>
    <col min="9" max="9" width="12.7109375" style="1" customWidth="1"/>
    <col min="10" max="16384" width="9.140625" style="1"/>
  </cols>
  <sheetData>
    <row r="1" spans="1:9" customFormat="1" ht="15.75" thickTop="1" x14ac:dyDescent="0.25">
      <c r="A1" s="495" t="s">
        <v>49</v>
      </c>
      <c r="B1" s="286"/>
      <c r="C1" s="279" t="str">
        <f>'SO01 Krycí list'!$C$4&amp;" "&amp;'SO01 Krycí list'!$C$5</f>
        <v>Rekonstrukce oddělení ortopedie v pavilonu "B" nemocnice Šumperk</v>
      </c>
      <c r="D1" s="289"/>
      <c r="E1" s="388"/>
      <c r="F1" s="388"/>
      <c r="G1" s="529"/>
      <c r="H1" s="388"/>
      <c r="I1" s="389"/>
    </row>
    <row r="2" spans="1:9" customFormat="1" x14ac:dyDescent="0.2">
      <c r="A2" s="496" t="s">
        <v>50</v>
      </c>
      <c r="B2" s="287"/>
      <c r="C2" s="282" t="str">
        <f>'SO01 Krycí list'!$C$7</f>
        <v>SO 01 Vlastní objekt</v>
      </c>
      <c r="D2" s="290"/>
      <c r="E2" s="287"/>
      <c r="F2" s="287"/>
      <c r="G2" s="530"/>
      <c r="H2" s="12" t="s">
        <v>52</v>
      </c>
      <c r="I2" s="769">
        <f>'SO01 Krycí list'!H12</f>
        <v>2016021</v>
      </c>
    </row>
    <row r="3" spans="1:9" customFormat="1" ht="13.5" thickBot="1" x14ac:dyDescent="0.25">
      <c r="A3" s="497" t="s">
        <v>53</v>
      </c>
      <c r="B3" s="288"/>
      <c r="C3" s="285" t="str">
        <f>'08rek'!C4</f>
        <v>Slaboproudé zařízení</v>
      </c>
      <c r="D3" s="291"/>
      <c r="E3" s="288"/>
      <c r="F3" s="288"/>
      <c r="G3" s="531"/>
      <c r="H3" s="14" t="s">
        <v>54</v>
      </c>
      <c r="I3" s="770">
        <f>'SO01 Krycí list'!C28</f>
        <v>42635</v>
      </c>
    </row>
    <row r="4" spans="1:9" ht="16.5" thickTop="1" x14ac:dyDescent="0.25">
      <c r="A4" s="1242" t="s">
        <v>48</v>
      </c>
      <c r="B4" s="1242"/>
      <c r="C4" s="1242"/>
      <c r="D4" s="1242"/>
      <c r="E4" s="1242"/>
      <c r="F4" s="1242"/>
      <c r="G4" s="1242"/>
      <c r="H4" s="1242"/>
      <c r="I4" s="1242"/>
    </row>
    <row r="5" spans="1:9" ht="6" customHeight="1" x14ac:dyDescent="0.2">
      <c r="B5" s="2"/>
      <c r="C5" s="3"/>
      <c r="D5" s="3"/>
      <c r="E5" s="4"/>
      <c r="F5" s="3"/>
      <c r="G5" s="532"/>
    </row>
    <row r="6" spans="1:9" ht="6" customHeight="1" thickBot="1" x14ac:dyDescent="0.25">
      <c r="A6" s="5"/>
      <c r="B6" s="6"/>
      <c r="C6" s="6"/>
      <c r="D6" s="7"/>
      <c r="E6" s="8"/>
      <c r="F6" s="7"/>
      <c r="G6" s="533"/>
      <c r="H6" s="7"/>
      <c r="I6" s="7"/>
    </row>
    <row r="7" spans="1:9" ht="15.75" thickBot="1" x14ac:dyDescent="0.3">
      <c r="A7" s="499" t="s">
        <v>292</v>
      </c>
      <c r="B7" s="475" t="s">
        <v>293</v>
      </c>
      <c r="C7" s="476" t="s">
        <v>294</v>
      </c>
      <c r="D7" s="476" t="s">
        <v>295</v>
      </c>
      <c r="E7" s="477" t="s">
        <v>51</v>
      </c>
      <c r="F7" s="477" t="s">
        <v>296</v>
      </c>
      <c r="G7" s="534" t="s">
        <v>297</v>
      </c>
      <c r="H7" s="478" t="s">
        <v>298</v>
      </c>
      <c r="I7" s="479" t="s">
        <v>299</v>
      </c>
    </row>
    <row r="8" spans="1:9" s="315" customFormat="1" ht="15" x14ac:dyDescent="0.25">
      <c r="A8" s="700"/>
      <c r="B8" s="701"/>
      <c r="C8" s="702"/>
      <c r="D8" s="703"/>
      <c r="E8" s="704"/>
      <c r="F8" s="705"/>
      <c r="G8" s="706"/>
      <c r="H8" s="707"/>
      <c r="I8" s="708"/>
    </row>
    <row r="9" spans="1:9" s="315" customFormat="1" ht="15" x14ac:dyDescent="0.25">
      <c r="A9" s="709"/>
      <c r="B9" s="710" t="s">
        <v>41</v>
      </c>
      <c r="C9" s="710" t="s">
        <v>938</v>
      </c>
      <c r="D9" s="711"/>
      <c r="E9" s="711"/>
      <c r="F9" s="712"/>
      <c r="G9" s="713"/>
      <c r="H9" s="714"/>
      <c r="I9" s="715"/>
    </row>
    <row r="10" spans="1:9" s="698" customFormat="1" ht="12.95" customHeight="1" x14ac:dyDescent="0.25">
      <c r="A10" s="716">
        <v>1</v>
      </c>
      <c r="B10" s="887">
        <v>110011</v>
      </c>
      <c r="C10" s="888" t="s">
        <v>939</v>
      </c>
      <c r="D10" s="718" t="s">
        <v>275</v>
      </c>
      <c r="E10" s="889">
        <v>1</v>
      </c>
      <c r="F10" s="890"/>
      <c r="G10" s="720">
        <f>E10*F10</f>
        <v>0</v>
      </c>
      <c r="H10" s="718"/>
      <c r="I10" s="721"/>
    </row>
    <row r="11" spans="1:9" s="698" customFormat="1" ht="12.95" customHeight="1" x14ac:dyDescent="0.25">
      <c r="A11" s="716">
        <v>2</v>
      </c>
      <c r="B11" s="887">
        <v>110030</v>
      </c>
      <c r="C11" s="888" t="s">
        <v>940</v>
      </c>
      <c r="D11" s="718" t="s">
        <v>275</v>
      </c>
      <c r="E11" s="891">
        <v>1</v>
      </c>
      <c r="F11" s="890"/>
      <c r="G11" s="720">
        <f t="shared" ref="G11:G30" si="0">E11*F11</f>
        <v>0</v>
      </c>
      <c r="H11" s="718"/>
      <c r="I11" s="721"/>
    </row>
    <row r="12" spans="1:9" s="698" customFormat="1" ht="12.95" customHeight="1" x14ac:dyDescent="0.25">
      <c r="A12" s="716">
        <v>3</v>
      </c>
      <c r="B12" s="887">
        <v>110040</v>
      </c>
      <c r="C12" s="888" t="s">
        <v>941</v>
      </c>
      <c r="D12" s="718" t="s">
        <v>275</v>
      </c>
      <c r="E12" s="891">
        <v>1</v>
      </c>
      <c r="F12" s="890"/>
      <c r="G12" s="720">
        <f t="shared" si="0"/>
        <v>0</v>
      </c>
      <c r="H12" s="718"/>
      <c r="I12" s="721"/>
    </row>
    <row r="13" spans="1:9" s="698" customFormat="1" ht="12.95" customHeight="1" x14ac:dyDescent="0.25">
      <c r="A13" s="716">
        <v>4</v>
      </c>
      <c r="B13" s="887">
        <v>120001</v>
      </c>
      <c r="C13" s="888" t="s">
        <v>942</v>
      </c>
      <c r="D13" s="718" t="s">
        <v>275</v>
      </c>
      <c r="E13" s="889">
        <v>45</v>
      </c>
      <c r="F13" s="890"/>
      <c r="G13" s="720">
        <f t="shared" si="0"/>
        <v>0</v>
      </c>
      <c r="H13" s="718"/>
      <c r="I13" s="721"/>
    </row>
    <row r="14" spans="1:9" s="698" customFormat="1" ht="12.95" customHeight="1" x14ac:dyDescent="0.25">
      <c r="A14" s="716">
        <v>5</v>
      </c>
      <c r="B14" s="887">
        <v>120002</v>
      </c>
      <c r="C14" s="888" t="s">
        <v>943</v>
      </c>
      <c r="D14" s="718" t="s">
        <v>275</v>
      </c>
      <c r="E14" s="889">
        <v>1</v>
      </c>
      <c r="F14" s="890"/>
      <c r="G14" s="720">
        <f t="shared" si="0"/>
        <v>0</v>
      </c>
      <c r="H14" s="718"/>
      <c r="I14" s="721"/>
    </row>
    <row r="15" spans="1:9" s="698" customFormat="1" ht="12.95" customHeight="1" x14ac:dyDescent="0.25">
      <c r="A15" s="716">
        <v>6</v>
      </c>
      <c r="B15" s="887">
        <v>110110</v>
      </c>
      <c r="C15" s="888" t="s">
        <v>944</v>
      </c>
      <c r="D15" s="718" t="s">
        <v>275</v>
      </c>
      <c r="E15" s="889">
        <v>29</v>
      </c>
      <c r="F15" s="890"/>
      <c r="G15" s="720">
        <f t="shared" si="0"/>
        <v>0</v>
      </c>
      <c r="H15" s="718"/>
      <c r="I15" s="721"/>
    </row>
    <row r="16" spans="1:9" s="698" customFormat="1" ht="12.95" customHeight="1" x14ac:dyDescent="0.25">
      <c r="A16" s="716">
        <v>7</v>
      </c>
      <c r="B16" s="887">
        <v>110130</v>
      </c>
      <c r="C16" s="888" t="s">
        <v>945</v>
      </c>
      <c r="D16" s="718" t="s">
        <v>275</v>
      </c>
      <c r="E16" s="889">
        <v>29</v>
      </c>
      <c r="F16" s="890"/>
      <c r="G16" s="720">
        <f t="shared" si="0"/>
        <v>0</v>
      </c>
      <c r="H16" s="718"/>
      <c r="I16" s="721"/>
    </row>
    <row r="17" spans="1:9" s="698" customFormat="1" ht="12.95" customHeight="1" x14ac:dyDescent="0.25">
      <c r="A17" s="716">
        <v>8</v>
      </c>
      <c r="B17" s="887">
        <v>110190</v>
      </c>
      <c r="C17" s="888" t="s">
        <v>946</v>
      </c>
      <c r="D17" s="718" t="s">
        <v>275</v>
      </c>
      <c r="E17" s="889">
        <v>29</v>
      </c>
      <c r="F17" s="890"/>
      <c r="G17" s="720">
        <f t="shared" si="0"/>
        <v>0</v>
      </c>
      <c r="H17" s="718"/>
      <c r="I17" s="721"/>
    </row>
    <row r="18" spans="1:9" s="698" customFormat="1" ht="12.95" customHeight="1" x14ac:dyDescent="0.25">
      <c r="A18" s="716">
        <v>9</v>
      </c>
      <c r="B18" s="887">
        <v>110210</v>
      </c>
      <c r="C18" s="888" t="s">
        <v>947</v>
      </c>
      <c r="D18" s="718" t="s">
        <v>275</v>
      </c>
      <c r="E18" s="889">
        <v>12</v>
      </c>
      <c r="F18" s="890"/>
      <c r="G18" s="720">
        <f t="shared" si="0"/>
        <v>0</v>
      </c>
      <c r="H18" s="718"/>
      <c r="I18" s="721"/>
    </row>
    <row r="19" spans="1:9" s="698" customFormat="1" ht="12.95" customHeight="1" x14ac:dyDescent="0.25">
      <c r="A19" s="716">
        <v>10</v>
      </c>
      <c r="B19" s="887">
        <v>110250</v>
      </c>
      <c r="C19" s="888" t="s">
        <v>948</v>
      </c>
      <c r="D19" s="718" t="s">
        <v>275</v>
      </c>
      <c r="E19" s="889">
        <v>1</v>
      </c>
      <c r="F19" s="890"/>
      <c r="G19" s="720">
        <f t="shared" si="0"/>
        <v>0</v>
      </c>
      <c r="H19" s="718"/>
      <c r="I19" s="721"/>
    </row>
    <row r="20" spans="1:9" s="698" customFormat="1" ht="12.95" customHeight="1" x14ac:dyDescent="0.25">
      <c r="A20" s="716">
        <v>11</v>
      </c>
      <c r="B20" s="887">
        <v>110280</v>
      </c>
      <c r="C20" s="888" t="s">
        <v>949</v>
      </c>
      <c r="D20" s="718" t="s">
        <v>275</v>
      </c>
      <c r="E20" s="889">
        <v>1</v>
      </c>
      <c r="F20" s="890"/>
      <c r="G20" s="720">
        <f t="shared" si="0"/>
        <v>0</v>
      </c>
      <c r="H20" s="718"/>
      <c r="I20" s="721"/>
    </row>
    <row r="21" spans="1:9" s="698" customFormat="1" ht="12.95" customHeight="1" x14ac:dyDescent="0.25">
      <c r="A21" s="716">
        <v>12</v>
      </c>
      <c r="B21" s="887">
        <v>110330</v>
      </c>
      <c r="C21" s="888" t="s">
        <v>950</v>
      </c>
      <c r="D21" s="718" t="s">
        <v>275</v>
      </c>
      <c r="E21" s="889">
        <v>1</v>
      </c>
      <c r="F21" s="890"/>
      <c r="G21" s="720">
        <f t="shared" si="0"/>
        <v>0</v>
      </c>
      <c r="H21" s="718"/>
      <c r="I21" s="721"/>
    </row>
    <row r="22" spans="1:9" s="698" customFormat="1" ht="12.95" customHeight="1" x14ac:dyDescent="0.25">
      <c r="A22" s="716">
        <v>13</v>
      </c>
      <c r="B22" s="887">
        <v>110400</v>
      </c>
      <c r="C22" s="888" t="s">
        <v>951</v>
      </c>
      <c r="D22" s="718" t="s">
        <v>275</v>
      </c>
      <c r="E22" s="889">
        <v>7</v>
      </c>
      <c r="F22" s="890"/>
      <c r="G22" s="720">
        <f t="shared" si="0"/>
        <v>0</v>
      </c>
      <c r="H22" s="718"/>
      <c r="I22" s="721"/>
    </row>
    <row r="23" spans="1:9" s="698" customFormat="1" ht="12.95" customHeight="1" x14ac:dyDescent="0.25">
      <c r="A23" s="716">
        <v>14</v>
      </c>
      <c r="B23" s="887">
        <v>110410</v>
      </c>
      <c r="C23" s="888" t="s">
        <v>952</v>
      </c>
      <c r="D23" s="718" t="s">
        <v>275</v>
      </c>
      <c r="E23" s="889">
        <v>8</v>
      </c>
      <c r="F23" s="890"/>
      <c r="G23" s="720">
        <f t="shared" si="0"/>
        <v>0</v>
      </c>
      <c r="H23" s="718"/>
      <c r="I23" s="721"/>
    </row>
    <row r="24" spans="1:9" s="698" customFormat="1" ht="12.95" customHeight="1" x14ac:dyDescent="0.25">
      <c r="A24" s="716">
        <v>15</v>
      </c>
      <c r="B24" s="887">
        <v>110440</v>
      </c>
      <c r="C24" s="888" t="s">
        <v>953</v>
      </c>
      <c r="D24" s="718" t="s">
        <v>275</v>
      </c>
      <c r="E24" s="889">
        <v>13</v>
      </c>
      <c r="F24" s="890"/>
      <c r="G24" s="720">
        <f t="shared" si="0"/>
        <v>0</v>
      </c>
      <c r="H24" s="718"/>
      <c r="I24" s="721"/>
    </row>
    <row r="25" spans="1:9" s="698" customFormat="1" ht="12.95" customHeight="1" x14ac:dyDescent="0.25">
      <c r="A25" s="716">
        <v>16</v>
      </c>
      <c r="B25" s="887">
        <v>110470</v>
      </c>
      <c r="C25" s="888" t="s">
        <v>954</v>
      </c>
      <c r="D25" s="718" t="s">
        <v>275</v>
      </c>
      <c r="E25" s="889">
        <v>1</v>
      </c>
      <c r="F25" s="890"/>
      <c r="G25" s="720">
        <f t="shared" si="0"/>
        <v>0</v>
      </c>
      <c r="H25" s="718"/>
      <c r="I25" s="721"/>
    </row>
    <row r="26" spans="1:9" s="698" customFormat="1" ht="12.95" customHeight="1" x14ac:dyDescent="0.25">
      <c r="A26" s="716">
        <v>17</v>
      </c>
      <c r="B26" s="887">
        <v>110640</v>
      </c>
      <c r="C26" s="888" t="s">
        <v>955</v>
      </c>
      <c r="D26" s="718" t="s">
        <v>275</v>
      </c>
      <c r="E26" s="889">
        <v>9</v>
      </c>
      <c r="F26" s="890"/>
      <c r="G26" s="720">
        <f t="shared" si="0"/>
        <v>0</v>
      </c>
      <c r="H26" s="722"/>
      <c r="I26" s="723"/>
    </row>
    <row r="27" spans="1:9" s="698" customFormat="1" ht="12.95" customHeight="1" x14ac:dyDescent="0.25">
      <c r="A27" s="716">
        <v>18</v>
      </c>
      <c r="B27" s="887">
        <v>110090</v>
      </c>
      <c r="C27" s="888" t="s">
        <v>956</v>
      </c>
      <c r="D27" s="718" t="s">
        <v>275</v>
      </c>
      <c r="E27" s="889">
        <v>1</v>
      </c>
      <c r="F27" s="890"/>
      <c r="G27" s="720">
        <f t="shared" si="0"/>
        <v>0</v>
      </c>
      <c r="H27" s="722"/>
      <c r="I27" s="723"/>
    </row>
    <row r="28" spans="1:9" s="698" customFormat="1" ht="12.95" customHeight="1" x14ac:dyDescent="0.25">
      <c r="A28" s="716">
        <v>19</v>
      </c>
      <c r="B28" s="887">
        <v>110790</v>
      </c>
      <c r="C28" s="888" t="s">
        <v>957</v>
      </c>
      <c r="D28" s="718" t="s">
        <v>275</v>
      </c>
      <c r="E28" s="889">
        <v>0</v>
      </c>
      <c r="F28" s="890"/>
      <c r="G28" s="720">
        <f t="shared" si="0"/>
        <v>0</v>
      </c>
      <c r="H28" s="722"/>
      <c r="I28" s="723"/>
    </row>
    <row r="29" spans="1:9" s="698" customFormat="1" ht="12.95" customHeight="1" x14ac:dyDescent="0.25">
      <c r="A29" s="716">
        <v>20</v>
      </c>
      <c r="B29" s="887">
        <v>110490</v>
      </c>
      <c r="C29" s="888" t="s">
        <v>450</v>
      </c>
      <c r="D29" s="718" t="s">
        <v>275</v>
      </c>
      <c r="E29" s="889">
        <v>1</v>
      </c>
      <c r="F29" s="890"/>
      <c r="G29" s="720">
        <f t="shared" si="0"/>
        <v>0</v>
      </c>
      <c r="H29" s="722"/>
      <c r="I29" s="723"/>
    </row>
    <row r="30" spans="1:9" s="698" customFormat="1" ht="12.95" customHeight="1" x14ac:dyDescent="0.25">
      <c r="A30" s="716">
        <v>21</v>
      </c>
      <c r="B30" s="887"/>
      <c r="C30" s="888" t="s">
        <v>958</v>
      </c>
      <c r="D30" s="718" t="s">
        <v>275</v>
      </c>
      <c r="E30" s="889">
        <v>112</v>
      </c>
      <c r="F30" s="890"/>
      <c r="G30" s="720">
        <f t="shared" si="0"/>
        <v>0</v>
      </c>
      <c r="H30" s="722"/>
      <c r="I30" s="723"/>
    </row>
    <row r="31" spans="1:9" s="606" customFormat="1" ht="12.95" customHeight="1" x14ac:dyDescent="0.2">
      <c r="A31" s="724"/>
      <c r="B31" s="725"/>
      <c r="C31" s="726"/>
      <c r="D31" s="726"/>
      <c r="E31" s="725"/>
      <c r="F31" s="1250"/>
      <c r="G31" s="727"/>
      <c r="H31" s="728"/>
      <c r="I31" s="729"/>
    </row>
    <row r="32" spans="1:9" s="315" customFormat="1" ht="15" x14ac:dyDescent="0.25">
      <c r="A32" s="730"/>
      <c r="B32" s="731"/>
      <c r="C32" s="732" t="s">
        <v>453</v>
      </c>
      <c r="D32" s="733" t="s">
        <v>37</v>
      </c>
      <c r="E32" s="734"/>
      <c r="F32" s="735"/>
      <c r="G32" s="736">
        <f>SUM(G10:G31)</f>
        <v>0</v>
      </c>
      <c r="H32" s="737"/>
      <c r="I32" s="738"/>
    </row>
    <row r="33" spans="1:9" s="315" customFormat="1" ht="15.75" x14ac:dyDescent="0.25">
      <c r="A33" s="709"/>
      <c r="B33" s="739"/>
      <c r="C33" s="710"/>
      <c r="D33" s="740"/>
      <c r="E33" s="710"/>
      <c r="F33" s="741"/>
      <c r="G33" s="742"/>
      <c r="H33" s="741"/>
      <c r="I33" s="743"/>
    </row>
    <row r="34" spans="1:9" s="315" customFormat="1" ht="15" x14ac:dyDescent="0.25">
      <c r="A34" s="709"/>
      <c r="B34" s="710" t="s">
        <v>42</v>
      </c>
      <c r="C34" s="710" t="s">
        <v>959</v>
      </c>
      <c r="D34" s="751"/>
      <c r="E34" s="752"/>
      <c r="F34" s="714"/>
      <c r="G34" s="713"/>
      <c r="H34" s="752"/>
      <c r="I34" s="753"/>
    </row>
    <row r="35" spans="1:9" s="698" customFormat="1" ht="12.95" customHeight="1" x14ac:dyDescent="0.25">
      <c r="A35" s="716">
        <v>22</v>
      </c>
      <c r="B35" s="717"/>
      <c r="C35" s="698" t="s">
        <v>960</v>
      </c>
      <c r="D35" s="718" t="s">
        <v>435</v>
      </c>
      <c r="E35" s="717">
        <v>300</v>
      </c>
      <c r="F35" s="754"/>
      <c r="G35" s="720">
        <f t="shared" ref="G35:G48" si="1">E35*F35</f>
        <v>0</v>
      </c>
      <c r="H35" s="722"/>
      <c r="I35" s="755"/>
    </row>
    <row r="36" spans="1:9" s="698" customFormat="1" ht="12.95" customHeight="1" x14ac:dyDescent="0.25">
      <c r="A36" s="716">
        <v>23</v>
      </c>
      <c r="B36" s="717"/>
      <c r="C36" s="698" t="s">
        <v>961</v>
      </c>
      <c r="D36" s="718" t="s">
        <v>435</v>
      </c>
      <c r="E36" s="717">
        <v>300</v>
      </c>
      <c r="F36" s="754"/>
      <c r="G36" s="720">
        <f t="shared" si="1"/>
        <v>0</v>
      </c>
      <c r="H36" s="722"/>
      <c r="I36" s="755"/>
    </row>
    <row r="37" spans="1:9" s="698" customFormat="1" ht="12.95" customHeight="1" x14ac:dyDescent="0.25">
      <c r="A37" s="716">
        <v>24</v>
      </c>
      <c r="B37" s="717"/>
      <c r="C37" s="698" t="s">
        <v>962</v>
      </c>
      <c r="D37" s="718" t="s">
        <v>275</v>
      </c>
      <c r="E37" s="719">
        <v>9</v>
      </c>
      <c r="F37" s="754"/>
      <c r="G37" s="720">
        <f t="shared" si="1"/>
        <v>0</v>
      </c>
      <c r="H37" s="722"/>
      <c r="I37" s="755"/>
    </row>
    <row r="38" spans="1:9" s="698" customFormat="1" ht="12.95" customHeight="1" x14ac:dyDescent="0.25">
      <c r="A38" s="716">
        <v>25</v>
      </c>
      <c r="B38" s="717"/>
      <c r="C38" s="698" t="s">
        <v>963</v>
      </c>
      <c r="D38" s="718" t="s">
        <v>275</v>
      </c>
      <c r="E38" s="719">
        <v>13</v>
      </c>
      <c r="F38" s="754"/>
      <c r="G38" s="720">
        <f t="shared" si="1"/>
        <v>0</v>
      </c>
      <c r="H38" s="722"/>
      <c r="I38" s="755"/>
    </row>
    <row r="39" spans="1:9" s="698" customFormat="1" ht="12.95" customHeight="1" x14ac:dyDescent="0.25">
      <c r="A39" s="716">
        <v>26</v>
      </c>
      <c r="B39" s="717"/>
      <c r="C39" s="698" t="s">
        <v>964</v>
      </c>
      <c r="D39" s="718" t="s">
        <v>275</v>
      </c>
      <c r="E39" s="719">
        <v>77</v>
      </c>
      <c r="F39" s="754"/>
      <c r="G39" s="720">
        <f t="shared" si="1"/>
        <v>0</v>
      </c>
      <c r="H39" s="722"/>
      <c r="I39" s="755"/>
    </row>
    <row r="40" spans="1:9" s="698" customFormat="1" ht="12.95" customHeight="1" x14ac:dyDescent="0.25">
      <c r="A40" s="716">
        <v>27</v>
      </c>
      <c r="B40" s="717"/>
      <c r="C40" s="892" t="s">
        <v>965</v>
      </c>
      <c r="D40" s="718" t="s">
        <v>435</v>
      </c>
      <c r="E40" s="719">
        <v>70</v>
      </c>
      <c r="F40" s="754"/>
      <c r="G40" s="720">
        <f t="shared" si="1"/>
        <v>0</v>
      </c>
      <c r="H40" s="722"/>
      <c r="I40" s="755"/>
    </row>
    <row r="41" spans="1:9" s="698" customFormat="1" ht="12.95" customHeight="1" x14ac:dyDescent="0.25">
      <c r="A41" s="716">
        <v>28</v>
      </c>
      <c r="B41" s="717"/>
      <c r="C41" s="892" t="s">
        <v>966</v>
      </c>
      <c r="D41" s="718" t="s">
        <v>435</v>
      </c>
      <c r="E41" s="719">
        <v>340</v>
      </c>
      <c r="F41" s="754"/>
      <c r="G41" s="720">
        <f t="shared" si="1"/>
        <v>0</v>
      </c>
      <c r="H41" s="722"/>
      <c r="I41" s="755"/>
    </row>
    <row r="42" spans="1:9" s="698" customFormat="1" ht="12.95" customHeight="1" x14ac:dyDescent="0.25">
      <c r="A42" s="716">
        <v>29</v>
      </c>
      <c r="B42" s="717"/>
      <c r="C42" s="892" t="s">
        <v>457</v>
      </c>
      <c r="D42" s="718" t="s">
        <v>435</v>
      </c>
      <c r="E42" s="719">
        <v>60</v>
      </c>
      <c r="F42" s="754"/>
      <c r="G42" s="720">
        <f t="shared" si="1"/>
        <v>0</v>
      </c>
      <c r="H42" s="722"/>
      <c r="I42" s="755"/>
    </row>
    <row r="43" spans="1:9" s="698" customFormat="1" ht="12.95" customHeight="1" x14ac:dyDescent="0.25">
      <c r="A43" s="716">
        <v>30</v>
      </c>
      <c r="B43" s="893">
        <v>109903</v>
      </c>
      <c r="C43" s="698" t="s">
        <v>451</v>
      </c>
      <c r="D43" s="718" t="s">
        <v>275</v>
      </c>
      <c r="E43" s="719">
        <v>15</v>
      </c>
      <c r="F43" s="754"/>
      <c r="G43" s="720">
        <f t="shared" si="1"/>
        <v>0</v>
      </c>
      <c r="H43" s="722"/>
      <c r="I43" s="755"/>
    </row>
    <row r="44" spans="1:9" s="698" customFormat="1" ht="12.95" customHeight="1" x14ac:dyDescent="0.25">
      <c r="A44" s="716">
        <v>31</v>
      </c>
      <c r="B44" s="893">
        <v>110900</v>
      </c>
      <c r="C44" s="698" t="s">
        <v>967</v>
      </c>
      <c r="D44" s="718" t="s">
        <v>275</v>
      </c>
      <c r="E44" s="719">
        <v>1</v>
      </c>
      <c r="F44" s="754"/>
      <c r="G44" s="720">
        <f t="shared" si="1"/>
        <v>0</v>
      </c>
      <c r="H44" s="722"/>
      <c r="I44" s="755"/>
    </row>
    <row r="45" spans="1:9" s="698" customFormat="1" ht="12.95" customHeight="1" x14ac:dyDescent="0.25">
      <c r="A45" s="716">
        <v>32</v>
      </c>
      <c r="B45" s="893">
        <v>110901</v>
      </c>
      <c r="C45" s="698" t="s">
        <v>968</v>
      </c>
      <c r="D45" s="756" t="s">
        <v>435</v>
      </c>
      <c r="E45" s="719">
        <v>1</v>
      </c>
      <c r="F45" s="754"/>
      <c r="G45" s="720">
        <f t="shared" si="1"/>
        <v>0</v>
      </c>
      <c r="H45" s="722"/>
      <c r="I45" s="755"/>
    </row>
    <row r="46" spans="1:9" s="698" customFormat="1" ht="12.95" customHeight="1" x14ac:dyDescent="0.25">
      <c r="A46" s="716">
        <v>33</v>
      </c>
      <c r="B46" s="893">
        <v>110902</v>
      </c>
      <c r="C46" s="698" t="s">
        <v>969</v>
      </c>
      <c r="D46" s="756" t="s">
        <v>435</v>
      </c>
      <c r="E46" s="719">
        <v>29</v>
      </c>
      <c r="F46" s="754"/>
      <c r="G46" s="720">
        <f t="shared" si="1"/>
        <v>0</v>
      </c>
      <c r="H46" s="722"/>
      <c r="I46" s="755"/>
    </row>
    <row r="47" spans="1:9" s="698" customFormat="1" ht="12.95" customHeight="1" x14ac:dyDescent="0.25">
      <c r="A47" s="716">
        <v>34</v>
      </c>
      <c r="B47" s="893">
        <v>110911</v>
      </c>
      <c r="C47" s="698" t="s">
        <v>970</v>
      </c>
      <c r="D47" s="756" t="s">
        <v>435</v>
      </c>
      <c r="E47" s="719">
        <v>30</v>
      </c>
      <c r="F47" s="754"/>
      <c r="G47" s="720">
        <f t="shared" si="1"/>
        <v>0</v>
      </c>
      <c r="H47" s="722"/>
      <c r="I47" s="755"/>
    </row>
    <row r="48" spans="1:9" s="698" customFormat="1" ht="12.95" customHeight="1" x14ac:dyDescent="0.25">
      <c r="A48" s="716">
        <v>35</v>
      </c>
      <c r="B48" s="893">
        <v>110920</v>
      </c>
      <c r="C48" s="698" t="s">
        <v>452</v>
      </c>
      <c r="D48" s="718" t="s">
        <v>275</v>
      </c>
      <c r="E48" s="719">
        <v>13</v>
      </c>
      <c r="F48" s="754"/>
      <c r="G48" s="720">
        <f t="shared" si="1"/>
        <v>0</v>
      </c>
      <c r="H48" s="722"/>
      <c r="I48" s="755"/>
    </row>
    <row r="49" spans="1:9" s="606" customFormat="1" ht="12.95" customHeight="1" x14ac:dyDescent="0.2">
      <c r="A49" s="724"/>
      <c r="B49" s="725"/>
      <c r="C49" s="726"/>
      <c r="D49" s="726"/>
      <c r="E49" s="757"/>
      <c r="F49" s="1251"/>
      <c r="G49" s="727"/>
      <c r="H49" s="728"/>
      <c r="I49" s="758"/>
    </row>
    <row r="50" spans="1:9" s="322" customFormat="1" ht="15" x14ac:dyDescent="0.25">
      <c r="A50" s="730"/>
      <c r="B50" s="731"/>
      <c r="C50" s="732" t="s">
        <v>458</v>
      </c>
      <c r="D50" s="733" t="s">
        <v>37</v>
      </c>
      <c r="E50" s="734"/>
      <c r="F50" s="735"/>
      <c r="G50" s="736">
        <f>SUM(G34:G49)</f>
        <v>0</v>
      </c>
      <c r="H50" s="737"/>
      <c r="I50" s="738"/>
    </row>
    <row r="51" spans="1:9" s="315" customFormat="1" ht="15" x14ac:dyDescent="0.25">
      <c r="A51" s="709"/>
      <c r="B51" s="710"/>
      <c r="C51" s="710"/>
      <c r="D51" s="759"/>
      <c r="E51" s="760"/>
      <c r="F51" s="741"/>
      <c r="G51" s="742"/>
      <c r="H51" s="741"/>
      <c r="I51" s="743"/>
    </row>
    <row r="52" spans="1:9" s="315" customFormat="1" ht="15" x14ac:dyDescent="0.25">
      <c r="A52" s="709"/>
      <c r="B52" s="710" t="s">
        <v>971</v>
      </c>
      <c r="C52" s="710" t="s">
        <v>972</v>
      </c>
      <c r="D52" s="711"/>
      <c r="E52" s="711"/>
      <c r="F52" s="712"/>
      <c r="G52" s="713"/>
      <c r="H52" s="714"/>
      <c r="I52" s="715"/>
    </row>
    <row r="53" spans="1:9" s="699" customFormat="1" ht="15" x14ac:dyDescent="0.25">
      <c r="A53" s="716">
        <v>36</v>
      </c>
      <c r="B53" s="894"/>
      <c r="C53" s="895" t="s">
        <v>454</v>
      </c>
      <c r="D53" s="744" t="s">
        <v>275</v>
      </c>
      <c r="E53" s="891">
        <v>1</v>
      </c>
      <c r="F53" s="745"/>
      <c r="G53" s="720">
        <f t="shared" ref="G53:G76" si="2">E53*F53</f>
        <v>0</v>
      </c>
      <c r="H53" s="746"/>
      <c r="I53" s="747"/>
    </row>
    <row r="54" spans="1:9" s="698" customFormat="1" ht="12.95" customHeight="1" x14ac:dyDescent="0.25">
      <c r="A54" s="716">
        <v>37</v>
      </c>
      <c r="B54" s="887">
        <v>110011</v>
      </c>
      <c r="C54" s="888" t="s">
        <v>939</v>
      </c>
      <c r="D54" s="744" t="s">
        <v>275</v>
      </c>
      <c r="E54" s="889">
        <v>1</v>
      </c>
      <c r="F54" s="745"/>
      <c r="G54" s="720">
        <f t="shared" si="2"/>
        <v>0</v>
      </c>
      <c r="H54" s="718"/>
      <c r="I54" s="721"/>
    </row>
    <row r="55" spans="1:9" s="698" customFormat="1" ht="12.95" customHeight="1" x14ac:dyDescent="0.25">
      <c r="A55" s="716">
        <v>38</v>
      </c>
      <c r="B55" s="887">
        <v>110030</v>
      </c>
      <c r="C55" s="888" t="s">
        <v>940</v>
      </c>
      <c r="D55" s="744" t="s">
        <v>275</v>
      </c>
      <c r="E55" s="891">
        <v>1</v>
      </c>
      <c r="F55" s="745"/>
      <c r="G55" s="720">
        <f t="shared" si="2"/>
        <v>0</v>
      </c>
      <c r="H55" s="718"/>
      <c r="I55" s="721"/>
    </row>
    <row r="56" spans="1:9" s="698" customFormat="1" ht="12.95" customHeight="1" x14ac:dyDescent="0.25">
      <c r="A56" s="716">
        <v>39</v>
      </c>
      <c r="B56" s="887">
        <v>110040</v>
      </c>
      <c r="C56" s="888" t="s">
        <v>941</v>
      </c>
      <c r="D56" s="744" t="s">
        <v>275</v>
      </c>
      <c r="E56" s="891">
        <v>1</v>
      </c>
      <c r="F56" s="745"/>
      <c r="G56" s="720">
        <f t="shared" si="2"/>
        <v>0</v>
      </c>
      <c r="H56" s="718"/>
      <c r="I56" s="721"/>
    </row>
    <row r="57" spans="1:9" s="698" customFormat="1" ht="12.95" customHeight="1" x14ac:dyDescent="0.25">
      <c r="A57" s="716">
        <v>40</v>
      </c>
      <c r="B57" s="887">
        <v>120001</v>
      </c>
      <c r="C57" s="888" t="s">
        <v>942</v>
      </c>
      <c r="D57" s="744" t="s">
        <v>275</v>
      </c>
      <c r="E57" s="889">
        <v>45</v>
      </c>
      <c r="F57" s="745"/>
      <c r="G57" s="720">
        <f t="shared" si="2"/>
        <v>0</v>
      </c>
      <c r="H57" s="718"/>
      <c r="I57" s="721"/>
    </row>
    <row r="58" spans="1:9" s="698" customFormat="1" ht="12.95" customHeight="1" x14ac:dyDescent="0.25">
      <c r="A58" s="716">
        <v>41</v>
      </c>
      <c r="B58" s="887">
        <v>120002</v>
      </c>
      <c r="C58" s="888" t="s">
        <v>943</v>
      </c>
      <c r="D58" s="744" t="s">
        <v>275</v>
      </c>
      <c r="E58" s="889">
        <v>1</v>
      </c>
      <c r="F58" s="745"/>
      <c r="G58" s="720">
        <f t="shared" si="2"/>
        <v>0</v>
      </c>
      <c r="H58" s="718"/>
      <c r="I58" s="721"/>
    </row>
    <row r="59" spans="1:9" s="698" customFormat="1" ht="12.95" customHeight="1" x14ac:dyDescent="0.25">
      <c r="A59" s="716">
        <v>42</v>
      </c>
      <c r="B59" s="887">
        <v>110110</v>
      </c>
      <c r="C59" s="888" t="s">
        <v>944</v>
      </c>
      <c r="D59" s="744" t="s">
        <v>275</v>
      </c>
      <c r="E59" s="889">
        <v>29</v>
      </c>
      <c r="F59" s="745"/>
      <c r="G59" s="720">
        <f t="shared" si="2"/>
        <v>0</v>
      </c>
      <c r="H59" s="718"/>
      <c r="I59" s="721"/>
    </row>
    <row r="60" spans="1:9" s="698" customFormat="1" ht="12.95" customHeight="1" x14ac:dyDescent="0.25">
      <c r="A60" s="716">
        <v>43</v>
      </c>
      <c r="B60" s="887">
        <v>110130</v>
      </c>
      <c r="C60" s="888" t="s">
        <v>945</v>
      </c>
      <c r="D60" s="744" t="s">
        <v>275</v>
      </c>
      <c r="E60" s="889">
        <v>29</v>
      </c>
      <c r="F60" s="745"/>
      <c r="G60" s="720">
        <f t="shared" si="2"/>
        <v>0</v>
      </c>
      <c r="H60" s="718"/>
      <c r="I60" s="721"/>
    </row>
    <row r="61" spans="1:9" s="698" customFormat="1" ht="12.95" customHeight="1" x14ac:dyDescent="0.25">
      <c r="A61" s="716">
        <v>44</v>
      </c>
      <c r="B61" s="887">
        <v>110190</v>
      </c>
      <c r="C61" s="888" t="s">
        <v>973</v>
      </c>
      <c r="D61" s="744" t="s">
        <v>275</v>
      </c>
      <c r="E61" s="889">
        <v>29</v>
      </c>
      <c r="F61" s="745"/>
      <c r="G61" s="720">
        <f t="shared" si="2"/>
        <v>0</v>
      </c>
      <c r="H61" s="718"/>
      <c r="I61" s="721"/>
    </row>
    <row r="62" spans="1:9" s="698" customFormat="1" ht="12.95" customHeight="1" x14ac:dyDescent="0.25">
      <c r="A62" s="716">
        <v>45</v>
      </c>
      <c r="B62" s="887">
        <v>110210</v>
      </c>
      <c r="C62" s="888" t="s">
        <v>947</v>
      </c>
      <c r="D62" s="744" t="s">
        <v>275</v>
      </c>
      <c r="E62" s="889">
        <v>12</v>
      </c>
      <c r="F62" s="745"/>
      <c r="G62" s="720">
        <f t="shared" si="2"/>
        <v>0</v>
      </c>
      <c r="H62" s="718"/>
      <c r="I62" s="721"/>
    </row>
    <row r="63" spans="1:9" s="698" customFormat="1" ht="12.95" customHeight="1" x14ac:dyDescent="0.25">
      <c r="A63" s="716">
        <v>46</v>
      </c>
      <c r="B63" s="887">
        <v>110250</v>
      </c>
      <c r="C63" s="888" t="s">
        <v>948</v>
      </c>
      <c r="D63" s="744" t="s">
        <v>275</v>
      </c>
      <c r="E63" s="889">
        <v>1</v>
      </c>
      <c r="F63" s="745"/>
      <c r="G63" s="720">
        <f t="shared" si="2"/>
        <v>0</v>
      </c>
      <c r="H63" s="718"/>
      <c r="I63" s="721"/>
    </row>
    <row r="64" spans="1:9" s="698" customFormat="1" ht="12.95" customHeight="1" x14ac:dyDescent="0.25">
      <c r="A64" s="716">
        <v>47</v>
      </c>
      <c r="B64" s="887">
        <v>110280</v>
      </c>
      <c r="C64" s="888" t="s">
        <v>949</v>
      </c>
      <c r="D64" s="744" t="s">
        <v>275</v>
      </c>
      <c r="E64" s="889">
        <v>1</v>
      </c>
      <c r="F64" s="745"/>
      <c r="G64" s="720">
        <f t="shared" si="2"/>
        <v>0</v>
      </c>
      <c r="H64" s="718"/>
      <c r="I64" s="721"/>
    </row>
    <row r="65" spans="1:9" s="698" customFormat="1" ht="12.95" customHeight="1" x14ac:dyDescent="0.25">
      <c r="A65" s="716">
        <v>48</v>
      </c>
      <c r="B65" s="887">
        <v>110330</v>
      </c>
      <c r="C65" s="888" t="s">
        <v>950</v>
      </c>
      <c r="D65" s="744" t="s">
        <v>275</v>
      </c>
      <c r="E65" s="889">
        <v>1</v>
      </c>
      <c r="F65" s="745"/>
      <c r="G65" s="720">
        <f t="shared" si="2"/>
        <v>0</v>
      </c>
      <c r="H65" s="718"/>
      <c r="I65" s="721"/>
    </row>
    <row r="66" spans="1:9" s="698" customFormat="1" ht="12.95" customHeight="1" x14ac:dyDescent="0.25">
      <c r="A66" s="716">
        <v>49</v>
      </c>
      <c r="B66" s="887">
        <v>110400</v>
      </c>
      <c r="C66" s="888" t="s">
        <v>951</v>
      </c>
      <c r="D66" s="744" t="s">
        <v>275</v>
      </c>
      <c r="E66" s="889">
        <v>7</v>
      </c>
      <c r="F66" s="745"/>
      <c r="G66" s="720">
        <f t="shared" si="2"/>
        <v>0</v>
      </c>
      <c r="H66" s="718"/>
      <c r="I66" s="721"/>
    </row>
    <row r="67" spans="1:9" s="698" customFormat="1" ht="12.95" customHeight="1" x14ac:dyDescent="0.25">
      <c r="A67" s="716">
        <v>50</v>
      </c>
      <c r="B67" s="887">
        <v>110410</v>
      </c>
      <c r="C67" s="888" t="s">
        <v>952</v>
      </c>
      <c r="D67" s="744" t="s">
        <v>275</v>
      </c>
      <c r="E67" s="889">
        <v>8</v>
      </c>
      <c r="F67" s="745"/>
      <c r="G67" s="720">
        <f t="shared" si="2"/>
        <v>0</v>
      </c>
      <c r="H67" s="718"/>
      <c r="I67" s="721"/>
    </row>
    <row r="68" spans="1:9" s="698" customFormat="1" ht="12.95" customHeight="1" x14ac:dyDescent="0.25">
      <c r="A68" s="716">
        <v>51</v>
      </c>
      <c r="B68" s="887">
        <v>110440</v>
      </c>
      <c r="C68" s="888" t="s">
        <v>953</v>
      </c>
      <c r="D68" s="718" t="s">
        <v>275</v>
      </c>
      <c r="E68" s="889">
        <v>13</v>
      </c>
      <c r="F68" s="745"/>
      <c r="G68" s="720">
        <f t="shared" si="2"/>
        <v>0</v>
      </c>
      <c r="H68" s="718"/>
      <c r="I68" s="721"/>
    </row>
    <row r="69" spans="1:9" s="698" customFormat="1" ht="12.95" customHeight="1" x14ac:dyDescent="0.25">
      <c r="A69" s="716">
        <v>52</v>
      </c>
      <c r="B69" s="887">
        <v>110470</v>
      </c>
      <c r="C69" s="888" t="s">
        <v>954</v>
      </c>
      <c r="D69" s="718" t="s">
        <v>275</v>
      </c>
      <c r="E69" s="889">
        <v>1</v>
      </c>
      <c r="F69" s="745"/>
      <c r="G69" s="720">
        <f t="shared" si="2"/>
        <v>0</v>
      </c>
      <c r="H69" s="718"/>
      <c r="I69" s="721"/>
    </row>
    <row r="70" spans="1:9" s="698" customFormat="1" ht="12.95" customHeight="1" x14ac:dyDescent="0.25">
      <c r="A70" s="716">
        <v>53</v>
      </c>
      <c r="B70" s="887">
        <v>110640</v>
      </c>
      <c r="C70" s="888" t="s">
        <v>955</v>
      </c>
      <c r="D70" s="718" t="s">
        <v>275</v>
      </c>
      <c r="E70" s="889">
        <v>9</v>
      </c>
      <c r="F70" s="745"/>
      <c r="G70" s="720">
        <f t="shared" si="2"/>
        <v>0</v>
      </c>
      <c r="H70" s="718"/>
      <c r="I70" s="721"/>
    </row>
    <row r="71" spans="1:9" s="698" customFormat="1" ht="12.95" customHeight="1" x14ac:dyDescent="0.25">
      <c r="A71" s="716">
        <v>54</v>
      </c>
      <c r="B71" s="887">
        <v>110090</v>
      </c>
      <c r="C71" s="888" t="s">
        <v>956</v>
      </c>
      <c r="D71" s="718" t="s">
        <v>275</v>
      </c>
      <c r="E71" s="889">
        <v>1</v>
      </c>
      <c r="F71" s="745"/>
      <c r="G71" s="720">
        <f t="shared" si="2"/>
        <v>0</v>
      </c>
      <c r="H71" s="718"/>
      <c r="I71" s="721"/>
    </row>
    <row r="72" spans="1:9" s="698" customFormat="1" ht="12.95" customHeight="1" x14ac:dyDescent="0.25">
      <c r="A72" s="716">
        <v>55</v>
      </c>
      <c r="B72" s="887">
        <v>110790</v>
      </c>
      <c r="C72" s="888" t="s">
        <v>957</v>
      </c>
      <c r="D72" s="718" t="s">
        <v>275</v>
      </c>
      <c r="E72" s="889">
        <v>0</v>
      </c>
      <c r="F72" s="745"/>
      <c r="G72" s="720">
        <f t="shared" si="2"/>
        <v>0</v>
      </c>
      <c r="H72" s="718"/>
      <c r="I72" s="721"/>
    </row>
    <row r="73" spans="1:9" s="698" customFormat="1" ht="12.95" customHeight="1" x14ac:dyDescent="0.25">
      <c r="A73" s="716">
        <v>56</v>
      </c>
      <c r="B73" s="887">
        <v>110490</v>
      </c>
      <c r="C73" s="888" t="s">
        <v>450</v>
      </c>
      <c r="D73" s="718" t="s">
        <v>275</v>
      </c>
      <c r="E73" s="889">
        <v>1</v>
      </c>
      <c r="F73" s="745"/>
      <c r="G73" s="720">
        <f t="shared" si="2"/>
        <v>0</v>
      </c>
      <c r="H73" s="718"/>
      <c r="I73" s="721"/>
    </row>
    <row r="74" spans="1:9" s="698" customFormat="1" ht="12.95" customHeight="1" x14ac:dyDescent="0.25">
      <c r="A74" s="716">
        <v>57</v>
      </c>
      <c r="B74" s="887">
        <v>119004</v>
      </c>
      <c r="C74" s="888" t="s">
        <v>958</v>
      </c>
      <c r="D74" s="718" t="s">
        <v>275</v>
      </c>
      <c r="E74" s="889">
        <v>112</v>
      </c>
      <c r="F74" s="745"/>
      <c r="G74" s="720">
        <f t="shared" si="2"/>
        <v>0</v>
      </c>
      <c r="H74" s="718"/>
      <c r="I74" s="721"/>
    </row>
    <row r="75" spans="1:9" s="698" customFormat="1" ht="12.95" customHeight="1" x14ac:dyDescent="0.25">
      <c r="A75" s="716">
        <v>58</v>
      </c>
      <c r="B75" s="887">
        <v>120003</v>
      </c>
      <c r="C75" s="888" t="s">
        <v>974</v>
      </c>
      <c r="D75" s="718" t="s">
        <v>148</v>
      </c>
      <c r="E75" s="891">
        <v>1</v>
      </c>
      <c r="F75" s="745"/>
      <c r="G75" s="720">
        <f t="shared" si="2"/>
        <v>0</v>
      </c>
      <c r="H75" s="718"/>
      <c r="I75" s="721"/>
    </row>
    <row r="76" spans="1:9" s="698" customFormat="1" ht="12.95" customHeight="1" x14ac:dyDescent="0.25">
      <c r="A76" s="716">
        <v>59</v>
      </c>
      <c r="B76" s="887">
        <v>120004</v>
      </c>
      <c r="C76" s="888" t="s">
        <v>455</v>
      </c>
      <c r="D76" s="718" t="s">
        <v>148</v>
      </c>
      <c r="E76" s="891">
        <v>1</v>
      </c>
      <c r="F76" s="745"/>
      <c r="G76" s="720">
        <f t="shared" si="2"/>
        <v>0</v>
      </c>
      <c r="H76" s="718"/>
      <c r="I76" s="721"/>
    </row>
    <row r="77" spans="1:9" s="315" customFormat="1" ht="15" x14ac:dyDescent="0.25">
      <c r="A77" s="709"/>
      <c r="B77" s="710"/>
      <c r="C77" s="710" t="s">
        <v>975</v>
      </c>
      <c r="D77" s="751"/>
      <c r="E77" s="752"/>
      <c r="F77" s="714"/>
      <c r="G77" s="713"/>
      <c r="H77" s="752"/>
      <c r="I77" s="753"/>
    </row>
    <row r="78" spans="1:9" s="698" customFormat="1" ht="12.95" customHeight="1" x14ac:dyDescent="0.25">
      <c r="A78" s="716">
        <v>60</v>
      </c>
      <c r="B78" s="717"/>
      <c r="C78" s="698" t="s">
        <v>960</v>
      </c>
      <c r="D78" s="718" t="s">
        <v>435</v>
      </c>
      <c r="E78" s="717">
        <v>300</v>
      </c>
      <c r="F78" s="896"/>
      <c r="G78" s="720">
        <f t="shared" ref="G78:G91" si="3">E78*F78</f>
        <v>0</v>
      </c>
      <c r="H78" s="718"/>
      <c r="I78" s="721"/>
    </row>
    <row r="79" spans="1:9" s="698" customFormat="1" ht="12.95" customHeight="1" x14ac:dyDescent="0.25">
      <c r="A79" s="716">
        <v>61</v>
      </c>
      <c r="B79" s="717"/>
      <c r="C79" s="698" t="s">
        <v>961</v>
      </c>
      <c r="D79" s="718" t="s">
        <v>435</v>
      </c>
      <c r="E79" s="717">
        <v>300</v>
      </c>
      <c r="F79" s="896"/>
      <c r="G79" s="720">
        <f t="shared" si="3"/>
        <v>0</v>
      </c>
      <c r="H79" s="718"/>
      <c r="I79" s="721"/>
    </row>
    <row r="80" spans="1:9" s="698" customFormat="1" ht="12.95" customHeight="1" x14ac:dyDescent="0.25">
      <c r="A80" s="716">
        <v>62</v>
      </c>
      <c r="B80" s="717"/>
      <c r="C80" s="698" t="s">
        <v>962</v>
      </c>
      <c r="D80" s="718" t="s">
        <v>275</v>
      </c>
      <c r="E80" s="719">
        <v>9</v>
      </c>
      <c r="F80" s="896"/>
      <c r="G80" s="720">
        <f t="shared" si="3"/>
        <v>0</v>
      </c>
      <c r="H80" s="718"/>
      <c r="I80" s="721"/>
    </row>
    <row r="81" spans="1:9" s="698" customFormat="1" ht="12.95" customHeight="1" x14ac:dyDescent="0.25">
      <c r="A81" s="716">
        <v>63</v>
      </c>
      <c r="B81" s="717"/>
      <c r="C81" s="698" t="s">
        <v>963</v>
      </c>
      <c r="D81" s="718" t="s">
        <v>275</v>
      </c>
      <c r="E81" s="719">
        <v>13</v>
      </c>
      <c r="F81" s="896"/>
      <c r="G81" s="720">
        <f t="shared" si="3"/>
        <v>0</v>
      </c>
      <c r="H81" s="718"/>
      <c r="I81" s="721"/>
    </row>
    <row r="82" spans="1:9" s="698" customFormat="1" ht="12.95" customHeight="1" x14ac:dyDescent="0.25">
      <c r="A82" s="716">
        <v>64</v>
      </c>
      <c r="B82" s="717"/>
      <c r="C82" s="698" t="s">
        <v>964</v>
      </c>
      <c r="D82" s="718" t="s">
        <v>275</v>
      </c>
      <c r="E82" s="719">
        <v>77</v>
      </c>
      <c r="F82" s="896"/>
      <c r="G82" s="720">
        <f t="shared" si="3"/>
        <v>0</v>
      </c>
      <c r="H82" s="718"/>
      <c r="I82" s="721"/>
    </row>
    <row r="83" spans="1:9" s="698" customFormat="1" ht="12.95" customHeight="1" x14ac:dyDescent="0.25">
      <c r="A83" s="716">
        <v>65</v>
      </c>
      <c r="B83" s="717"/>
      <c r="C83" s="892" t="s">
        <v>965</v>
      </c>
      <c r="D83" s="718" t="s">
        <v>435</v>
      </c>
      <c r="E83" s="719">
        <v>70</v>
      </c>
      <c r="F83" s="896"/>
      <c r="G83" s="720">
        <f t="shared" si="3"/>
        <v>0</v>
      </c>
      <c r="H83" s="718"/>
      <c r="I83" s="721"/>
    </row>
    <row r="84" spans="1:9" s="698" customFormat="1" ht="12.95" customHeight="1" x14ac:dyDescent="0.25">
      <c r="A84" s="716">
        <v>66</v>
      </c>
      <c r="B84" s="717"/>
      <c r="C84" s="892" t="s">
        <v>966</v>
      </c>
      <c r="D84" s="718" t="s">
        <v>435</v>
      </c>
      <c r="E84" s="719">
        <v>340</v>
      </c>
      <c r="F84" s="896"/>
      <c r="G84" s="720">
        <f t="shared" si="3"/>
        <v>0</v>
      </c>
      <c r="H84" s="718"/>
      <c r="I84" s="721"/>
    </row>
    <row r="85" spans="1:9" s="698" customFormat="1" ht="12.95" customHeight="1" x14ac:dyDescent="0.25">
      <c r="A85" s="716">
        <v>67</v>
      </c>
      <c r="B85" s="717"/>
      <c r="C85" s="892" t="s">
        <v>457</v>
      </c>
      <c r="D85" s="718" t="s">
        <v>435</v>
      </c>
      <c r="E85" s="719">
        <v>60</v>
      </c>
      <c r="F85" s="896"/>
      <c r="G85" s="720">
        <f t="shared" si="3"/>
        <v>0</v>
      </c>
      <c r="H85" s="718"/>
      <c r="I85" s="721"/>
    </row>
    <row r="86" spans="1:9" s="698" customFormat="1" ht="12.95" customHeight="1" x14ac:dyDescent="0.25">
      <c r="A86" s="716">
        <v>68</v>
      </c>
      <c r="B86" s="893">
        <v>109903</v>
      </c>
      <c r="C86" s="698" t="s">
        <v>451</v>
      </c>
      <c r="D86" s="718" t="s">
        <v>275</v>
      </c>
      <c r="E86" s="719">
        <v>15</v>
      </c>
      <c r="F86" s="896"/>
      <c r="G86" s="720">
        <f t="shared" si="3"/>
        <v>0</v>
      </c>
      <c r="H86" s="718"/>
      <c r="I86" s="721"/>
    </row>
    <row r="87" spans="1:9" s="698" customFormat="1" ht="12.95" customHeight="1" x14ac:dyDescent="0.25">
      <c r="A87" s="716">
        <v>69</v>
      </c>
      <c r="B87" s="893">
        <v>110900</v>
      </c>
      <c r="C87" s="698" t="s">
        <v>967</v>
      </c>
      <c r="D87" s="718" t="s">
        <v>275</v>
      </c>
      <c r="E87" s="719">
        <v>1</v>
      </c>
      <c r="F87" s="754"/>
      <c r="G87" s="720">
        <f t="shared" si="3"/>
        <v>0</v>
      </c>
      <c r="H87" s="722"/>
      <c r="I87" s="755"/>
    </row>
    <row r="88" spans="1:9" s="698" customFormat="1" ht="12.95" customHeight="1" x14ac:dyDescent="0.25">
      <c r="A88" s="716">
        <v>70</v>
      </c>
      <c r="B88" s="893">
        <v>110901</v>
      </c>
      <c r="C88" s="698" t="s">
        <v>968</v>
      </c>
      <c r="D88" s="756" t="s">
        <v>435</v>
      </c>
      <c r="E88" s="719">
        <v>1</v>
      </c>
      <c r="F88" s="754"/>
      <c r="G88" s="720">
        <f t="shared" si="3"/>
        <v>0</v>
      </c>
      <c r="H88" s="722"/>
      <c r="I88" s="755"/>
    </row>
    <row r="89" spans="1:9" s="698" customFormat="1" ht="12.95" customHeight="1" x14ac:dyDescent="0.25">
      <c r="A89" s="716">
        <v>71</v>
      </c>
      <c r="B89" s="893">
        <v>110902</v>
      </c>
      <c r="C89" s="698" t="s">
        <v>969</v>
      </c>
      <c r="D89" s="756" t="s">
        <v>435</v>
      </c>
      <c r="E89" s="719">
        <v>29</v>
      </c>
      <c r="F89" s="754"/>
      <c r="G89" s="720">
        <f t="shared" si="3"/>
        <v>0</v>
      </c>
      <c r="H89" s="722"/>
      <c r="I89" s="755"/>
    </row>
    <row r="90" spans="1:9" s="698" customFormat="1" ht="12.95" customHeight="1" x14ac:dyDescent="0.25">
      <c r="A90" s="716">
        <v>72</v>
      </c>
      <c r="B90" s="893">
        <v>110911</v>
      </c>
      <c r="C90" s="698" t="s">
        <v>970</v>
      </c>
      <c r="D90" s="756" t="s">
        <v>435</v>
      </c>
      <c r="E90" s="719">
        <v>30</v>
      </c>
      <c r="F90" s="754"/>
      <c r="G90" s="720">
        <f t="shared" si="3"/>
        <v>0</v>
      </c>
      <c r="H90" s="722"/>
      <c r="I90" s="755"/>
    </row>
    <row r="91" spans="1:9" s="698" customFormat="1" ht="12.95" customHeight="1" x14ac:dyDescent="0.25">
      <c r="A91" s="716">
        <v>73</v>
      </c>
      <c r="B91" s="893">
        <v>110920</v>
      </c>
      <c r="C91" s="698" t="s">
        <v>452</v>
      </c>
      <c r="D91" s="718" t="s">
        <v>275</v>
      </c>
      <c r="E91" s="719">
        <v>13</v>
      </c>
      <c r="F91" s="754"/>
      <c r="G91" s="720">
        <f t="shared" si="3"/>
        <v>0</v>
      </c>
      <c r="H91" s="722"/>
      <c r="I91" s="755"/>
    </row>
    <row r="92" spans="1:9" s="606" customFormat="1" ht="12.95" customHeight="1" x14ac:dyDescent="0.2">
      <c r="A92" s="724"/>
      <c r="B92" s="725"/>
      <c r="C92" s="726"/>
      <c r="D92" s="726"/>
      <c r="E92" s="748"/>
      <c r="F92" s="749"/>
      <c r="G92" s="727"/>
      <c r="H92" s="726"/>
      <c r="I92" s="750"/>
    </row>
    <row r="93" spans="1:9" s="315" customFormat="1" ht="15" x14ac:dyDescent="0.25">
      <c r="A93" s="730"/>
      <c r="B93" s="731"/>
      <c r="C93" s="732" t="s">
        <v>456</v>
      </c>
      <c r="D93" s="733" t="s">
        <v>37</v>
      </c>
      <c r="E93" s="734"/>
      <c r="F93" s="735"/>
      <c r="G93" s="736">
        <f>SUM(G52:G92)</f>
        <v>0</v>
      </c>
      <c r="H93" s="737"/>
      <c r="I93" s="738"/>
    </row>
    <row r="94" spans="1:9" s="315" customFormat="1" ht="15" x14ac:dyDescent="0.25">
      <c r="A94" s="709"/>
      <c r="B94" s="710"/>
      <c r="C94" s="710"/>
      <c r="D94" s="740"/>
      <c r="E94" s="710"/>
      <c r="F94" s="741"/>
      <c r="G94" s="742"/>
      <c r="H94" s="741"/>
      <c r="I94" s="743"/>
    </row>
    <row r="95" spans="1:9" s="315" customFormat="1" ht="15" x14ac:dyDescent="0.25">
      <c r="A95" s="709"/>
      <c r="B95" s="710" t="s">
        <v>986</v>
      </c>
      <c r="C95" s="710" t="s">
        <v>976</v>
      </c>
      <c r="D95" s="711"/>
      <c r="E95" s="711"/>
      <c r="F95" s="897"/>
      <c r="G95" s="898"/>
      <c r="H95" s="898"/>
      <c r="I95" s="899"/>
    </row>
    <row r="96" spans="1:9" s="620" customFormat="1" ht="15" x14ac:dyDescent="0.25">
      <c r="A96" s="900">
        <v>74</v>
      </c>
      <c r="B96" s="616">
        <v>429351</v>
      </c>
      <c r="C96" s="617" t="s">
        <v>977</v>
      </c>
      <c r="D96" s="617" t="s">
        <v>275</v>
      </c>
      <c r="E96" s="901">
        <v>2</v>
      </c>
      <c r="F96" s="902"/>
      <c r="G96" s="903">
        <f>E96*F96</f>
        <v>0</v>
      </c>
      <c r="H96" s="903">
        <v>0</v>
      </c>
      <c r="I96" s="619">
        <f>E96*H96</f>
        <v>0</v>
      </c>
    </row>
    <row r="97" spans="1:9" s="620" customFormat="1" ht="15" x14ac:dyDescent="0.25">
      <c r="A97" s="900">
        <v>75</v>
      </c>
      <c r="B97" s="616">
        <v>50103</v>
      </c>
      <c r="C97" s="617" t="s">
        <v>978</v>
      </c>
      <c r="D97" s="617" t="s">
        <v>275</v>
      </c>
      <c r="E97" s="901">
        <v>5</v>
      </c>
      <c r="F97" s="902"/>
      <c r="G97" s="903">
        <f>E97*F97</f>
        <v>0</v>
      </c>
      <c r="H97" s="903">
        <v>0</v>
      </c>
      <c r="I97" s="619">
        <f>E97*H97</f>
        <v>0</v>
      </c>
    </row>
    <row r="98" spans="1:9" s="606" customFormat="1" ht="12.95" customHeight="1" x14ac:dyDescent="0.2">
      <c r="A98" s="904"/>
      <c r="B98" s="725"/>
      <c r="C98" s="726"/>
      <c r="D98" s="726"/>
      <c r="E98" s="725"/>
      <c r="F98" s="905"/>
      <c r="G98" s="906"/>
      <c r="H98" s="907"/>
      <c r="I98" s="908"/>
    </row>
    <row r="99" spans="1:9" s="315" customFormat="1" ht="15" x14ac:dyDescent="0.25">
      <c r="A99" s="909"/>
      <c r="B99" s="731"/>
      <c r="C99" s="732" t="s">
        <v>979</v>
      </c>
      <c r="D99" s="733" t="s">
        <v>37</v>
      </c>
      <c r="E99" s="910"/>
      <c r="F99" s="911"/>
      <c r="G99" s="912">
        <f>SUM(G95:G98)</f>
        <v>0</v>
      </c>
      <c r="H99" s="913"/>
      <c r="I99" s="914"/>
    </row>
    <row r="100" spans="1:9" s="315" customFormat="1" ht="15" x14ac:dyDescent="0.25">
      <c r="A100" s="724"/>
      <c r="B100" s="725"/>
      <c r="C100" s="726"/>
      <c r="D100" s="726"/>
      <c r="E100" s="748"/>
      <c r="F100" s="749"/>
      <c r="G100" s="727"/>
      <c r="H100" s="726"/>
      <c r="I100" s="750"/>
    </row>
    <row r="101" spans="1:9" s="315" customFormat="1" ht="15" x14ac:dyDescent="0.25">
      <c r="A101" s="709"/>
      <c r="B101" s="710" t="s">
        <v>987</v>
      </c>
      <c r="C101" s="710" t="s">
        <v>980</v>
      </c>
      <c r="D101" s="751"/>
      <c r="E101" s="711"/>
      <c r="F101" s="898"/>
      <c r="G101" s="898"/>
      <c r="H101" s="898"/>
      <c r="I101" s="899"/>
    </row>
    <row r="102" spans="1:9" s="620" customFormat="1" ht="15" x14ac:dyDescent="0.25">
      <c r="A102" s="615">
        <v>76</v>
      </c>
      <c r="B102" s="616">
        <v>209403</v>
      </c>
      <c r="C102" s="617" t="s">
        <v>981</v>
      </c>
      <c r="D102" s="617" t="s">
        <v>435</v>
      </c>
      <c r="E102" s="618">
        <v>663</v>
      </c>
      <c r="F102" s="850"/>
      <c r="G102" s="845">
        <f t="shared" ref="G102:G112" si="4">E102*F102</f>
        <v>0</v>
      </c>
      <c r="H102" s="846">
        <v>0</v>
      </c>
      <c r="I102" s="619">
        <f t="shared" ref="I102:I112" si="5">E102*H102</f>
        <v>0</v>
      </c>
    </row>
    <row r="103" spans="1:9" s="620" customFormat="1" ht="15" x14ac:dyDescent="0.25">
      <c r="A103" s="615">
        <v>77</v>
      </c>
      <c r="B103" s="616">
        <v>209432</v>
      </c>
      <c r="C103" s="617" t="s">
        <v>982</v>
      </c>
      <c r="D103" s="617" t="s">
        <v>275</v>
      </c>
      <c r="E103" s="618">
        <v>2</v>
      </c>
      <c r="F103" s="850"/>
      <c r="G103" s="845">
        <f t="shared" si="4"/>
        <v>0</v>
      </c>
      <c r="H103" s="846">
        <v>0</v>
      </c>
      <c r="I103" s="619">
        <f t="shared" si="5"/>
        <v>0</v>
      </c>
    </row>
    <row r="104" spans="1:9" s="620" customFormat="1" ht="15" x14ac:dyDescent="0.25">
      <c r="A104" s="615">
        <v>78</v>
      </c>
      <c r="B104" s="616">
        <v>311115</v>
      </c>
      <c r="C104" s="617" t="s">
        <v>983</v>
      </c>
      <c r="D104" s="617" t="s">
        <v>275</v>
      </c>
      <c r="E104" s="618">
        <v>11</v>
      </c>
      <c r="F104" s="850"/>
      <c r="G104" s="845">
        <f t="shared" si="4"/>
        <v>0</v>
      </c>
      <c r="H104" s="846">
        <v>0</v>
      </c>
      <c r="I104" s="619">
        <f t="shared" si="5"/>
        <v>0</v>
      </c>
    </row>
    <row r="105" spans="1:9" s="620" customFormat="1" ht="15" x14ac:dyDescent="0.25">
      <c r="A105" s="615">
        <v>79</v>
      </c>
      <c r="B105" s="616">
        <v>321123</v>
      </c>
      <c r="C105" s="617" t="s">
        <v>984</v>
      </c>
      <c r="D105" s="617" t="s">
        <v>435</v>
      </c>
      <c r="E105" s="618">
        <v>16</v>
      </c>
      <c r="F105" s="850"/>
      <c r="G105" s="845">
        <f t="shared" si="4"/>
        <v>0</v>
      </c>
      <c r="H105" s="846">
        <v>0</v>
      </c>
      <c r="I105" s="619">
        <f t="shared" si="5"/>
        <v>0</v>
      </c>
    </row>
    <row r="106" spans="1:9" s="620" customFormat="1" ht="15" x14ac:dyDescent="0.25">
      <c r="A106" s="615">
        <v>80</v>
      </c>
      <c r="B106" s="616">
        <v>333151</v>
      </c>
      <c r="C106" s="617" t="s">
        <v>545</v>
      </c>
      <c r="D106" s="617" t="s">
        <v>435</v>
      </c>
      <c r="E106" s="618">
        <v>87</v>
      </c>
      <c r="F106" s="850"/>
      <c r="G106" s="845">
        <f t="shared" si="4"/>
        <v>0</v>
      </c>
      <c r="H106" s="846">
        <v>0</v>
      </c>
      <c r="I106" s="619">
        <f t="shared" si="5"/>
        <v>0</v>
      </c>
    </row>
    <row r="107" spans="1:9" s="620" customFormat="1" ht="15" x14ac:dyDescent="0.25">
      <c r="A107" s="615">
        <v>81</v>
      </c>
      <c r="B107" s="616">
        <v>333161</v>
      </c>
      <c r="C107" s="617" t="s">
        <v>551</v>
      </c>
      <c r="D107" s="617" t="s">
        <v>435</v>
      </c>
      <c r="E107" s="618">
        <v>15</v>
      </c>
      <c r="F107" s="850"/>
      <c r="G107" s="845">
        <f t="shared" si="4"/>
        <v>0</v>
      </c>
      <c r="H107" s="846">
        <v>0</v>
      </c>
      <c r="I107" s="619">
        <f t="shared" si="5"/>
        <v>0</v>
      </c>
    </row>
    <row r="108" spans="1:9" s="620" customFormat="1" ht="15" x14ac:dyDescent="0.25">
      <c r="A108" s="615">
        <v>82</v>
      </c>
      <c r="B108" s="616">
        <v>420086</v>
      </c>
      <c r="C108" s="617" t="s">
        <v>1044</v>
      </c>
      <c r="D108" s="849"/>
      <c r="E108" s="618">
        <v>6</v>
      </c>
      <c r="F108" s="618"/>
      <c r="G108" s="845">
        <f t="shared" si="4"/>
        <v>0</v>
      </c>
      <c r="H108" s="846">
        <v>0</v>
      </c>
      <c r="I108" s="619">
        <f t="shared" si="5"/>
        <v>0</v>
      </c>
    </row>
    <row r="109" spans="1:9" s="620" customFormat="1" ht="15" x14ac:dyDescent="0.25">
      <c r="A109" s="615">
        <v>83</v>
      </c>
      <c r="B109" s="616">
        <v>420053</v>
      </c>
      <c r="C109" s="617" t="s">
        <v>1045</v>
      </c>
      <c r="D109" s="617" t="s">
        <v>275</v>
      </c>
      <c r="E109" s="618">
        <v>6</v>
      </c>
      <c r="F109" s="850"/>
      <c r="G109" s="845">
        <f t="shared" si="4"/>
        <v>0</v>
      </c>
      <c r="H109" s="846">
        <v>0</v>
      </c>
      <c r="I109" s="619">
        <f t="shared" si="5"/>
        <v>0</v>
      </c>
    </row>
    <row r="110" spans="1:9" s="620" customFormat="1" ht="15" x14ac:dyDescent="0.25">
      <c r="A110" s="615">
        <v>84</v>
      </c>
      <c r="B110" s="616">
        <v>420091</v>
      </c>
      <c r="C110" s="617" t="s">
        <v>305</v>
      </c>
      <c r="D110" s="617" t="s">
        <v>275</v>
      </c>
      <c r="E110" s="618">
        <v>6</v>
      </c>
      <c r="F110" s="850"/>
      <c r="G110" s="845">
        <f t="shared" si="4"/>
        <v>0</v>
      </c>
      <c r="H110" s="846">
        <v>0</v>
      </c>
      <c r="I110" s="619">
        <f t="shared" si="5"/>
        <v>0</v>
      </c>
    </row>
    <row r="111" spans="1:9" s="620" customFormat="1" ht="15" x14ac:dyDescent="0.25">
      <c r="A111" s="615">
        <v>85</v>
      </c>
      <c r="B111" s="616">
        <v>420204</v>
      </c>
      <c r="C111" s="617" t="s">
        <v>1046</v>
      </c>
      <c r="D111" s="617" t="s">
        <v>275</v>
      </c>
      <c r="E111" s="618">
        <v>12</v>
      </c>
      <c r="F111" s="850"/>
      <c r="G111" s="845">
        <f t="shared" si="4"/>
        <v>0</v>
      </c>
      <c r="H111" s="846">
        <v>0</v>
      </c>
      <c r="I111" s="619">
        <f t="shared" si="5"/>
        <v>0</v>
      </c>
    </row>
    <row r="112" spans="1:9" s="620" customFormat="1" ht="15" x14ac:dyDescent="0.25">
      <c r="A112" s="615">
        <v>86</v>
      </c>
      <c r="B112" s="616">
        <v>420212</v>
      </c>
      <c r="C112" s="617" t="s">
        <v>1047</v>
      </c>
      <c r="D112" s="617" t="s">
        <v>275</v>
      </c>
      <c r="E112" s="618">
        <v>6</v>
      </c>
      <c r="F112" s="850"/>
      <c r="G112" s="845">
        <f t="shared" si="4"/>
        <v>0</v>
      </c>
      <c r="H112" s="846">
        <v>0</v>
      </c>
      <c r="I112" s="619">
        <f t="shared" si="5"/>
        <v>0</v>
      </c>
    </row>
    <row r="113" spans="1:9" s="606" customFormat="1" ht="12.95" customHeight="1" x14ac:dyDescent="0.2">
      <c r="A113" s="904"/>
      <c r="B113" s="725"/>
      <c r="C113" s="726"/>
      <c r="D113" s="726"/>
      <c r="E113" s="757"/>
      <c r="F113" s="915"/>
      <c r="G113" s="906"/>
      <c r="H113" s="907"/>
      <c r="I113" s="908"/>
    </row>
    <row r="114" spans="1:9" s="322" customFormat="1" ht="15" x14ac:dyDescent="0.25">
      <c r="A114" s="909"/>
      <c r="B114" s="731"/>
      <c r="C114" s="732" t="s">
        <v>458</v>
      </c>
      <c r="D114" s="733" t="s">
        <v>37</v>
      </c>
      <c r="E114" s="910"/>
      <c r="F114" s="911"/>
      <c r="G114" s="912">
        <f>SUM(G102:G113)</f>
        <v>0</v>
      </c>
      <c r="H114" s="913"/>
      <c r="I114" s="914"/>
    </row>
    <row r="115" spans="1:9" s="315" customFormat="1" ht="15" x14ac:dyDescent="0.25">
      <c r="A115" s="709"/>
      <c r="B115" s="710"/>
      <c r="C115" s="710"/>
      <c r="D115" s="759"/>
      <c r="E115" s="740"/>
      <c r="F115" s="916"/>
      <c r="G115" s="916"/>
      <c r="H115" s="916"/>
      <c r="I115" s="917"/>
    </row>
    <row r="116" spans="1:9" s="315" customFormat="1" ht="15" x14ac:dyDescent="0.25">
      <c r="A116" s="709"/>
      <c r="B116" s="710" t="s">
        <v>988</v>
      </c>
      <c r="C116" s="710" t="s">
        <v>985</v>
      </c>
      <c r="D116" s="751"/>
      <c r="E116" s="711"/>
      <c r="F116" s="898"/>
      <c r="G116" s="898"/>
      <c r="H116" s="898"/>
      <c r="I116" s="899"/>
    </row>
    <row r="117" spans="1:9" s="620" customFormat="1" ht="15" x14ac:dyDescent="0.25">
      <c r="A117" s="615">
        <v>87</v>
      </c>
      <c r="B117" s="616">
        <v>210950321</v>
      </c>
      <c r="C117" s="617" t="s">
        <v>903</v>
      </c>
      <c r="D117" s="617" t="s">
        <v>435</v>
      </c>
      <c r="E117" s="618">
        <v>663</v>
      </c>
      <c r="F117" s="850"/>
      <c r="G117" s="845">
        <f t="shared" ref="G117:G124" si="6">E117*F117</f>
        <v>0</v>
      </c>
      <c r="H117" s="846">
        <v>9.0999999999999998E-2</v>
      </c>
      <c r="I117" s="619">
        <f t="shared" ref="I117:I124" si="7">E117*H117</f>
        <v>60.332999999999998</v>
      </c>
    </row>
    <row r="118" spans="1:9" s="620" customFormat="1" ht="15" x14ac:dyDescent="0.25">
      <c r="A118" s="615">
        <v>88</v>
      </c>
      <c r="B118" s="616">
        <v>210950321</v>
      </c>
      <c r="C118" s="617" t="s">
        <v>903</v>
      </c>
      <c r="D118" s="617" t="s">
        <v>435</v>
      </c>
      <c r="E118" s="618">
        <v>2</v>
      </c>
      <c r="F118" s="850"/>
      <c r="G118" s="845">
        <f t="shared" si="6"/>
        <v>0</v>
      </c>
      <c r="H118" s="846">
        <v>9.0999999999999998E-2</v>
      </c>
      <c r="I118" s="619">
        <f t="shared" si="7"/>
        <v>0.182</v>
      </c>
    </row>
    <row r="119" spans="1:9" s="620" customFormat="1" ht="15" x14ac:dyDescent="0.25">
      <c r="A119" s="615">
        <v>89</v>
      </c>
      <c r="B119" s="616">
        <v>210010301</v>
      </c>
      <c r="C119" s="617" t="s">
        <v>312</v>
      </c>
      <c r="D119" s="617" t="s">
        <v>275</v>
      </c>
      <c r="E119" s="618">
        <v>11</v>
      </c>
      <c r="F119" s="850"/>
      <c r="G119" s="845">
        <f t="shared" si="6"/>
        <v>0</v>
      </c>
      <c r="H119" s="846">
        <v>9.0999999999999998E-2</v>
      </c>
      <c r="I119" s="619">
        <f t="shared" si="7"/>
        <v>1.0009999999999999</v>
      </c>
    </row>
    <row r="120" spans="1:9" s="620" customFormat="1" ht="15" x14ac:dyDescent="0.25">
      <c r="A120" s="615">
        <v>90</v>
      </c>
      <c r="B120" s="616">
        <v>210010003</v>
      </c>
      <c r="C120" s="617" t="s">
        <v>906</v>
      </c>
      <c r="D120" s="617" t="s">
        <v>435</v>
      </c>
      <c r="E120" s="618">
        <v>16</v>
      </c>
      <c r="F120" s="850"/>
      <c r="G120" s="845">
        <f t="shared" si="6"/>
        <v>0</v>
      </c>
      <c r="H120" s="846">
        <v>8.2000000000000003E-2</v>
      </c>
      <c r="I120" s="619">
        <f t="shared" si="7"/>
        <v>1.3120000000000001</v>
      </c>
    </row>
    <row r="121" spans="1:9" s="620" customFormat="1" ht="15" x14ac:dyDescent="0.25">
      <c r="A121" s="615">
        <v>91</v>
      </c>
      <c r="B121" s="616">
        <v>210010105</v>
      </c>
      <c r="C121" s="617" t="s">
        <v>575</v>
      </c>
      <c r="D121" s="617" t="s">
        <v>435</v>
      </c>
      <c r="E121" s="618">
        <v>87</v>
      </c>
      <c r="F121" s="850"/>
      <c r="G121" s="845">
        <f t="shared" ref="G121" si="8">E121*F121</f>
        <v>0</v>
      </c>
      <c r="H121" s="846">
        <v>0.17100000000000001</v>
      </c>
      <c r="I121" s="619">
        <f t="shared" ref="I121" si="9">E121*H121</f>
        <v>14.877000000000001</v>
      </c>
    </row>
    <row r="122" spans="1:9" s="620" customFormat="1" ht="15" x14ac:dyDescent="0.25">
      <c r="A122" s="615">
        <v>92</v>
      </c>
      <c r="B122" s="616">
        <v>210010105</v>
      </c>
      <c r="C122" s="617" t="s">
        <v>575</v>
      </c>
      <c r="D122" s="617" t="s">
        <v>435</v>
      </c>
      <c r="E122" s="618">
        <v>15</v>
      </c>
      <c r="F122" s="850"/>
      <c r="G122" s="845">
        <f t="shared" si="6"/>
        <v>0</v>
      </c>
      <c r="H122" s="846">
        <v>0.17100000000000001</v>
      </c>
      <c r="I122" s="619">
        <f t="shared" si="7"/>
        <v>2.5650000000000004</v>
      </c>
    </row>
    <row r="123" spans="1:9" s="620" customFormat="1" ht="15" x14ac:dyDescent="0.25">
      <c r="A123" s="615">
        <v>93</v>
      </c>
      <c r="B123" s="616">
        <v>210111325</v>
      </c>
      <c r="C123" s="617" t="s">
        <v>916</v>
      </c>
      <c r="D123" s="617" t="s">
        <v>275</v>
      </c>
      <c r="E123" s="618">
        <v>5</v>
      </c>
      <c r="F123" s="850"/>
      <c r="G123" s="845">
        <f t="shared" si="6"/>
        <v>0</v>
      </c>
      <c r="H123" s="846">
        <v>3.44</v>
      </c>
      <c r="I123" s="619">
        <f t="shared" si="7"/>
        <v>17.2</v>
      </c>
    </row>
    <row r="124" spans="1:9" s="620" customFormat="1" ht="15" x14ac:dyDescent="0.25">
      <c r="A124" s="615">
        <v>94</v>
      </c>
      <c r="B124" s="616">
        <v>210111312</v>
      </c>
      <c r="C124" s="617" t="s">
        <v>1048</v>
      </c>
      <c r="D124" s="617" t="s">
        <v>275</v>
      </c>
      <c r="E124" s="618">
        <v>6</v>
      </c>
      <c r="F124" s="850"/>
      <c r="G124" s="845">
        <f t="shared" si="6"/>
        <v>0</v>
      </c>
      <c r="H124" s="846">
        <v>0.73</v>
      </c>
      <c r="I124" s="619">
        <f t="shared" si="7"/>
        <v>4.38</v>
      </c>
    </row>
    <row r="125" spans="1:9" s="606" customFormat="1" ht="12.95" customHeight="1" x14ac:dyDescent="0.2">
      <c r="A125" s="904"/>
      <c r="B125" s="725"/>
      <c r="C125" s="726"/>
      <c r="D125" s="726"/>
      <c r="E125" s="757"/>
      <c r="F125" s="905"/>
      <c r="G125" s="906"/>
      <c r="H125" s="907"/>
      <c r="I125" s="908"/>
    </row>
    <row r="126" spans="1:9" s="315" customFormat="1" ht="15" x14ac:dyDescent="0.25">
      <c r="A126" s="909"/>
      <c r="B126" s="731"/>
      <c r="C126" s="732" t="s">
        <v>459</v>
      </c>
      <c r="D126" s="733" t="s">
        <v>37</v>
      </c>
      <c r="E126" s="910"/>
      <c r="F126" s="911"/>
      <c r="G126" s="912">
        <f>SUM(G117:G125)</f>
        <v>0</v>
      </c>
      <c r="H126" s="913"/>
      <c r="I126" s="914"/>
    </row>
    <row r="127" spans="1:9" s="315" customFormat="1" ht="15" x14ac:dyDescent="0.25">
      <c r="A127" s="709"/>
      <c r="B127" s="918"/>
      <c r="C127" s="710"/>
      <c r="D127" s="740"/>
      <c r="E127" s="711"/>
      <c r="F127" s="919"/>
      <c r="G127" s="916"/>
      <c r="H127" s="920"/>
      <c r="I127" s="921"/>
    </row>
    <row r="128" spans="1:9" s="315" customFormat="1" ht="15.75" thickBot="1" x14ac:dyDescent="0.3">
      <c r="A128" s="761"/>
      <c r="B128" s="762"/>
      <c r="C128" s="762"/>
      <c r="D128" s="763"/>
      <c r="E128" s="764"/>
      <c r="F128" s="765"/>
      <c r="G128" s="766"/>
      <c r="H128" s="765"/>
      <c r="I128" s="767"/>
    </row>
    <row r="129" spans="1:9" x14ac:dyDescent="0.2">
      <c r="A129" s="480"/>
      <c r="B129" s="481"/>
      <c r="C129" s="482"/>
      <c r="D129" s="483"/>
      <c r="E129" s="484"/>
      <c r="F129" s="485"/>
      <c r="G129" s="535"/>
      <c r="H129" s="484"/>
      <c r="I129" s="484"/>
    </row>
    <row r="130" spans="1:9" x14ac:dyDescent="0.2">
      <c r="A130" s="480"/>
      <c r="B130" s="481"/>
      <c r="C130" s="482"/>
      <c r="D130" s="483"/>
      <c r="E130" s="484"/>
      <c r="F130" s="485"/>
      <c r="G130" s="535"/>
      <c r="H130" s="484"/>
      <c r="I130" s="484"/>
    </row>
    <row r="131" spans="1:9" x14ac:dyDescent="0.2">
      <c r="A131" s="500"/>
      <c r="B131" s="486"/>
      <c r="C131" s="487"/>
      <c r="D131" s="488"/>
      <c r="E131" s="489"/>
      <c r="F131" s="490"/>
      <c r="G131" s="536"/>
      <c r="H131" s="489"/>
      <c r="I131" s="489"/>
    </row>
    <row r="132" spans="1:9" x14ac:dyDescent="0.2">
      <c r="A132" s="500"/>
      <c r="B132" s="486"/>
      <c r="C132" s="487"/>
      <c r="D132" s="488"/>
      <c r="E132" s="489"/>
      <c r="F132" s="490"/>
      <c r="G132" s="536"/>
      <c r="H132" s="489"/>
      <c r="I132" s="489"/>
    </row>
    <row r="133" spans="1:9" x14ac:dyDescent="0.2">
      <c r="A133" s="500"/>
      <c r="B133" s="486"/>
      <c r="C133" s="487"/>
      <c r="D133" s="488"/>
      <c r="E133" s="489"/>
      <c r="F133" s="490"/>
      <c r="G133" s="536"/>
      <c r="H133" s="489"/>
      <c r="I133" s="489"/>
    </row>
    <row r="134" spans="1:9" x14ac:dyDescent="0.2">
      <c r="A134" s="500"/>
      <c r="B134" s="486"/>
      <c r="C134" s="487"/>
      <c r="D134" s="488"/>
      <c r="E134" s="489"/>
      <c r="F134" s="490"/>
      <c r="G134" s="536"/>
      <c r="H134" s="489"/>
      <c r="I134" s="489"/>
    </row>
    <row r="135" spans="1:9" x14ac:dyDescent="0.2">
      <c r="A135" s="500"/>
      <c r="B135" s="486"/>
      <c r="C135" s="487"/>
      <c r="D135" s="488"/>
      <c r="E135" s="489"/>
      <c r="F135" s="490"/>
      <c r="G135" s="536"/>
      <c r="H135" s="489"/>
      <c r="I135" s="489"/>
    </row>
    <row r="136" spans="1:9" x14ac:dyDescent="0.2">
      <c r="A136" s="500"/>
      <c r="B136" s="486"/>
      <c r="C136" s="487"/>
      <c r="D136" s="488"/>
      <c r="E136" s="489"/>
      <c r="F136" s="490"/>
      <c r="G136" s="537"/>
      <c r="H136" s="487"/>
      <c r="I136" s="487"/>
    </row>
    <row r="137" spans="1:9" x14ac:dyDescent="0.2">
      <c r="A137" s="500"/>
      <c r="B137" s="486"/>
      <c r="C137" s="487"/>
      <c r="D137" s="488"/>
      <c r="E137" s="489"/>
      <c r="F137" s="490"/>
      <c r="G137" s="537"/>
      <c r="H137" s="487"/>
      <c r="I137" s="487"/>
    </row>
    <row r="138" spans="1:9" x14ac:dyDescent="0.2">
      <c r="A138" s="500"/>
      <c r="B138" s="486"/>
      <c r="C138" s="487"/>
      <c r="D138" s="488"/>
      <c r="E138" s="489"/>
      <c r="F138" s="490"/>
      <c r="G138" s="537"/>
      <c r="H138" s="487"/>
      <c r="I138" s="487"/>
    </row>
    <row r="139" spans="1:9" x14ac:dyDescent="0.2">
      <c r="A139" s="500"/>
      <c r="B139" s="486"/>
      <c r="C139" s="487"/>
      <c r="D139" s="488"/>
      <c r="E139" s="489"/>
      <c r="F139" s="490"/>
      <c r="G139" s="537"/>
      <c r="H139" s="487"/>
      <c r="I139" s="487"/>
    </row>
    <row r="140" spans="1:9" x14ac:dyDescent="0.2">
      <c r="A140" s="500"/>
      <c r="B140" s="486"/>
      <c r="C140" s="487"/>
      <c r="D140" s="488"/>
      <c r="E140" s="489"/>
      <c r="F140" s="490"/>
      <c r="G140" s="537"/>
      <c r="H140" s="487"/>
      <c r="I140" s="487"/>
    </row>
    <row r="141" spans="1:9" x14ac:dyDescent="0.2">
      <c r="A141" s="500"/>
      <c r="B141" s="486"/>
      <c r="C141" s="491"/>
      <c r="D141" s="492"/>
      <c r="E141" s="493"/>
      <c r="F141" s="494"/>
      <c r="G141" s="538"/>
      <c r="H141" s="491"/>
      <c r="I141" s="491"/>
    </row>
    <row r="142" spans="1:9" x14ac:dyDescent="0.2">
      <c r="A142" s="500"/>
      <c r="B142" s="486"/>
      <c r="C142" s="491"/>
      <c r="D142" s="492"/>
      <c r="E142" s="493"/>
      <c r="F142" s="494"/>
      <c r="G142" s="538"/>
      <c r="H142" s="491"/>
      <c r="I142" s="491"/>
    </row>
    <row r="143" spans="1:9" x14ac:dyDescent="0.2">
      <c r="A143" s="500"/>
      <c r="B143" s="486"/>
      <c r="C143" s="491"/>
      <c r="D143" s="492"/>
      <c r="E143" s="493"/>
      <c r="F143" s="494"/>
      <c r="G143" s="538"/>
      <c r="H143" s="491"/>
      <c r="I143" s="491"/>
    </row>
    <row r="144" spans="1:9" x14ac:dyDescent="0.2">
      <c r="A144" s="500"/>
      <c r="B144" s="486"/>
      <c r="C144" s="491"/>
      <c r="D144" s="492"/>
      <c r="E144" s="493"/>
      <c r="F144" s="494"/>
      <c r="G144" s="538"/>
      <c r="H144" s="491"/>
      <c r="I144" s="491"/>
    </row>
  </sheetData>
  <autoFilter ref="A7:I128"/>
  <customSheetViews>
    <customSheetView guid="{30B10D60-758F-4E0B-9F03-5879C6CAFDF6}" scale="130" showPageBreaks="1" showAutoFilter="1" view="pageBreakPreview">
      <pane ySplit="7" topLeftCell="A8" activePane="bottomLeft" state="frozen"/>
      <selection pane="bottomLeft" activeCell="M16" sqref="M16"/>
      <rowBreaks count="1" manualBreakCount="1">
        <brk id="50" max="16383" man="1"/>
      </rowBreaks>
      <pageMargins left="0.70866141732283472" right="0.70866141732283472" top="0.78740157480314965" bottom="0.78740157480314965" header="0.31496062992125984" footer="0.31496062992125984"/>
      <pageSetup paperSize="9" scale="98" orientation="landscape" r:id="rId1"/>
      <headerFooter>
        <oddFooter>&amp;Cslaboproudá elektrotechnika&amp;Rstránka &amp;P z &amp;N</oddFooter>
      </headerFooter>
      <autoFilter ref="A7:I128"/>
    </customSheetView>
  </customSheetViews>
  <mergeCells count="1">
    <mergeCell ref="A4:I4"/>
  </mergeCells>
  <phoneticPr fontId="73" type="noConversion"/>
  <pageMargins left="0.70866141732283472" right="0.70866141732283472" top="0.78740157480314965" bottom="0.78740157480314965" header="0.31496062992125984" footer="0.31496062992125984"/>
  <pageSetup paperSize="9" scale="98" orientation="landscape" r:id="rId2"/>
  <headerFooter>
    <oddFooter>&amp;Cslaboproudá elektrotechnika&amp;Rstránka &amp;P z &amp;N</oddFooter>
  </headerFooter>
  <rowBreaks count="1" manualBreakCount="1">
    <brk id="50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15</vt:i4>
      </vt:variant>
    </vt:vector>
  </HeadingPairs>
  <TitlesOfParts>
    <vt:vector size="41" baseType="lpstr">
      <vt:lpstr>SO01 Krycí list</vt:lpstr>
      <vt:lpstr>SO01 rekap</vt:lpstr>
      <vt:lpstr>VRN</vt:lpstr>
      <vt:lpstr>01 Stavební</vt:lpstr>
      <vt:lpstr>01rek</vt:lpstr>
      <vt:lpstr>01Položky</vt:lpstr>
      <vt:lpstr>01 výpočet výměr</vt:lpstr>
      <vt:lpstr>02 VYTÁPĚNÍ</vt:lpstr>
      <vt:lpstr>02 VYTÁPĚNÍ rek</vt:lpstr>
      <vt:lpstr>02 VYTÁPĚNÍ pol</vt:lpstr>
      <vt:lpstr>03 VZT</vt:lpstr>
      <vt:lpstr>03rek</vt:lpstr>
      <vt:lpstr>03pol</vt:lpstr>
      <vt:lpstr>05 ZTI</vt:lpstr>
      <vt:lpstr>05rek</vt:lpstr>
      <vt:lpstr>05pol</vt:lpstr>
      <vt:lpstr>06 medicinální plyny </vt:lpstr>
      <vt:lpstr>06rek </vt:lpstr>
      <vt:lpstr>06pol </vt:lpstr>
      <vt:lpstr>07 silnoproud</vt:lpstr>
      <vt:lpstr>07rek</vt:lpstr>
      <vt:lpstr>07pol</vt:lpstr>
      <vt:lpstr>07spec</vt:lpstr>
      <vt:lpstr>08 slaboproud</vt:lpstr>
      <vt:lpstr>08rek</vt:lpstr>
      <vt:lpstr>08pol</vt:lpstr>
      <vt:lpstr>'01Položky'!Názvy_tisku</vt:lpstr>
      <vt:lpstr>'02 VYTÁPĚNÍ pol'!Názvy_tisku</vt:lpstr>
      <vt:lpstr>'03pol'!Názvy_tisku</vt:lpstr>
      <vt:lpstr>'05pol'!Názvy_tisku</vt:lpstr>
      <vt:lpstr>'06pol '!Názvy_tisku</vt:lpstr>
      <vt:lpstr>'07pol'!Názvy_tisku</vt:lpstr>
      <vt:lpstr>'07spec'!Názvy_tisku</vt:lpstr>
      <vt:lpstr>'08pol'!Názvy_tisku</vt:lpstr>
      <vt:lpstr>'01Položky'!Oblast_tisku</vt:lpstr>
      <vt:lpstr>'02 VYTÁPĚNÍ pol'!Oblast_tisku</vt:lpstr>
      <vt:lpstr>'03pol'!Oblast_tisku</vt:lpstr>
      <vt:lpstr>'05pol'!Oblast_tisku</vt:lpstr>
      <vt:lpstr>'SO01 rekap'!Oblast_tisku</vt:lpstr>
      <vt:lpstr>VRN!Oblast_tisku</vt:lpstr>
      <vt:lpstr>PocetMJ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Polisensky</cp:lastModifiedBy>
  <cp:lastPrinted>2016-09-01T13:52:23Z</cp:lastPrinted>
  <dcterms:created xsi:type="dcterms:W3CDTF">2007-10-16T11:08:58Z</dcterms:created>
  <dcterms:modified xsi:type="dcterms:W3CDTF">2016-09-22T10:29:50Z</dcterms:modified>
</cp:coreProperties>
</file>