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2"/>
  </bookViews>
  <sheets>
    <sheet name="Stavební rozpočet" sheetId="1" r:id="rId1"/>
    <sheet name="Rozpočet -rekapitulace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<sst xmlns="http://schemas.openxmlformats.org/spreadsheetml/2006/main" count="244" uniqueCount="142">
  <si>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</si>
  <si>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</si>
  <si>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</si>
  <si>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</si>
  <si>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</si>
  <si>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</si>
  <si>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</si>
  <si>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</si>
  <si>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</si>
  <si>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</si>
  <si>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</si>
  <si>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</si>
  <si>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</si>
  <si>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</si>
  <si>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Poznámka:</t>
  </si>
  <si>
    <t>Objekt</t>
  </si>
  <si>
    <t>Kód</t>
  </si>
  <si>
    <t>32</t>
  </si>
  <si>
    <t>320101112.1</t>
  </si>
  <si>
    <t>58345100.1</t>
  </si>
  <si>
    <t>62</t>
  </si>
  <si>
    <t>620100</t>
  </si>
  <si>
    <t>620901</t>
  </si>
  <si>
    <t>620902</t>
  </si>
  <si>
    <t>620903</t>
  </si>
  <si>
    <t>90</t>
  </si>
  <si>
    <t>900.1</t>
  </si>
  <si>
    <t>Úprava prostoru před hlavním vstupem do nové Městské knhovna vŠumperk</t>
  </si>
  <si>
    <t>Repasování fasádních prvků, umělecko řemeslné práce</t>
  </si>
  <si>
    <t>Šumperk</t>
  </si>
  <si>
    <t>Zkrácený popis / Varianta</t>
  </si>
  <si>
    <t>Rozměry</t>
  </si>
  <si>
    <t>Zdi přehradní a opěrné</t>
  </si>
  <si>
    <t>Osazení žulového kamenného bloku 0,4x0,6x2,5m hmotnost 1750 kg</t>
  </si>
  <si>
    <t>vč dodávky nerezových trnů prům 20mm, dl.0,5m</t>
  </si>
  <si>
    <t>Žulový blok 0,4x0,6x2,5m, pemrlovaný povrch; hmotnost 1750kg</t>
  </si>
  <si>
    <t>Úprava povrchů vnější</t>
  </si>
  <si>
    <t>Repasování vstupního portálu do knihovny vč.konečného hydrofobního nátěru</t>
  </si>
  <si>
    <t>Povrch umělý kámen (pemrlované teraco, ukončené na hranách šanýrem); rozvinutá plocha 23,60m2; cena dle návrhu restaurátora</t>
  </si>
  <si>
    <t>Repase nadokenníku (0,41x2,2m) z umělého kamene - terasová pemrlovaná omítka</t>
  </si>
  <si>
    <t>doplnění chybějícího materiálu, pemrlování, obnova šanýru, repase a vyčištění stávajícího povrchu, hydrofobní nátěr</t>
  </si>
  <si>
    <t>Repase nadokenníku (0,41x2,1m) z umělého kamene - terasová pemrlovaná omítka</t>
  </si>
  <si>
    <t>repase a vyčištění stávajícího povrchu, hydrofobní nátěr</t>
  </si>
  <si>
    <t>Provedení parapetu (0,2x1,6m) z umělého kamene - terasová pemrlovaná omítka</t>
  </si>
  <si>
    <t>teracová omítka, pemrlování povrchu, hydroforní nátěr</t>
  </si>
  <si>
    <t>Hodinové zúčtovací sazby (HZS)</t>
  </si>
  <si>
    <t>HZS-demontáž a osazení bysty T.G.Masaryka</t>
  </si>
  <si>
    <t>umělecko-řemeslné práce</t>
  </si>
  <si>
    <t>Doba výstavby:</t>
  </si>
  <si>
    <t>Začátek výstavby:</t>
  </si>
  <si>
    <t>Konec výstavby:</t>
  </si>
  <si>
    <t>Zpracováno dne:</t>
  </si>
  <si>
    <t>M.j.</t>
  </si>
  <si>
    <t>ks</t>
  </si>
  <si>
    <t>t</t>
  </si>
  <si>
    <t>kompl.</t>
  </si>
  <si>
    <t>h</t>
  </si>
  <si>
    <t>Množství</t>
  </si>
  <si>
    <t>05.02.2018</t>
  </si>
  <si>
    <t>17.12.2017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</si>
  <si>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</si>
  <si>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</si>
  <si>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</si>
  <si>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</si>
  <si>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</si>
  <si>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</si>
  <si>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</si>
  <si>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</si>
  <si>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</si>
  <si>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</si>
  <si>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Šumperk</t>
  </si>
  <si>
    <t>Ing.Ladislav Trčka</t>
  </si>
  <si>
    <t>Restaurátor s oprávněním</t>
  </si>
  <si>
    <t>Celkem</t>
  </si>
  <si>
    <t>Hmotnost (t)</t>
  </si>
  <si>
    <t>Cenová</t>
  </si>
  <si>
    <t>soustava</t>
  </si>
  <si>
    <t>RTS II / 2017</t>
  </si>
  <si>
    <t>R položka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</si>
  <si>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</si>
  <si>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</si>
  <si>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</si>
  <si>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</si>
  <si>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</si>
  <si>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</si>
  <si>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</si>
  <si>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</si>
  <si>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</si>
  <si>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32_</t>
  </si>
  <si>
    <t>62_</t>
  </si>
  <si>
    <t>90_</t>
  </si>
  <si>
    <t>3_</t>
  </si>
  <si>
    <t>6_</t>
  </si>
  <si>
    <t>9_</t>
  </si>
  <si>
    <t>_</t>
  </si>
  <si>
    <t>Zkrácený popis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</si>
  <si>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</si>
  <si>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</si>
  <si>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</si>
  <si>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</si>
  <si>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</si>
  <si>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</si>
  <si>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</si>
  <si>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</si>
  <si>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</si>
  <si>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</si>
  <si>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</si>
  <si>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</si>
  <si>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</si>
  <si>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</si>
  <si>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</si>
  <si>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</si>
  <si>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</si>
  <si>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</si>
  <si>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</si>
  <si>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</si>
  <si>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</si>
  <si>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</si>
  <si>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</si>
  <si>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</si>
  <si>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</si>
  <si>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</si>
  <si>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</si>
  <si>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</si>
  <si>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</si>
  <si>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</si>
  <si>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</si>
  <si>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</si>
  <si>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</si>
  <si>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</si>
  <si>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</si>
  <si>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</si>
  <si>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</si>
  <si>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</si>
  <si>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</si>
  <si>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</si>
  <si>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</si>
  <si>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</si>
  <si>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</si>
  <si>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</si>
  <si>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</si>
  <si>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Slepý stavební rozpočet -rekapitulace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</si>
</sst>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59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7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49" fontId="1" fillId="0" borderId="17" xfId="0" applyNumberFormat="1" applyFont="1" applyFill="1" applyBorder="1" applyAlignment="1" applyProtection="1">
      <alignment vertical="center"/>
      <protection/>
    </xf>
    <xf numFmtId="49" fontId="8" fillId="33" borderId="13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8" fillId="33" borderId="13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3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1" fillId="0" borderId="16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11" fillId="34" borderId="30" xfId="0" applyNumberFormat="1" applyFont="1" applyFill="1" applyBorder="1" applyAlignment="1" applyProtection="1">
      <alignment horizontal="center" vertical="center"/>
      <protection/>
    </xf>
    <xf numFmtId="49" fontId="12" fillId="0" borderId="31" xfId="0" applyNumberFormat="1" applyFont="1" applyFill="1" applyBorder="1" applyAlignment="1" applyProtection="1">
      <alignment vertical="center"/>
      <protection/>
    </xf>
    <xf numFmtId="49" fontId="12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13" fillId="0" borderId="30" xfId="0" applyNumberFormat="1" applyFont="1" applyFill="1" applyBorder="1" applyAlignment="1" applyProtection="1">
      <alignment vertical="center"/>
      <protection/>
    </xf>
    <xf numFmtId="4" fontId="13" fillId="0" borderId="30" xfId="0" applyNumberFormat="1" applyFont="1" applyFill="1" applyBorder="1" applyAlignment="1" applyProtection="1">
      <alignment horizontal="right" vertical="center"/>
      <protection/>
    </xf>
    <xf numFmtId="49" fontId="13" fillId="0" borderId="30" xfId="0" applyNumberFormat="1" applyFont="1" applyFill="1" applyBorder="1" applyAlignment="1" applyProtection="1">
      <alignment horizontal="right" vertical="center"/>
      <protection/>
    </xf>
    <xf numFmtId="4" fontId="13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" fontId="12" fillId="34" borderId="36" xfId="0" applyNumberFormat="1" applyFont="1" applyFill="1" applyBorder="1" applyAlignment="1" applyProtection="1">
      <alignment horizontal="right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vertical="center"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0" fontId="1" fillId="0" borderId="43" xfId="0" applyNumberFormat="1" applyFont="1" applyFill="1" applyBorder="1" applyAlignment="1" applyProtection="1">
      <alignment vertical="center"/>
      <protection/>
    </xf>
    <xf numFmtId="49" fontId="1" fillId="0" borderId="44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45" xfId="0" applyNumberFormat="1" applyFont="1" applyFill="1" applyBorder="1" applyAlignment="1" applyProtection="1">
      <alignment vertical="center"/>
      <protection/>
    </xf>
    <xf numFmtId="49" fontId="3" fillId="0" borderId="41" xfId="0" applyNumberFormat="1" applyFont="1" applyFill="1" applyBorder="1" applyAlignment="1" applyProtection="1">
      <alignment vertical="center"/>
      <protection/>
    </xf>
    <xf numFmtId="0" fontId="3" fillId="0" borderId="42" xfId="0" applyNumberFormat="1" applyFont="1" applyFill="1" applyBorder="1" applyAlignment="1" applyProtection="1">
      <alignment vertical="center"/>
      <protection/>
    </xf>
    <xf numFmtId="0" fontId="3" fillId="0" borderId="46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vertical="center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0" fontId="1" fillId="0" borderId="47" xfId="0" applyNumberFormat="1" applyFont="1" applyFill="1" applyBorder="1" applyAlignment="1" applyProtection="1">
      <alignment vertical="center"/>
      <protection/>
    </xf>
    <xf numFmtId="49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 applyProtection="1">
      <alignment horizontal="center" vertical="center"/>
      <protection/>
    </xf>
    <xf numFmtId="49" fontId="14" fillId="0" borderId="35" xfId="0" applyNumberFormat="1" applyFont="1" applyFill="1" applyBorder="1" applyAlignment="1" applyProtection="1">
      <alignment vertical="center"/>
      <protection/>
    </xf>
    <xf numFmtId="0" fontId="14" fillId="0" borderId="36" xfId="0" applyNumberFormat="1" applyFont="1" applyFill="1" applyBorder="1" applyAlignment="1" applyProtection="1">
      <alignment vertical="center"/>
      <protection/>
    </xf>
    <xf numFmtId="49" fontId="13" fillId="0" borderId="35" xfId="0" applyNumberFormat="1" applyFont="1" applyFill="1" applyBorder="1" applyAlignment="1" applyProtection="1">
      <alignment vertical="center"/>
      <protection/>
    </xf>
    <xf numFmtId="0" fontId="13" fillId="0" borderId="36" xfId="0" applyNumberFormat="1" applyFont="1" applyFill="1" applyBorder="1" applyAlignment="1" applyProtection="1">
      <alignment vertical="center"/>
      <protection/>
    </xf>
    <xf numFmtId="49" fontId="12" fillId="0" borderId="35" xfId="0" applyNumberFormat="1" applyFont="1" applyFill="1" applyBorder="1" applyAlignment="1" applyProtection="1">
      <alignment vertical="center"/>
      <protection/>
    </xf>
    <xf numFmtId="0" fontId="12" fillId="0" borderId="36" xfId="0" applyNumberFormat="1" applyFont="1" applyFill="1" applyBorder="1" applyAlignment="1" applyProtection="1">
      <alignment vertical="center"/>
      <protection/>
    </xf>
    <xf numFmtId="49" fontId="12" fillId="34" borderId="35" xfId="0" applyNumberFormat="1" applyFont="1" applyFill="1" applyBorder="1" applyAlignment="1" applyProtection="1">
      <alignment vertical="center"/>
      <protection/>
    </xf>
    <xf numFmtId="0" fontId="12" fillId="34" borderId="48" xfId="0" applyNumberFormat="1" applyFont="1" applyFill="1" applyBorder="1" applyAlignment="1" applyProtection="1">
      <alignment vertical="center"/>
      <protection/>
    </xf>
    <xf numFmtId="49" fontId="13" fillId="0" borderId="49" xfId="0" applyNumberFormat="1" applyFont="1" applyFill="1" applyBorder="1" applyAlignment="1" applyProtection="1">
      <alignment vertical="center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3" fillId="0" borderId="45" xfId="0" applyNumberFormat="1" applyFont="1" applyFill="1" applyBorder="1" applyAlignment="1" applyProtection="1">
      <alignment vertical="center"/>
      <protection/>
    </xf>
    <xf numFmtId="49" fontId="13" fillId="0" borderId="27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50" xfId="0" applyNumberFormat="1" applyFont="1" applyFill="1" applyBorder="1" applyAlignment="1" applyProtection="1">
      <alignment vertical="center"/>
      <protection/>
    </xf>
    <xf numFmtId="49" fontId="13" fillId="0" borderId="51" xfId="0" applyNumberFormat="1" applyFont="1" applyFill="1" applyBorder="1" applyAlignment="1" applyProtection="1">
      <alignment vertical="center"/>
      <protection/>
    </xf>
    <xf numFmtId="0" fontId="13" fillId="0" borderId="42" xfId="0" applyNumberFormat="1" applyFont="1" applyFill="1" applyBorder="1" applyAlignment="1" applyProtection="1">
      <alignment vertical="center"/>
      <protection/>
    </xf>
    <xf numFmtId="0" fontId="13" fillId="0" borderId="46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D42" sqref="D42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9.42187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34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ht="12.75">
      <c r="A2" s="62" t="s">
        <v>1</v>
      </c>
      <c r="B2" s="63"/>
      <c r="C2" s="63"/>
      <c r="D2" s="66" t="s">
        <v>27</v>
      </c>
      <c r="E2" s="68" t="s">
        <v>48</v>
      </c>
      <c r="F2" s="63"/>
      <c r="G2" s="68" t="s">
        <v>6</v>
      </c>
      <c r="H2" s="63"/>
      <c r="I2" s="69" t="s">
        <v>65</v>
      </c>
      <c r="J2" s="69" t="s">
        <v>70</v>
      </c>
      <c r="K2" s="63"/>
      <c r="L2" s="63"/>
      <c r="M2" s="70"/>
      <c r="N2" s="1"/>
    </row>
    <row r="3" spans="1:14" ht="12.75">
      <c r="A3" s="64"/>
      <c r="B3" s="65"/>
      <c r="C3" s="65"/>
      <c r="D3" s="67"/>
      <c r="E3" s="65"/>
      <c r="F3" s="65"/>
      <c r="G3" s="65"/>
      <c r="H3" s="65"/>
      <c r="I3" s="65"/>
      <c r="J3" s="65"/>
      <c r="K3" s="65"/>
      <c r="L3" s="65"/>
      <c r="M3" s="71"/>
      <c r="N3" s="1"/>
    </row>
    <row r="4" spans="1:14" ht="12.75">
      <c r="A4" s="72" t="s">
        <v>2</v>
      </c>
      <c r="B4" s="65"/>
      <c r="C4" s="65"/>
      <c r="D4" s="73" t="s">
        <v>28</v>
      </c>
      <c r="E4" s="74" t="s">
        <v>49</v>
      </c>
      <c r="F4" s="65"/>
      <c r="G4" s="74" t="s">
        <v>58</v>
      </c>
      <c r="H4" s="65"/>
      <c r="I4" s="73" t="s">
        <v>66</v>
      </c>
      <c r="J4" s="73" t="s">
        <v>71</v>
      </c>
      <c r="K4" s="65"/>
      <c r="L4" s="65"/>
      <c r="M4" s="71"/>
      <c r="N4" s="1"/>
    </row>
    <row r="5" spans="1:14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71"/>
      <c r="N5" s="1"/>
    </row>
    <row r="6" spans="1:14" ht="12.75">
      <c r="A6" s="72" t="s">
        <v>3</v>
      </c>
      <c r="B6" s="65"/>
      <c r="C6" s="65"/>
      <c r="D6" s="73" t="s">
        <v>29</v>
      </c>
      <c r="E6" s="74" t="s">
        <v>50</v>
      </c>
      <c r="F6" s="65"/>
      <c r="G6" s="74" t="s">
        <v>6</v>
      </c>
      <c r="H6" s="65"/>
      <c r="I6" s="73" t="s">
        <v>67</v>
      </c>
      <c r="J6" s="73" t="s">
        <v>72</v>
      </c>
      <c r="K6" s="65"/>
      <c r="L6" s="65"/>
      <c r="M6" s="71"/>
      <c r="N6" s="1"/>
    </row>
    <row r="7" spans="1:14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71"/>
      <c r="N7" s="1"/>
    </row>
    <row r="8" spans="1:14" ht="12.75">
      <c r="A8" s="72" t="s">
        <v>4</v>
      </c>
      <c r="B8" s="65"/>
      <c r="C8" s="65"/>
      <c r="D8" s="73" t="s">
        <v>6</v>
      </c>
      <c r="E8" s="74" t="s">
        <v>51</v>
      </c>
      <c r="F8" s="65"/>
      <c r="G8" s="74" t="s">
        <v>59</v>
      </c>
      <c r="H8" s="65"/>
      <c r="I8" s="73" t="s">
        <v>68</v>
      </c>
      <c r="J8" s="73" t="s">
        <v>6</v>
      </c>
      <c r="K8" s="65"/>
      <c r="L8" s="65"/>
      <c r="M8" s="71"/>
      <c r="N8" s="1"/>
    </row>
    <row r="9" spans="1:14" ht="12.75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  <c r="N9" s="1"/>
    </row>
    <row r="10" spans="1:14" ht="12.75">
      <c r="A10" s="2" t="s">
        <v>5</v>
      </c>
      <c r="B10" s="11" t="s">
        <v>15</v>
      </c>
      <c r="C10" s="11" t="s">
        <v>16</v>
      </c>
      <c r="D10" s="11" t="s">
        <v>30</v>
      </c>
      <c r="E10" s="11" t="s">
        <v>52</v>
      </c>
      <c r="F10" s="19" t="s">
        <v>57</v>
      </c>
      <c r="G10" s="22" t="s">
        <v>60</v>
      </c>
      <c r="H10" s="75" t="s">
        <v>62</v>
      </c>
      <c r="I10" s="76"/>
      <c r="J10" s="77"/>
      <c r="K10" s="75" t="s">
        <v>74</v>
      </c>
      <c r="L10" s="77"/>
      <c r="M10" s="31" t="s">
        <v>75</v>
      </c>
      <c r="N10" s="35"/>
    </row>
    <row r="11" spans="1:24" ht="12.75">
      <c r="A11" s="3" t="s">
        <v>6</v>
      </c>
      <c r="B11" s="12" t="s">
        <v>6</v>
      </c>
      <c r="C11" s="12" t="s">
        <v>6</v>
      </c>
      <c r="D11" s="15" t="s">
        <v>31</v>
      </c>
      <c r="E11" s="12" t="s">
        <v>6</v>
      </c>
      <c r="F11" s="12" t="s">
        <v>6</v>
      </c>
      <c r="G11" s="23" t="s">
        <v>61</v>
      </c>
      <c r="H11" s="24" t="s">
        <v>63</v>
      </c>
      <c r="I11" s="25" t="s">
        <v>69</v>
      </c>
      <c r="J11" s="26" t="s">
        <v>73</v>
      </c>
      <c r="K11" s="24" t="s">
        <v>60</v>
      </c>
      <c r="L11" s="26" t="s">
        <v>73</v>
      </c>
      <c r="M11" s="32" t="s">
        <v>76</v>
      </c>
      <c r="N11" s="35"/>
      <c r="P11" s="28" t="s">
        <v>79</v>
      </c>
      <c r="Q11" s="28" t="s">
        <v>80</v>
      </c>
      <c r="R11" s="28" t="s">
        <v>81</v>
      </c>
      <c r="S11" s="28" t="s">
        <v>82</v>
      </c>
      <c r="T11" s="28" t="s">
        <v>83</v>
      </c>
      <c r="U11" s="28" t="s">
        <v>84</v>
      </c>
      <c r="V11" s="28" t="s">
        <v>85</v>
      </c>
      <c r="W11" s="28" t="s">
        <v>86</v>
      </c>
      <c r="X11" s="28" t="s">
        <v>87</v>
      </c>
    </row>
    <row r="12" spans="1:37" ht="12.75">
      <c r="A12" s="4"/>
      <c r="B12" s="13"/>
      <c r="C12" s="13" t="s">
        <v>17</v>
      </c>
      <c r="D12" s="13" t="s">
        <v>32</v>
      </c>
      <c r="E12" s="4" t="s">
        <v>6</v>
      </c>
      <c r="F12" s="4" t="s">
        <v>6</v>
      </c>
      <c r="G12" s="4" t="s">
        <v>6</v>
      </c>
      <c r="H12" s="38">
        <f>SUM(H13:H15)</f>
        <v>0</v>
      </c>
      <c r="I12" s="38">
        <f>SUM(I13:I15)</f>
        <v>0</v>
      </c>
      <c r="J12" s="38">
        <f>H12+I12</f>
        <v>0</v>
      </c>
      <c r="K12" s="27"/>
      <c r="L12" s="38">
        <f>SUM(L13:L15)</f>
        <v>1</v>
      </c>
      <c r="M12" s="27"/>
      <c r="Y12" s="28"/>
      <c r="AI12" s="39">
        <f>SUM(Z13:Z15)</f>
        <v>0</v>
      </c>
      <c r="AJ12" s="39">
        <f>SUM(AA13:AA15)</f>
        <v>0</v>
      </c>
      <c r="AK12" s="39">
        <f>SUM(AB13:AB15)</f>
        <v>0</v>
      </c>
    </row>
    <row r="13" spans="1:48" ht="12.75">
      <c r="A13" s="5" t="s">
        <v>7</v>
      </c>
      <c r="B13" s="5"/>
      <c r="C13" s="5" t="s">
        <v>18</v>
      </c>
      <c r="D13" s="5" t="s">
        <v>33</v>
      </c>
      <c r="E13" s="5" t="s">
        <v>53</v>
      </c>
      <c r="F13" s="20">
        <v>0</v>
      </c>
      <c r="G13" s="20">
        <v>0</v>
      </c>
      <c r="H13" s="20">
        <f>F13*AE13</f>
        <v>0</v>
      </c>
      <c r="I13" s="20">
        <f>J13-H13</f>
        <v>0</v>
      </c>
      <c r="J13" s="20">
        <f>F13*G13</f>
        <v>0</v>
      </c>
      <c r="K13" s="20">
        <v>0.0823</v>
      </c>
      <c r="L13" s="20">
        <f>F13*K13</f>
        <v>0</v>
      </c>
      <c r="M13" s="33" t="s">
        <v>77</v>
      </c>
      <c r="P13" s="36">
        <f>IF(AG13="5",J13,0)</f>
        <v>0</v>
      </c>
      <c r="R13" s="36">
        <f>IF(AG13="1",H13,0)</f>
        <v>0</v>
      </c>
      <c r="S13" s="36">
        <f>IF(AG13="1",I13,0)</f>
        <v>0</v>
      </c>
      <c r="T13" s="36">
        <f>IF(AG13="7",H13,0)</f>
        <v>0</v>
      </c>
      <c r="U13" s="36">
        <f>IF(AG13="7",I13,0)</f>
        <v>0</v>
      </c>
      <c r="V13" s="36">
        <f>IF(AG13="2",H13,0)</f>
        <v>0</v>
      </c>
      <c r="W13" s="36">
        <f>IF(AG13="2",I13,0)</f>
        <v>0</v>
      </c>
      <c r="X13" s="36">
        <f>IF(AG13="0",J13,0)</f>
        <v>0</v>
      </c>
      <c r="Y13" s="28"/>
      <c r="Z13" s="20">
        <f>IF(AD13=0,J13,0)</f>
        <v>0</v>
      </c>
      <c r="AA13" s="20">
        <f>IF(AD13=15,J13,0)</f>
        <v>0</v>
      </c>
      <c r="AB13" s="20">
        <f>IF(AD13=21,J13,0)</f>
        <v>0</v>
      </c>
      <c r="AD13" s="36">
        <v>21</v>
      </c>
      <c r="AE13" s="36">
        <f>G13*0</f>
        <v>0</v>
      </c>
      <c r="AF13" s="36">
        <f>G13*(1-0)</f>
        <v>0</v>
      </c>
      <c r="AG13" s="33" t="s">
        <v>7</v>
      </c>
      <c r="AM13" s="36">
        <f>F13*AE13</f>
        <v>0</v>
      </c>
      <c r="AN13" s="36">
        <f>F13*AF13</f>
        <v>0</v>
      </c>
      <c r="AO13" s="37" t="s">
        <v>88</v>
      </c>
      <c r="AP13" s="37" t="s">
        <v>91</v>
      </c>
      <c r="AQ13" s="28" t="s">
        <v>94</v>
      </c>
      <c r="AS13" s="36">
        <f>AM13+AN13</f>
        <v>0</v>
      </c>
      <c r="AT13" s="36">
        <f>G13/(100-AU13)*100</f>
        <v>0</v>
      </c>
      <c r="AU13" s="36">
        <v>0</v>
      </c>
      <c r="AV13" s="36">
        <f>L13</f>
        <v>0</v>
      </c>
    </row>
    <row r="14" ht="12.75">
      <c r="D14" s="16" t="s">
        <v>34</v>
      </c>
    </row>
    <row r="15" spans="1:48" ht="12.75">
      <c r="A15" s="6" t="s">
        <v>8</v>
      </c>
      <c r="B15" s="6"/>
      <c r="C15" s="6" t="s">
        <v>19</v>
      </c>
      <c r="D15" s="6" t="s">
        <v>35</v>
      </c>
      <c r="E15" s="6" t="s">
        <v>54</v>
      </c>
      <c r="F15" s="21">
        <v>1</v>
      </c>
      <c r="G15" s="21">
        <v>0</v>
      </c>
      <c r="H15" s="21">
        <f>F15*AE15</f>
        <v>0</v>
      </c>
      <c r="I15" s="21">
        <f>J15-H15</f>
        <v>0</v>
      </c>
      <c r="J15" s="21">
        <f>F15*G15</f>
        <v>0</v>
      </c>
      <c r="K15" s="21">
        <v>1</v>
      </c>
      <c r="L15" s="21">
        <f>F15*K15</f>
        <v>1</v>
      </c>
      <c r="M15" s="34" t="s">
        <v>78</v>
      </c>
      <c r="P15" s="36">
        <f>IF(AG15="5",J15,0)</f>
        <v>0</v>
      </c>
      <c r="R15" s="36">
        <f>IF(AG15="1",H15,0)</f>
        <v>0</v>
      </c>
      <c r="S15" s="36">
        <f>IF(AG15="1",I15,0)</f>
        <v>0</v>
      </c>
      <c r="T15" s="36">
        <f>IF(AG15="7",H15,0)</f>
        <v>0</v>
      </c>
      <c r="U15" s="36">
        <f>IF(AG15="7",I15,0)</f>
        <v>0</v>
      </c>
      <c r="V15" s="36">
        <f>IF(AG15="2",H15,0)</f>
        <v>0</v>
      </c>
      <c r="W15" s="36">
        <f>IF(AG15="2",I15,0)</f>
        <v>0</v>
      </c>
      <c r="X15" s="36">
        <f>IF(AG15="0",J15,0)</f>
        <v>0</v>
      </c>
      <c r="Y15" s="28"/>
      <c r="Z15" s="21">
        <f>IF(AD15=0,J15,0)</f>
        <v>0</v>
      </c>
      <c r="AA15" s="21">
        <f>IF(AD15=15,J15,0)</f>
        <v>0</v>
      </c>
      <c r="AB15" s="21">
        <f>IF(AD15=21,J15,0)</f>
        <v>0</v>
      </c>
      <c r="AD15" s="36">
        <v>21</v>
      </c>
      <c r="AE15" s="36">
        <f>G15*1</f>
        <v>0</v>
      </c>
      <c r="AF15" s="36">
        <f>G15*(1-1)</f>
        <v>0</v>
      </c>
      <c r="AG15" s="34" t="s">
        <v>7</v>
      </c>
      <c r="AM15" s="36">
        <f>F15*AE15</f>
        <v>0</v>
      </c>
      <c r="AN15" s="36">
        <f>F15*AF15</f>
        <v>0</v>
      </c>
      <c r="AO15" s="37" t="s">
        <v>88</v>
      </c>
      <c r="AP15" s="37" t="s">
        <v>91</v>
      </c>
      <c r="AQ15" s="28" t="s">
        <v>94</v>
      </c>
      <c r="AS15" s="36">
        <f>AM15+AN15</f>
        <v>0</v>
      </c>
      <c r="AT15" s="36">
        <f>G15/(100-AU15)*100</f>
        <v>0</v>
      </c>
      <c r="AU15" s="36">
        <v>0</v>
      </c>
      <c r="AV15" s="36">
        <f>L15</f>
        <v>1</v>
      </c>
    </row>
    <row r="16" spans="1:37" ht="12.75">
      <c r="A16" s="7"/>
      <c r="B16" s="14"/>
      <c r="C16" s="14" t="s">
        <v>20</v>
      </c>
      <c r="D16" s="14" t="s">
        <v>36</v>
      </c>
      <c r="E16" s="7" t="s">
        <v>6</v>
      </c>
      <c r="F16" s="7" t="s">
        <v>6</v>
      </c>
      <c r="G16" s="7" t="s">
        <v>6</v>
      </c>
      <c r="H16" s="39">
        <f>SUM(H17:H23)</f>
        <v>0</v>
      </c>
      <c r="I16" s="39">
        <f>SUM(I17:I23)</f>
        <v>0</v>
      </c>
      <c r="J16" s="39">
        <f>H16+I16</f>
        <v>0</v>
      </c>
      <c r="K16" s="28"/>
      <c r="L16" s="39">
        <f>SUM(L17:L23)</f>
        <v>0.06367</v>
      </c>
      <c r="M16" s="28"/>
      <c r="Y16" s="28"/>
      <c r="AI16" s="39">
        <f>SUM(Z17:Z23)</f>
        <v>0</v>
      </c>
      <c r="AJ16" s="39">
        <f>SUM(AA17:AA23)</f>
        <v>0</v>
      </c>
      <c r="AK16" s="39">
        <f>SUM(AB17:AB23)</f>
        <v>0</v>
      </c>
    </row>
    <row r="17" spans="1:48" ht="12.75">
      <c r="A17" s="5" t="s">
        <v>9</v>
      </c>
      <c r="B17" s="5"/>
      <c r="C17" s="5" t="s">
        <v>21</v>
      </c>
      <c r="D17" s="5" t="s">
        <v>37</v>
      </c>
      <c r="E17" s="5" t="s">
        <v>55</v>
      </c>
      <c r="F17" s="20">
        <v>1</v>
      </c>
      <c r="G17" s="20">
        <v>0</v>
      </c>
      <c r="H17" s="20">
        <f>F17*AE17</f>
        <v>0</v>
      </c>
      <c r="I17" s="20">
        <f>J17-H17</f>
        <v>0</v>
      </c>
      <c r="J17" s="20">
        <f>F17*G17</f>
        <v>0</v>
      </c>
      <c r="K17" s="20">
        <v>0.06367</v>
      </c>
      <c r="L17" s="20">
        <f>F17*K17</f>
        <v>0.06367</v>
      </c>
      <c r="M17" s="33" t="s">
        <v>78</v>
      </c>
      <c r="P17" s="36">
        <f>IF(AG17="5",J17,0)</f>
        <v>0</v>
      </c>
      <c r="R17" s="36">
        <f>IF(AG17="1",H17,0)</f>
        <v>0</v>
      </c>
      <c r="S17" s="36">
        <f>IF(AG17="1",I17,0)</f>
        <v>0</v>
      </c>
      <c r="T17" s="36">
        <f>IF(AG17="7",H17,0)</f>
        <v>0</v>
      </c>
      <c r="U17" s="36">
        <f>IF(AG17="7",I17,0)</f>
        <v>0</v>
      </c>
      <c r="V17" s="36">
        <f>IF(AG17="2",H17,0)</f>
        <v>0</v>
      </c>
      <c r="W17" s="36">
        <f>IF(AG17="2",I17,0)</f>
        <v>0</v>
      </c>
      <c r="X17" s="36">
        <f>IF(AG17="0",J17,0)</f>
        <v>0</v>
      </c>
      <c r="Y17" s="28"/>
      <c r="Z17" s="20">
        <f>IF(AD17=0,J17,0)</f>
        <v>0</v>
      </c>
      <c r="AA17" s="20">
        <f>IF(AD17=15,J17,0)</f>
        <v>0</v>
      </c>
      <c r="AB17" s="20">
        <f>IF(AD17=21,J17,0)</f>
        <v>0</v>
      </c>
      <c r="AD17" s="36">
        <v>21</v>
      </c>
      <c r="AE17" s="36">
        <f>G17*0.222222222222222</f>
        <v>0</v>
      </c>
      <c r="AF17" s="36">
        <f>G17*(1-0.222222222222222)</f>
        <v>0</v>
      </c>
      <c r="AG17" s="33" t="s">
        <v>7</v>
      </c>
      <c r="AM17" s="36">
        <f>F17*AE17</f>
        <v>0</v>
      </c>
      <c r="AN17" s="36">
        <f>F17*AF17</f>
        <v>0</v>
      </c>
      <c r="AO17" s="37" t="s">
        <v>89</v>
      </c>
      <c r="AP17" s="37" t="s">
        <v>92</v>
      </c>
      <c r="AQ17" s="28" t="s">
        <v>94</v>
      </c>
      <c r="AS17" s="36">
        <f>AM17+AN17</f>
        <v>0</v>
      </c>
      <c r="AT17" s="36">
        <f>G17/(100-AU17)*100</f>
        <v>0</v>
      </c>
      <c r="AU17" s="36">
        <v>0</v>
      </c>
      <c r="AV17" s="36">
        <f>L17</f>
        <v>0.06367</v>
      </c>
    </row>
    <row r="18" ht="26.25">
      <c r="D18" s="16" t="s">
        <v>38</v>
      </c>
    </row>
    <row r="19" spans="1:48" ht="12.75">
      <c r="A19" s="5" t="s">
        <v>10</v>
      </c>
      <c r="B19" s="5"/>
      <c r="C19" s="5" t="s">
        <v>22</v>
      </c>
      <c r="D19" s="5" t="s">
        <v>39</v>
      </c>
      <c r="E19" s="5" t="s">
        <v>53</v>
      </c>
      <c r="F19" s="20">
        <v>2</v>
      </c>
      <c r="G19" s="20">
        <v>0</v>
      </c>
      <c r="H19" s="20">
        <f>F19*AE19</f>
        <v>0</v>
      </c>
      <c r="I19" s="20">
        <f>J19-H19</f>
        <v>0</v>
      </c>
      <c r="J19" s="20">
        <f>F19*G19</f>
        <v>0</v>
      </c>
      <c r="K19" s="20">
        <v>0</v>
      </c>
      <c r="L19" s="20">
        <f>F19*K19</f>
        <v>0</v>
      </c>
      <c r="M19" s="33" t="s">
        <v>78</v>
      </c>
      <c r="P19" s="36">
        <f>IF(AG19="5",J19,0)</f>
        <v>0</v>
      </c>
      <c r="R19" s="36">
        <f>IF(AG19="1",H19,0)</f>
        <v>0</v>
      </c>
      <c r="S19" s="36">
        <f>IF(AG19="1",I19,0)</f>
        <v>0</v>
      </c>
      <c r="T19" s="36">
        <f>IF(AG19="7",H19,0)</f>
        <v>0</v>
      </c>
      <c r="U19" s="36">
        <f>IF(AG19="7",I19,0)</f>
        <v>0</v>
      </c>
      <c r="V19" s="36">
        <f>IF(AG19="2",H19,0)</f>
        <v>0</v>
      </c>
      <c r="W19" s="36">
        <f>IF(AG19="2",I19,0)</f>
        <v>0</v>
      </c>
      <c r="X19" s="36">
        <f>IF(AG19="0",J19,0)</f>
        <v>0</v>
      </c>
      <c r="Y19" s="28"/>
      <c r="Z19" s="20">
        <f>IF(AD19=0,J19,0)</f>
        <v>0</v>
      </c>
      <c r="AA19" s="20">
        <f>IF(AD19=15,J19,0)</f>
        <v>0</v>
      </c>
      <c r="AB19" s="20">
        <f>IF(AD19=21,J19,0)</f>
        <v>0</v>
      </c>
      <c r="AD19" s="36">
        <v>21</v>
      </c>
      <c r="AE19" s="36">
        <f>G19*0.0625</f>
        <v>0</v>
      </c>
      <c r="AF19" s="36">
        <f>G19*(1-0.0625)</f>
        <v>0</v>
      </c>
      <c r="AG19" s="33" t="s">
        <v>7</v>
      </c>
      <c r="AM19" s="36">
        <f>F19*AE19</f>
        <v>0</v>
      </c>
      <c r="AN19" s="36">
        <f>F19*AF19</f>
        <v>0</v>
      </c>
      <c r="AO19" s="37" t="s">
        <v>89</v>
      </c>
      <c r="AP19" s="37" t="s">
        <v>92</v>
      </c>
      <c r="AQ19" s="28" t="s">
        <v>94</v>
      </c>
      <c r="AS19" s="36">
        <f>AM19+AN19</f>
        <v>0</v>
      </c>
      <c r="AT19" s="36">
        <f>G19/(100-AU19)*100</f>
        <v>0</v>
      </c>
      <c r="AU19" s="36">
        <v>0</v>
      </c>
      <c r="AV19" s="36">
        <f>L19</f>
        <v>0</v>
      </c>
    </row>
    <row r="20" ht="26.25">
      <c r="D20" s="16" t="s">
        <v>40</v>
      </c>
    </row>
    <row r="21" spans="1:48" ht="12.75">
      <c r="A21" s="5" t="s">
        <v>11</v>
      </c>
      <c r="B21" s="5"/>
      <c r="C21" s="5" t="s">
        <v>23</v>
      </c>
      <c r="D21" s="5" t="s">
        <v>41</v>
      </c>
      <c r="E21" s="5" t="s">
        <v>53</v>
      </c>
      <c r="F21" s="20">
        <v>1</v>
      </c>
      <c r="G21" s="20">
        <v>0</v>
      </c>
      <c r="H21" s="20">
        <f>F21*AE21</f>
        <v>0</v>
      </c>
      <c r="I21" s="20">
        <f>J21-H21</f>
        <v>0</v>
      </c>
      <c r="J21" s="20">
        <f>F21*G21</f>
        <v>0</v>
      </c>
      <c r="K21" s="20">
        <v>0</v>
      </c>
      <c r="L21" s="20">
        <f>F21*K21</f>
        <v>0</v>
      </c>
      <c r="M21" s="33" t="s">
        <v>78</v>
      </c>
      <c r="P21" s="36">
        <f>IF(AG21="5",J21,0)</f>
        <v>0</v>
      </c>
      <c r="R21" s="36">
        <f>IF(AG21="1",H21,0)</f>
        <v>0</v>
      </c>
      <c r="S21" s="36">
        <f>IF(AG21="1",I21,0)</f>
        <v>0</v>
      </c>
      <c r="T21" s="36">
        <f>IF(AG21="7",H21,0)</f>
        <v>0</v>
      </c>
      <c r="U21" s="36">
        <f>IF(AG21="7",I21,0)</f>
        <v>0</v>
      </c>
      <c r="V21" s="36">
        <f>IF(AG21="2",H21,0)</f>
        <v>0</v>
      </c>
      <c r="W21" s="36">
        <f>IF(AG21="2",I21,0)</f>
        <v>0</v>
      </c>
      <c r="X21" s="36">
        <f>IF(AG21="0",J21,0)</f>
        <v>0</v>
      </c>
      <c r="Y21" s="28"/>
      <c r="Z21" s="20">
        <f>IF(AD21=0,J21,0)</f>
        <v>0</v>
      </c>
      <c r="AA21" s="20">
        <f>IF(AD21=15,J21,0)</f>
        <v>0</v>
      </c>
      <c r="AB21" s="20">
        <f>IF(AD21=21,J21,0)</f>
        <v>0</v>
      </c>
      <c r="AD21" s="36">
        <v>21</v>
      </c>
      <c r="AE21" s="36">
        <f>G21*0.024390243902439</f>
        <v>0</v>
      </c>
      <c r="AF21" s="36">
        <f>G21*(1-0.024390243902439)</f>
        <v>0</v>
      </c>
      <c r="AG21" s="33" t="s">
        <v>7</v>
      </c>
      <c r="AM21" s="36">
        <f>F21*AE21</f>
        <v>0</v>
      </c>
      <c r="AN21" s="36">
        <f>F21*AF21</f>
        <v>0</v>
      </c>
      <c r="AO21" s="37" t="s">
        <v>89</v>
      </c>
      <c r="AP21" s="37" t="s">
        <v>92</v>
      </c>
      <c r="AQ21" s="28" t="s">
        <v>94</v>
      </c>
      <c r="AS21" s="36">
        <f>AM21+AN21</f>
        <v>0</v>
      </c>
      <c r="AT21" s="36">
        <f>G21/(100-AU21)*100</f>
        <v>0</v>
      </c>
      <c r="AU21" s="36">
        <v>0</v>
      </c>
      <c r="AV21" s="36">
        <f>L21</f>
        <v>0</v>
      </c>
    </row>
    <row r="22" ht="12.75">
      <c r="D22" s="16" t="s">
        <v>42</v>
      </c>
    </row>
    <row r="23" spans="1:48" ht="12.75">
      <c r="A23" s="5" t="s">
        <v>12</v>
      </c>
      <c r="B23" s="5"/>
      <c r="C23" s="5" t="s">
        <v>24</v>
      </c>
      <c r="D23" s="5" t="s">
        <v>43</v>
      </c>
      <c r="E23" s="5" t="s">
        <v>53</v>
      </c>
      <c r="F23" s="20">
        <v>2</v>
      </c>
      <c r="G23" s="20">
        <v>0</v>
      </c>
      <c r="H23" s="20">
        <f>F23*AE23</f>
        <v>0</v>
      </c>
      <c r="I23" s="20">
        <f>J23-H23</f>
        <v>0</v>
      </c>
      <c r="J23" s="20">
        <f>F23*G23</f>
        <v>0</v>
      </c>
      <c r="K23" s="20">
        <v>0</v>
      </c>
      <c r="L23" s="20">
        <f>F23*K23</f>
        <v>0</v>
      </c>
      <c r="M23" s="33" t="s">
        <v>78</v>
      </c>
      <c r="P23" s="36">
        <f>IF(AG23="5",J23,0)</f>
        <v>0</v>
      </c>
      <c r="R23" s="36">
        <f>IF(AG23="1",H23,0)</f>
        <v>0</v>
      </c>
      <c r="S23" s="36">
        <f>IF(AG23="1",I23,0)</f>
        <v>0</v>
      </c>
      <c r="T23" s="36">
        <f>IF(AG23="7",H23,0)</f>
        <v>0</v>
      </c>
      <c r="U23" s="36">
        <f>IF(AG23="7",I23,0)</f>
        <v>0</v>
      </c>
      <c r="V23" s="36">
        <f>IF(AG23="2",H23,0)</f>
        <v>0</v>
      </c>
      <c r="W23" s="36">
        <f>IF(AG23="2",I23,0)</f>
        <v>0</v>
      </c>
      <c r="X23" s="36">
        <f>IF(AG23="0",J23,0)</f>
        <v>0</v>
      </c>
      <c r="Y23" s="28"/>
      <c r="Z23" s="20">
        <f>IF(AD23=0,J23,0)</f>
        <v>0</v>
      </c>
      <c r="AA23" s="20">
        <f>IF(AD23=15,J23,0)</f>
        <v>0</v>
      </c>
      <c r="AB23" s="20">
        <f>IF(AD23=21,J23,0)</f>
        <v>0</v>
      </c>
      <c r="AD23" s="36">
        <v>21</v>
      </c>
      <c r="AE23" s="36">
        <f>G23*0.142857142857143</f>
        <v>0</v>
      </c>
      <c r="AF23" s="36">
        <f>G23*(1-0.142857142857143)</f>
        <v>0</v>
      </c>
      <c r="AG23" s="33" t="s">
        <v>7</v>
      </c>
      <c r="AM23" s="36">
        <f>F23*AE23</f>
        <v>0</v>
      </c>
      <c r="AN23" s="36">
        <f>F23*AF23</f>
        <v>0</v>
      </c>
      <c r="AO23" s="37" t="s">
        <v>89</v>
      </c>
      <c r="AP23" s="37" t="s">
        <v>92</v>
      </c>
      <c r="AQ23" s="28" t="s">
        <v>94</v>
      </c>
      <c r="AS23" s="36">
        <f>AM23+AN23</f>
        <v>0</v>
      </c>
      <c r="AT23" s="36">
        <f>G23/(100-AU23)*100</f>
        <v>0</v>
      </c>
      <c r="AU23" s="36">
        <v>0</v>
      </c>
      <c r="AV23" s="36">
        <f>L23</f>
        <v>0</v>
      </c>
    </row>
    <row r="24" ht="12.75">
      <c r="D24" s="16" t="s">
        <v>44</v>
      </c>
    </row>
    <row r="25" spans="1:37" ht="12.75">
      <c r="A25" s="7"/>
      <c r="B25" s="14"/>
      <c r="C25" s="14" t="s">
        <v>25</v>
      </c>
      <c r="D25" s="14" t="s">
        <v>45</v>
      </c>
      <c r="E25" s="7" t="s">
        <v>6</v>
      </c>
      <c r="F25" s="7" t="s">
        <v>6</v>
      </c>
      <c r="G25" s="7" t="s">
        <v>6</v>
      </c>
      <c r="H25" s="39">
        <f>SUM(H26:H26)</f>
        <v>0</v>
      </c>
      <c r="I25" s="39">
        <f>SUM(I26:I26)</f>
        <v>0</v>
      </c>
      <c r="J25" s="39">
        <f>H25+I25</f>
        <v>0</v>
      </c>
      <c r="K25" s="28"/>
      <c r="L25" s="39">
        <f>SUM(L26:L26)</f>
        <v>0</v>
      </c>
      <c r="M25" s="28"/>
      <c r="Y25" s="28"/>
      <c r="AI25" s="39">
        <f>SUM(Z26:Z26)</f>
        <v>0</v>
      </c>
      <c r="AJ25" s="39">
        <f>SUM(AA26:AA26)</f>
        <v>0</v>
      </c>
      <c r="AK25" s="39">
        <f>SUM(AB26:AB26)</f>
        <v>0</v>
      </c>
    </row>
    <row r="26" spans="1:48" ht="12.75">
      <c r="A26" s="5" t="s">
        <v>13</v>
      </c>
      <c r="B26" s="5"/>
      <c r="C26" s="5" t="s">
        <v>26</v>
      </c>
      <c r="D26" s="5" t="s">
        <v>46</v>
      </c>
      <c r="E26" s="5" t="s">
        <v>56</v>
      </c>
      <c r="F26" s="20">
        <v>6</v>
      </c>
      <c r="G26" s="20">
        <v>0</v>
      </c>
      <c r="H26" s="20">
        <f>F26*AE26</f>
        <v>0</v>
      </c>
      <c r="I26" s="20">
        <f>J26-H26</f>
        <v>0</v>
      </c>
      <c r="J26" s="20">
        <f>F26*G26</f>
        <v>0</v>
      </c>
      <c r="K26" s="20">
        <v>0</v>
      </c>
      <c r="L26" s="20">
        <f>F26*K26</f>
        <v>0</v>
      </c>
      <c r="M26" s="33" t="s">
        <v>77</v>
      </c>
      <c r="P26" s="36">
        <f>IF(AG26="5",J26,0)</f>
        <v>0</v>
      </c>
      <c r="R26" s="36">
        <f>IF(AG26="1",H26,0)</f>
        <v>0</v>
      </c>
      <c r="S26" s="36">
        <f>IF(AG26="1",I26,0)</f>
        <v>0</v>
      </c>
      <c r="T26" s="36">
        <f>IF(AG26="7",H26,0)</f>
        <v>0</v>
      </c>
      <c r="U26" s="36">
        <f>IF(AG26="7",I26,0)</f>
        <v>0</v>
      </c>
      <c r="V26" s="36">
        <f>IF(AG26="2",H26,0)</f>
        <v>0</v>
      </c>
      <c r="W26" s="36">
        <f>IF(AG26="2",I26,0)</f>
        <v>0</v>
      </c>
      <c r="X26" s="36">
        <f>IF(AG26="0",J26,0)</f>
        <v>0</v>
      </c>
      <c r="Y26" s="28"/>
      <c r="Z26" s="20">
        <f>IF(AD26=0,J26,0)</f>
        <v>0</v>
      </c>
      <c r="AA26" s="20">
        <f>IF(AD26=15,J26,0)</f>
        <v>0</v>
      </c>
      <c r="AB26" s="20">
        <f>IF(AD26=21,J26,0)</f>
        <v>0</v>
      </c>
      <c r="AD26" s="36">
        <v>21</v>
      </c>
      <c r="AE26" s="36">
        <f>G26*0</f>
        <v>0</v>
      </c>
      <c r="AF26" s="36">
        <f>G26*(1-0)</f>
        <v>0</v>
      </c>
      <c r="AG26" s="33" t="s">
        <v>7</v>
      </c>
      <c r="AM26" s="36">
        <f>F26*AE26</f>
        <v>0</v>
      </c>
      <c r="AN26" s="36">
        <f>F26*AF26</f>
        <v>0</v>
      </c>
      <c r="AO26" s="37" t="s">
        <v>90</v>
      </c>
      <c r="AP26" s="37" t="s">
        <v>93</v>
      </c>
      <c r="AQ26" s="28" t="s">
        <v>94</v>
      </c>
      <c r="AS26" s="36">
        <f>AM26+AN26</f>
        <v>0</v>
      </c>
      <c r="AT26" s="36">
        <f>G26/(100-AU26)*100</f>
        <v>0</v>
      </c>
      <c r="AU26" s="36">
        <v>0</v>
      </c>
      <c r="AV26" s="36">
        <f>L26</f>
        <v>0</v>
      </c>
    </row>
    <row r="27" spans="1:13" ht="12.75">
      <c r="A27" s="8"/>
      <c r="B27" s="8"/>
      <c r="C27" s="8"/>
      <c r="D27" s="17" t="s">
        <v>47</v>
      </c>
      <c r="E27" s="8"/>
      <c r="F27" s="8"/>
      <c r="G27" s="8"/>
      <c r="H27" s="8"/>
      <c r="I27" s="8"/>
      <c r="J27" s="8"/>
      <c r="K27" s="8"/>
      <c r="L27" s="8"/>
      <c r="M27" s="8"/>
    </row>
    <row r="28" spans="1:13" ht="12.75">
      <c r="A28" s="9"/>
      <c r="B28" s="9"/>
      <c r="C28" s="9"/>
      <c r="D28" s="9"/>
      <c r="E28" s="9"/>
      <c r="F28" s="9"/>
      <c r="G28" s="9"/>
      <c r="H28" s="78" t="s">
        <v>64</v>
      </c>
      <c r="I28" s="79"/>
      <c r="J28" s="40">
        <f>ROUND(J12+J16+J25,0)</f>
        <v>0</v>
      </c>
      <c r="K28" s="9"/>
      <c r="L28" s="9"/>
      <c r="M28" s="9"/>
    </row>
    <row r="29" ht="11.25" customHeight="1">
      <c r="A29" s="10" t="s">
        <v>14</v>
      </c>
    </row>
    <row r="30" spans="1:13" ht="12.75">
      <c r="A30" s="73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</row>
  </sheetData>
  <sheetProtection/>
  <mergeCells count="29">
    <mergeCell ref="H10:J10"/>
    <mergeCell ref="K10:L10"/>
    <mergeCell ref="H28:I28"/>
    <mergeCell ref="A30:M30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6.8515625" style="0" customWidth="1"/>
    <col min="2" max="2" width="4.574218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11" width="14.28125" style="0" customWidth="1"/>
    <col min="12" max="12" width="11.7109375" style="0" customWidth="1"/>
    <col min="13" max="14" width="12.140625" style="0" hidden="1" customWidth="1"/>
  </cols>
  <sheetData>
    <row r="1" spans="1:12" ht="37.5" customHeight="1">
      <c r="A1" s="61" t="s">
        <v>141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3" ht="12.75">
      <c r="A2" s="62" t="s">
        <v>1</v>
      </c>
      <c r="B2" s="63"/>
      <c r="C2" s="63"/>
      <c r="D2" s="66" t="str">
        <f>'Stavební rozpočet'!D2</f>
        <v>Úprava prostoru před hlavním vstupem do nové Městské knhovna vŠumperk</v>
      </c>
      <c r="E2" s="69" t="s">
        <v>48</v>
      </c>
      <c r="F2" s="63"/>
      <c r="G2" s="69" t="str">
        <f>'Stavební rozpočet'!G2</f>
        <v> </v>
      </c>
      <c r="H2" s="63"/>
      <c r="I2" s="69" t="s">
        <v>65</v>
      </c>
      <c r="J2" s="69" t="str">
        <f>'Stavební rozpočet'!J2</f>
        <v>Město Šumperk</v>
      </c>
      <c r="K2" s="63"/>
      <c r="L2" s="70"/>
      <c r="M2" s="1"/>
    </row>
    <row r="3" spans="1:13" ht="25.5" customHeight="1">
      <c r="A3" s="64"/>
      <c r="B3" s="65"/>
      <c r="C3" s="65"/>
      <c r="D3" s="67"/>
      <c r="E3" s="65"/>
      <c r="F3" s="65"/>
      <c r="G3" s="65"/>
      <c r="H3" s="65"/>
      <c r="I3" s="65"/>
      <c r="J3" s="65"/>
      <c r="K3" s="65"/>
      <c r="L3" s="71"/>
      <c r="M3" s="1"/>
    </row>
    <row r="4" spans="1:13" ht="12.75">
      <c r="A4" s="72" t="s">
        <v>2</v>
      </c>
      <c r="B4" s="65"/>
      <c r="C4" s="65"/>
      <c r="D4" s="73" t="str">
        <f>'Stavební rozpočet'!D4</f>
        <v>Repasování fasádních prvků, umělecko řemeslné práce</v>
      </c>
      <c r="E4" s="73" t="s">
        <v>49</v>
      </c>
      <c r="F4" s="65"/>
      <c r="G4" s="73" t="str">
        <f>'Stavební rozpočet'!G4</f>
        <v>05.02.2018</v>
      </c>
      <c r="H4" s="65"/>
      <c r="I4" s="73" t="s">
        <v>66</v>
      </c>
      <c r="J4" s="73" t="str">
        <f>'Stavební rozpočet'!J4</f>
        <v>Ing.Ladislav Trčka</v>
      </c>
      <c r="K4" s="65"/>
      <c r="L4" s="71"/>
      <c r="M4" s="1"/>
    </row>
    <row r="5" spans="1:13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71"/>
      <c r="M5" s="1"/>
    </row>
    <row r="6" spans="1:13" ht="12.75">
      <c r="A6" s="72" t="s">
        <v>3</v>
      </c>
      <c r="B6" s="65"/>
      <c r="C6" s="65"/>
      <c r="D6" s="73" t="str">
        <f>'Stavební rozpočet'!D6</f>
        <v>Šumperk</v>
      </c>
      <c r="E6" s="73" t="s">
        <v>50</v>
      </c>
      <c r="F6" s="65"/>
      <c r="G6" s="73" t="str">
        <f>'Stavební rozpočet'!G6</f>
        <v> </v>
      </c>
      <c r="H6" s="65"/>
      <c r="I6" s="73" t="s">
        <v>67</v>
      </c>
      <c r="J6" s="73" t="str">
        <f>'Stavební rozpočet'!J6</f>
        <v>Restaurátor s oprávněním</v>
      </c>
      <c r="K6" s="65"/>
      <c r="L6" s="71"/>
      <c r="M6" s="1"/>
    </row>
    <row r="7" spans="1:13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71"/>
      <c r="M7" s="1"/>
    </row>
    <row r="8" spans="1:13" ht="12.75">
      <c r="A8" s="72" t="s">
        <v>4</v>
      </c>
      <c r="B8" s="65"/>
      <c r="C8" s="65"/>
      <c r="D8" s="73" t="str">
        <f>'Stavební rozpočet'!D8</f>
        <v> </v>
      </c>
      <c r="E8" s="73" t="s">
        <v>51</v>
      </c>
      <c r="F8" s="65"/>
      <c r="G8" s="73" t="str">
        <f>'Stavební rozpočet'!G8</f>
        <v>17.12.2017</v>
      </c>
      <c r="H8" s="65"/>
      <c r="I8" s="73" t="s">
        <v>68</v>
      </c>
      <c r="J8" s="73" t="str">
        <f>'Stavební rozpočet'!J8</f>
        <v> </v>
      </c>
      <c r="K8" s="65"/>
      <c r="L8" s="71"/>
      <c r="M8" s="1"/>
    </row>
    <row r="9" spans="1:13" ht="12.75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2"/>
      <c r="M9" s="1"/>
    </row>
    <row r="10" spans="1:13" ht="12.75">
      <c r="A10" s="41" t="s">
        <v>6</v>
      </c>
      <c r="B10" s="41" t="s">
        <v>6</v>
      </c>
      <c r="C10" s="83" t="s">
        <v>6</v>
      </c>
      <c r="D10" s="84"/>
      <c r="E10" s="84"/>
      <c r="F10" s="84"/>
      <c r="G10" s="84"/>
      <c r="H10" s="85"/>
      <c r="I10" s="75" t="s">
        <v>62</v>
      </c>
      <c r="J10" s="76"/>
      <c r="K10" s="77"/>
      <c r="L10" s="45" t="s">
        <v>74</v>
      </c>
      <c r="M10" s="35"/>
    </row>
    <row r="11" spans="1:13" ht="12.75">
      <c r="A11" s="15" t="s">
        <v>15</v>
      </c>
      <c r="B11" s="15" t="s">
        <v>16</v>
      </c>
      <c r="C11" s="86" t="s">
        <v>95</v>
      </c>
      <c r="D11" s="87"/>
      <c r="E11" s="87"/>
      <c r="F11" s="87"/>
      <c r="G11" s="87"/>
      <c r="H11" s="88"/>
      <c r="I11" s="24" t="s">
        <v>63</v>
      </c>
      <c r="J11" s="25" t="s">
        <v>69</v>
      </c>
      <c r="K11" s="25" t="s">
        <v>73</v>
      </c>
      <c r="L11" s="26" t="s">
        <v>73</v>
      </c>
      <c r="M11" s="35"/>
    </row>
    <row r="12" spans="1:14" ht="12.75">
      <c r="A12" s="42"/>
      <c r="B12" s="42" t="s">
        <v>17</v>
      </c>
      <c r="C12" s="89" t="s">
        <v>32</v>
      </c>
      <c r="D12" s="84"/>
      <c r="E12" s="84"/>
      <c r="F12" s="84"/>
      <c r="G12" s="84"/>
      <c r="H12" s="84"/>
      <c r="I12" s="46">
        <f>'Stavební rozpočet'!H12</f>
        <v>0</v>
      </c>
      <c r="J12" s="46">
        <f>'Stavební rozpočet'!I12</f>
        <v>0</v>
      </c>
      <c r="K12" s="46">
        <f>I12+J12</f>
        <v>0</v>
      </c>
      <c r="L12" s="46">
        <f>'Stavební rozpočet'!L12</f>
        <v>1</v>
      </c>
      <c r="M12" s="36" t="s">
        <v>96</v>
      </c>
      <c r="N12" s="36">
        <f>IF(M12="F",0,K12)</f>
        <v>0</v>
      </c>
    </row>
    <row r="13" spans="1:14" ht="12.75">
      <c r="A13" s="18"/>
      <c r="B13" s="18" t="s">
        <v>20</v>
      </c>
      <c r="C13" s="74" t="s">
        <v>36</v>
      </c>
      <c r="D13" s="65"/>
      <c r="E13" s="65"/>
      <c r="F13" s="65"/>
      <c r="G13" s="65"/>
      <c r="H13" s="65"/>
      <c r="I13" s="36">
        <f>'Stavební rozpočet'!H16</f>
        <v>0</v>
      </c>
      <c r="J13" s="36">
        <f>'Stavební rozpočet'!I16</f>
        <v>0</v>
      </c>
      <c r="K13" s="36">
        <f>I13+J13</f>
        <v>0</v>
      </c>
      <c r="L13" s="36">
        <f>'Stavební rozpočet'!L16</f>
        <v>0.06367</v>
      </c>
      <c r="M13" s="36" t="s">
        <v>96</v>
      </c>
      <c r="N13" s="36">
        <f>IF(M13="F",0,K13)</f>
        <v>0</v>
      </c>
    </row>
    <row r="14" spans="1:14" ht="12.75">
      <c r="A14" s="43"/>
      <c r="B14" s="43" t="s">
        <v>25</v>
      </c>
      <c r="C14" s="90" t="s">
        <v>45</v>
      </c>
      <c r="D14" s="91"/>
      <c r="E14" s="91"/>
      <c r="F14" s="91"/>
      <c r="G14" s="91"/>
      <c r="H14" s="91"/>
      <c r="I14" s="47">
        <f>'Stavební rozpočet'!H25</f>
        <v>0</v>
      </c>
      <c r="J14" s="47">
        <f>'Stavební rozpočet'!I25</f>
        <v>0</v>
      </c>
      <c r="K14" s="47">
        <f>I14+J14</f>
        <v>0</v>
      </c>
      <c r="L14" s="47">
        <f>'Stavební rozpočet'!L25</f>
        <v>0</v>
      </c>
      <c r="M14" s="36" t="s">
        <v>96</v>
      </c>
      <c r="N14" s="36">
        <f>IF(M14="F",0,K14)</f>
        <v>0</v>
      </c>
    </row>
    <row r="15" spans="1:12" ht="12.75">
      <c r="A15" s="9"/>
      <c r="B15" s="9"/>
      <c r="C15" s="9"/>
      <c r="D15" s="9"/>
      <c r="E15" s="9"/>
      <c r="F15" s="9"/>
      <c r="G15" s="9"/>
      <c r="H15" s="9"/>
      <c r="I15" s="78" t="s">
        <v>64</v>
      </c>
      <c r="J15" s="79"/>
      <c r="K15" s="40">
        <f>ROUND(SUM(N12:N14),0)</f>
        <v>0</v>
      </c>
      <c r="L15" s="9"/>
    </row>
    <row r="16" ht="11.25" customHeight="1">
      <c r="A16" s="10" t="s">
        <v>14</v>
      </c>
    </row>
    <row r="17" spans="1:11" ht="12.75">
      <c r="A17" s="73"/>
      <c r="B17" s="65"/>
      <c r="C17" s="65"/>
      <c r="D17" s="65"/>
      <c r="E17" s="65"/>
      <c r="F17" s="65"/>
      <c r="G17" s="65"/>
      <c r="H17" s="65"/>
      <c r="I17" s="65"/>
      <c r="J17" s="65"/>
      <c r="K17" s="65"/>
    </row>
  </sheetData>
  <sheetProtection/>
  <mergeCells count="33">
    <mergeCell ref="I15:J15"/>
    <mergeCell ref="A17:K17"/>
    <mergeCell ref="C10:H10"/>
    <mergeCell ref="I10:K10"/>
    <mergeCell ref="C11:H11"/>
    <mergeCell ref="C12:H12"/>
    <mergeCell ref="C13:H13"/>
    <mergeCell ref="C14:H14"/>
    <mergeCell ref="A8:C9"/>
    <mergeCell ref="D8:D9"/>
    <mergeCell ref="E8:F9"/>
    <mergeCell ref="G8:H9"/>
    <mergeCell ref="I8:I9"/>
    <mergeCell ref="J8:L9"/>
    <mergeCell ref="A6:C7"/>
    <mergeCell ref="D6:D7"/>
    <mergeCell ref="E6:F7"/>
    <mergeCell ref="G6:H7"/>
    <mergeCell ref="I6:I7"/>
    <mergeCell ref="J6:L7"/>
    <mergeCell ref="A4:C5"/>
    <mergeCell ref="D4:D5"/>
    <mergeCell ref="E4:F5"/>
    <mergeCell ref="G4:H5"/>
    <mergeCell ref="I4:I5"/>
    <mergeCell ref="J4:L5"/>
    <mergeCell ref="A1:L1"/>
    <mergeCell ref="A2:C3"/>
    <mergeCell ref="D2:D3"/>
    <mergeCell ref="E2:F3"/>
    <mergeCell ref="G2:H3"/>
    <mergeCell ref="I2:I3"/>
    <mergeCell ref="J2:L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K17" sqref="K1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38.25" customHeight="1">
      <c r="A1" s="93" t="s">
        <v>112</v>
      </c>
      <c r="B1" s="93"/>
      <c r="C1" s="93"/>
      <c r="D1" s="93"/>
      <c r="E1" s="93"/>
      <c r="F1" s="93"/>
      <c r="G1" s="93"/>
      <c r="H1" s="93"/>
      <c r="I1" s="93"/>
    </row>
    <row r="2" spans="1:10" ht="12.75">
      <c r="A2" s="62" t="s">
        <v>1</v>
      </c>
      <c r="B2" s="63"/>
      <c r="C2" s="66" t="str">
        <f>'Stavební rozpočet'!D2</f>
        <v>Úprava prostoru před hlavním vstupem do nové Městské knhovna vŠumperk</v>
      </c>
      <c r="D2" s="79"/>
      <c r="E2" s="69" t="s">
        <v>65</v>
      </c>
      <c r="F2" s="69" t="str">
        <f>'Stavební rozpočet'!J2</f>
        <v>Město Šumperk</v>
      </c>
      <c r="G2" s="63"/>
      <c r="H2" s="69" t="s">
        <v>137</v>
      </c>
      <c r="I2" s="92"/>
      <c r="J2" s="1"/>
    </row>
    <row r="3" spans="1:10" ht="25.5" customHeight="1">
      <c r="A3" s="64"/>
      <c r="B3" s="65"/>
      <c r="C3" s="67"/>
      <c r="D3" s="67"/>
      <c r="E3" s="65"/>
      <c r="F3" s="65"/>
      <c r="G3" s="65"/>
      <c r="H3" s="65"/>
      <c r="I3" s="71"/>
      <c r="J3" s="1"/>
    </row>
    <row r="4" spans="1:10" ht="12.75">
      <c r="A4" s="72" t="s">
        <v>2</v>
      </c>
      <c r="B4" s="65"/>
      <c r="C4" s="73" t="str">
        <f>'Stavební rozpočet'!D4</f>
        <v>Repasování fasádních prvků, umělecko řemeslné práce</v>
      </c>
      <c r="D4" s="65"/>
      <c r="E4" s="73" t="s">
        <v>66</v>
      </c>
      <c r="F4" s="73" t="str">
        <f>'Stavební rozpočet'!J4</f>
        <v>Ing.Ladislav Trčka</v>
      </c>
      <c r="G4" s="65"/>
      <c r="H4" s="73" t="s">
        <v>137</v>
      </c>
      <c r="I4" s="94"/>
      <c r="J4" s="1"/>
    </row>
    <row r="5" spans="1:10" ht="12.75">
      <c r="A5" s="64"/>
      <c r="B5" s="65"/>
      <c r="C5" s="65"/>
      <c r="D5" s="65"/>
      <c r="E5" s="65"/>
      <c r="F5" s="65"/>
      <c r="G5" s="65"/>
      <c r="H5" s="65"/>
      <c r="I5" s="71"/>
      <c r="J5" s="1"/>
    </row>
    <row r="6" spans="1:10" ht="12.75">
      <c r="A6" s="72" t="s">
        <v>3</v>
      </c>
      <c r="B6" s="65"/>
      <c r="C6" s="73" t="str">
        <f>'Stavební rozpočet'!D6</f>
        <v>Šumperk</v>
      </c>
      <c r="D6" s="65"/>
      <c r="E6" s="73" t="s">
        <v>67</v>
      </c>
      <c r="F6" s="73" t="str">
        <f>'Stavební rozpočet'!J6</f>
        <v>Restaurátor s oprávněním</v>
      </c>
      <c r="G6" s="65"/>
      <c r="H6" s="73" t="s">
        <v>137</v>
      </c>
      <c r="I6" s="94"/>
      <c r="J6" s="1"/>
    </row>
    <row r="7" spans="1:10" ht="12.75">
      <c r="A7" s="64"/>
      <c r="B7" s="65"/>
      <c r="C7" s="65"/>
      <c r="D7" s="65"/>
      <c r="E7" s="65"/>
      <c r="F7" s="65"/>
      <c r="G7" s="65"/>
      <c r="H7" s="65"/>
      <c r="I7" s="71"/>
      <c r="J7" s="1"/>
    </row>
    <row r="8" spans="1:10" ht="12.75">
      <c r="A8" s="72" t="s">
        <v>49</v>
      </c>
      <c r="B8" s="65"/>
      <c r="C8" s="73" t="str">
        <f>'Stavební rozpočet'!G4</f>
        <v>05.02.2018</v>
      </c>
      <c r="D8" s="65"/>
      <c r="E8" s="73" t="s">
        <v>50</v>
      </c>
      <c r="F8" s="73" t="str">
        <f>'Stavební rozpočet'!G6</f>
        <v> </v>
      </c>
      <c r="G8" s="65"/>
      <c r="H8" s="74" t="s">
        <v>138</v>
      </c>
      <c r="I8" s="94" t="s">
        <v>13</v>
      </c>
      <c r="J8" s="1"/>
    </row>
    <row r="9" spans="1:10" ht="12.75">
      <c r="A9" s="64"/>
      <c r="B9" s="65"/>
      <c r="C9" s="65"/>
      <c r="D9" s="65"/>
      <c r="E9" s="65"/>
      <c r="F9" s="65"/>
      <c r="G9" s="65"/>
      <c r="H9" s="65"/>
      <c r="I9" s="71"/>
      <c r="J9" s="1"/>
    </row>
    <row r="10" spans="1:10" ht="12.75">
      <c r="A10" s="72" t="s">
        <v>4</v>
      </c>
      <c r="B10" s="65"/>
      <c r="C10" s="73" t="str">
        <f>'Stavební rozpočet'!D8</f>
        <v> </v>
      </c>
      <c r="D10" s="65"/>
      <c r="E10" s="73" t="s">
        <v>68</v>
      </c>
      <c r="F10" s="73" t="str">
        <f>'Stavební rozpočet'!J8</f>
        <v> </v>
      </c>
      <c r="G10" s="65"/>
      <c r="H10" s="74" t="s">
        <v>139</v>
      </c>
      <c r="I10" s="96" t="str">
        <f>'Stavební rozpočet'!G8</f>
        <v>17.12.2017</v>
      </c>
      <c r="J10" s="1"/>
    </row>
    <row r="11" spans="1:10" ht="12.75">
      <c r="A11" s="95"/>
      <c r="B11" s="91"/>
      <c r="C11" s="91"/>
      <c r="D11" s="91"/>
      <c r="E11" s="91"/>
      <c r="F11" s="91"/>
      <c r="G11" s="91"/>
      <c r="H11" s="91"/>
      <c r="I11" s="97"/>
      <c r="J11" s="1"/>
    </row>
    <row r="12" spans="1:9" ht="23.25" customHeight="1">
      <c r="A12" s="98" t="s">
        <v>97</v>
      </c>
      <c r="B12" s="99"/>
      <c r="C12" s="99"/>
      <c r="D12" s="99"/>
      <c r="E12" s="99"/>
      <c r="F12" s="99"/>
      <c r="G12" s="99"/>
      <c r="H12" s="99"/>
      <c r="I12" s="99"/>
    </row>
    <row r="13" spans="1:10" ht="26.25" customHeight="1">
      <c r="A13" s="49" t="s">
        <v>98</v>
      </c>
      <c r="B13" s="100" t="s">
        <v>110</v>
      </c>
      <c r="C13" s="101"/>
      <c r="D13" s="49" t="s">
        <v>113</v>
      </c>
      <c r="E13" s="100" t="s">
        <v>122</v>
      </c>
      <c r="F13" s="101"/>
      <c r="G13" s="49" t="s">
        <v>123</v>
      </c>
      <c r="H13" s="100" t="s">
        <v>140</v>
      </c>
      <c r="I13" s="101"/>
      <c r="J13" s="1"/>
    </row>
    <row r="14" spans="1:10" ht="15" customHeight="1">
      <c r="A14" s="50" t="s">
        <v>99</v>
      </c>
      <c r="B14" s="54" t="s">
        <v>111</v>
      </c>
      <c r="C14" s="55">
        <f>SUM('Stavební rozpočet'!R12:R27)</f>
        <v>0</v>
      </c>
      <c r="D14" s="102" t="s">
        <v>114</v>
      </c>
      <c r="E14" s="103"/>
      <c r="F14" s="55">
        <v>0</v>
      </c>
      <c r="G14" s="102" t="s">
        <v>124</v>
      </c>
      <c r="H14" s="103"/>
      <c r="I14" s="55">
        <v>0</v>
      </c>
      <c r="J14" s="1"/>
    </row>
    <row r="15" spans="1:10" ht="15" customHeight="1">
      <c r="A15" s="51"/>
      <c r="B15" s="54" t="s">
        <v>69</v>
      </c>
      <c r="C15" s="55">
        <f>SUM('Stavební rozpočet'!S12:S27)</f>
        <v>0</v>
      </c>
      <c r="D15" s="102" t="s">
        <v>115</v>
      </c>
      <c r="E15" s="103"/>
      <c r="F15" s="55">
        <v>0</v>
      </c>
      <c r="G15" s="102" t="s">
        <v>125</v>
      </c>
      <c r="H15" s="103"/>
      <c r="I15" s="55">
        <v>0</v>
      </c>
      <c r="J15" s="1"/>
    </row>
    <row r="16" spans="1:10" ht="15" customHeight="1">
      <c r="A16" s="50" t="s">
        <v>100</v>
      </c>
      <c r="B16" s="54" t="s">
        <v>111</v>
      </c>
      <c r="C16" s="55">
        <f>SUM('Stavební rozpočet'!T12:T27)</f>
        <v>0</v>
      </c>
      <c r="D16" s="102" t="s">
        <v>116</v>
      </c>
      <c r="E16" s="103"/>
      <c r="F16" s="55">
        <v>0</v>
      </c>
      <c r="G16" s="102" t="s">
        <v>126</v>
      </c>
      <c r="H16" s="103"/>
      <c r="I16" s="55">
        <v>0</v>
      </c>
      <c r="J16" s="1"/>
    </row>
    <row r="17" spans="1:10" ht="15" customHeight="1">
      <c r="A17" s="51"/>
      <c r="B17" s="54" t="s">
        <v>69</v>
      </c>
      <c r="C17" s="55">
        <f>SUM('Stavební rozpočet'!U12:U27)</f>
        <v>0</v>
      </c>
      <c r="D17" s="102"/>
      <c r="E17" s="103"/>
      <c r="F17" s="56"/>
      <c r="G17" s="102" t="s">
        <v>127</v>
      </c>
      <c r="H17" s="103"/>
      <c r="I17" s="55">
        <v>0</v>
      </c>
      <c r="J17" s="1"/>
    </row>
    <row r="18" spans="1:10" ht="15" customHeight="1">
      <c r="A18" s="50" t="s">
        <v>101</v>
      </c>
      <c r="B18" s="54" t="s">
        <v>111</v>
      </c>
      <c r="C18" s="55">
        <f>SUM('Stavební rozpočet'!V12:V27)</f>
        <v>0</v>
      </c>
      <c r="D18" s="102"/>
      <c r="E18" s="103"/>
      <c r="F18" s="56"/>
      <c r="G18" s="102" t="s">
        <v>128</v>
      </c>
      <c r="H18" s="103"/>
      <c r="I18" s="55">
        <v>0</v>
      </c>
      <c r="J18" s="1"/>
    </row>
    <row r="19" spans="1:10" ht="15" customHeight="1">
      <c r="A19" s="51"/>
      <c r="B19" s="54" t="s">
        <v>69</v>
      </c>
      <c r="C19" s="55">
        <f>SUM('Stavební rozpočet'!W12:W27)</f>
        <v>0</v>
      </c>
      <c r="D19" s="102"/>
      <c r="E19" s="103"/>
      <c r="F19" s="56"/>
      <c r="G19" s="102" t="s">
        <v>129</v>
      </c>
      <c r="H19" s="103"/>
      <c r="I19" s="55">
        <v>0</v>
      </c>
      <c r="J19" s="1"/>
    </row>
    <row r="20" spans="1:10" ht="15" customHeight="1">
      <c r="A20" s="104" t="s">
        <v>102</v>
      </c>
      <c r="B20" s="105"/>
      <c r="C20" s="55">
        <f>SUM('Stavební rozpočet'!X12:X27)</f>
        <v>0</v>
      </c>
      <c r="D20" s="102"/>
      <c r="E20" s="103"/>
      <c r="F20" s="56"/>
      <c r="G20" s="102"/>
      <c r="H20" s="103"/>
      <c r="I20" s="56"/>
      <c r="J20" s="1"/>
    </row>
    <row r="21" spans="1:10" ht="15" customHeight="1">
      <c r="A21" s="104" t="s">
        <v>103</v>
      </c>
      <c r="B21" s="105"/>
      <c r="C21" s="55">
        <f>SUM('Stavební rozpočet'!P12:P27)</f>
        <v>0</v>
      </c>
      <c r="D21" s="102"/>
      <c r="E21" s="103"/>
      <c r="F21" s="56"/>
      <c r="G21" s="102"/>
      <c r="H21" s="103"/>
      <c r="I21" s="56"/>
      <c r="J21" s="1"/>
    </row>
    <row r="22" spans="1:10" ht="16.5" customHeight="1">
      <c r="A22" s="104" t="s">
        <v>104</v>
      </c>
      <c r="B22" s="105"/>
      <c r="C22" s="55">
        <f>ROUND(SUM(C14:C21),0)</f>
        <v>0</v>
      </c>
      <c r="D22" s="104" t="s">
        <v>117</v>
      </c>
      <c r="E22" s="105"/>
      <c r="F22" s="55">
        <f>SUM(F14:F21)</f>
        <v>0</v>
      </c>
      <c r="G22" s="104" t="s">
        <v>130</v>
      </c>
      <c r="H22" s="105"/>
      <c r="I22" s="55">
        <f>SUM(I14:I21)</f>
        <v>0</v>
      </c>
      <c r="J22" s="1"/>
    </row>
    <row r="23" spans="1:10" ht="15" customHeight="1">
      <c r="A23" s="9"/>
      <c r="B23" s="9"/>
      <c r="C23" s="29"/>
      <c r="D23" s="104" t="s">
        <v>118</v>
      </c>
      <c r="E23" s="105"/>
      <c r="F23" s="57">
        <v>0</v>
      </c>
      <c r="G23" s="104" t="s">
        <v>131</v>
      </c>
      <c r="H23" s="105"/>
      <c r="I23" s="55">
        <v>0</v>
      </c>
      <c r="J23" s="1"/>
    </row>
    <row r="24" spans="4:9" ht="15" customHeight="1">
      <c r="D24" s="9"/>
      <c r="E24" s="9"/>
      <c r="F24" s="58"/>
      <c r="G24" s="104" t="s">
        <v>132</v>
      </c>
      <c r="H24" s="105"/>
      <c r="I24" s="59"/>
    </row>
    <row r="25" spans="6:10" ht="15" customHeight="1">
      <c r="F25" s="30"/>
      <c r="G25" s="104" t="s">
        <v>133</v>
      </c>
      <c r="H25" s="105"/>
      <c r="I25" s="55">
        <v>0</v>
      </c>
      <c r="J25" s="1"/>
    </row>
    <row r="26" spans="1:9" ht="12.75">
      <c r="A26" s="8"/>
      <c r="B26" s="8"/>
      <c r="C26" s="8"/>
      <c r="G26" s="9"/>
      <c r="H26" s="9"/>
      <c r="I26" s="9"/>
    </row>
    <row r="27" spans="1:9" ht="15" customHeight="1">
      <c r="A27" s="106" t="s">
        <v>105</v>
      </c>
      <c r="B27" s="107"/>
      <c r="C27" s="60">
        <f>ROUND(SUM('Stavební rozpočet'!Z12:Z27),0)</f>
        <v>0</v>
      </c>
      <c r="D27" s="48"/>
      <c r="E27" s="8"/>
      <c r="F27" s="8"/>
      <c r="G27" s="8"/>
      <c r="H27" s="8"/>
      <c r="I27" s="8"/>
    </row>
    <row r="28" spans="1:10" ht="15" customHeight="1">
      <c r="A28" s="106" t="s">
        <v>106</v>
      </c>
      <c r="B28" s="107"/>
      <c r="C28" s="60">
        <f>ROUND(SUM('Stavební rozpočet'!AA12:AA27),0)</f>
        <v>0</v>
      </c>
      <c r="D28" s="106" t="s">
        <v>119</v>
      </c>
      <c r="E28" s="107"/>
      <c r="F28" s="60">
        <f>ROUND(C28*(15/100),2)</f>
        <v>0</v>
      </c>
      <c r="G28" s="106" t="s">
        <v>134</v>
      </c>
      <c r="H28" s="107"/>
      <c r="I28" s="60">
        <f>ROUND(SUM(C27:C29),0)</f>
        <v>0</v>
      </c>
      <c r="J28" s="1"/>
    </row>
    <row r="29" spans="1:10" ht="15" customHeight="1">
      <c r="A29" s="106" t="s">
        <v>107</v>
      </c>
      <c r="B29" s="107"/>
      <c r="C29" s="60">
        <f>ROUND(SUM('Stavební rozpočet'!AB12:AB27)+(F22+I22+F23+I23+I24+I25),0)</f>
        <v>0</v>
      </c>
      <c r="D29" s="106" t="s">
        <v>120</v>
      </c>
      <c r="E29" s="107"/>
      <c r="F29" s="60">
        <f>ROUND(C29*(21/100),2)</f>
        <v>0</v>
      </c>
      <c r="G29" s="106" t="s">
        <v>135</v>
      </c>
      <c r="H29" s="107"/>
      <c r="I29" s="60">
        <f>ROUND(SUM(F28:F29)+I28,0)</f>
        <v>0</v>
      </c>
      <c r="J29" s="1"/>
    </row>
    <row r="30" spans="1:9" ht="12.75">
      <c r="A30" s="52"/>
      <c r="B30" s="52"/>
      <c r="C30" s="52"/>
      <c r="D30" s="52"/>
      <c r="E30" s="52"/>
      <c r="F30" s="52"/>
      <c r="G30" s="52"/>
      <c r="H30" s="52"/>
      <c r="I30" s="52"/>
    </row>
    <row r="31" spans="1:10" ht="14.25" customHeight="1">
      <c r="A31" s="108" t="s">
        <v>108</v>
      </c>
      <c r="B31" s="109"/>
      <c r="C31" s="110"/>
      <c r="D31" s="108" t="s">
        <v>121</v>
      </c>
      <c r="E31" s="109"/>
      <c r="F31" s="110"/>
      <c r="G31" s="108" t="s">
        <v>136</v>
      </c>
      <c r="H31" s="109"/>
      <c r="I31" s="110"/>
      <c r="J31" s="35"/>
    </row>
    <row r="32" spans="1:10" ht="14.25" customHeight="1">
      <c r="A32" s="111"/>
      <c r="B32" s="112"/>
      <c r="C32" s="113"/>
      <c r="D32" s="111"/>
      <c r="E32" s="112"/>
      <c r="F32" s="113"/>
      <c r="G32" s="111"/>
      <c r="H32" s="112"/>
      <c r="I32" s="113"/>
      <c r="J32" s="35"/>
    </row>
    <row r="33" spans="1:10" ht="14.25" customHeight="1">
      <c r="A33" s="111"/>
      <c r="B33" s="112"/>
      <c r="C33" s="113"/>
      <c r="D33" s="111"/>
      <c r="E33" s="112"/>
      <c r="F33" s="113"/>
      <c r="G33" s="111"/>
      <c r="H33" s="112"/>
      <c r="I33" s="113"/>
      <c r="J33" s="35"/>
    </row>
    <row r="34" spans="1:10" ht="14.25" customHeight="1">
      <c r="A34" s="111"/>
      <c r="B34" s="112"/>
      <c r="C34" s="113"/>
      <c r="D34" s="111"/>
      <c r="E34" s="112"/>
      <c r="F34" s="113"/>
      <c r="G34" s="111"/>
      <c r="H34" s="112"/>
      <c r="I34" s="113"/>
      <c r="J34" s="35"/>
    </row>
    <row r="35" spans="1:10" ht="14.25" customHeight="1">
      <c r="A35" s="114" t="s">
        <v>109</v>
      </c>
      <c r="B35" s="115"/>
      <c r="C35" s="116"/>
      <c r="D35" s="114" t="s">
        <v>109</v>
      </c>
      <c r="E35" s="115"/>
      <c r="F35" s="116"/>
      <c r="G35" s="114" t="s">
        <v>109</v>
      </c>
      <c r="H35" s="115"/>
      <c r="I35" s="116"/>
      <c r="J35" s="35"/>
    </row>
    <row r="36" spans="1:9" ht="11.25" customHeight="1">
      <c r="A36" s="53" t="s">
        <v>14</v>
      </c>
      <c r="B36" s="44"/>
      <c r="C36" s="44"/>
      <c r="D36" s="44"/>
      <c r="E36" s="44"/>
      <c r="F36" s="44"/>
      <c r="G36" s="44"/>
      <c r="H36" s="44"/>
      <c r="I36" s="44"/>
    </row>
    <row r="37" spans="1:9" ht="12.75">
      <c r="A37" s="73"/>
      <c r="B37" s="65"/>
      <c r="C37" s="65"/>
      <c r="D37" s="65"/>
      <c r="E37" s="65"/>
      <c r="F37" s="65"/>
      <c r="G37" s="65"/>
      <c r="H37" s="65"/>
      <c r="I37" s="65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1:I1"/>
    <mergeCell ref="A4:B5"/>
    <mergeCell ref="C4:D5"/>
    <mergeCell ref="E4:E5"/>
    <mergeCell ref="F4:G5"/>
    <mergeCell ref="H4:H5"/>
    <mergeCell ref="I4:I5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Zatloukalová Eva, Ing.</dc:creator>
  <cp:keywords/>
  <dc:description/>
  <cp:lastModifiedBy>Zatloukalová Eva, Ing.</cp:lastModifiedBy>
  <dcterms:created xsi:type="dcterms:W3CDTF">2018-06-15T08:21:49Z</dcterms:created>
  <dcterms:modified xsi:type="dcterms:W3CDTF">2018-06-15T08:21:49Z</dcterms:modified>
  <cp:category/>
  <cp:version/>
  <cp:contentType/>
  <cp:contentStatus/>
</cp:coreProperties>
</file>