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Stavební rozpočet" sheetId="1" r:id="rId1"/>
    <sheet name="Rozpočet - vybrané sloupce" sheetId="2" r:id="rId2"/>
    <sheet name="Stavební rozpočet - součet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<sst xmlns="http://schemas.openxmlformats.org/spreadsheetml/2006/main" count="624" uniqueCount="209">
  <si>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</si>
  <si>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</si>
  <si>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</si>
  <si>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</si>
  <si>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</si>
  <si>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</si>
  <si>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</si>
  <si>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</si>
  <si>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</si>
  <si>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</si>
  <si>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</si>
  <si>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</si>
  <si>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</si>
  <si>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</si>
  <si>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</si>
  <si>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</si>
  <si>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</si>
  <si>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</si>
  <si>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</si>
  <si>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</si>
  <si>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</si>
  <si>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</si>
  <si>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</si>
  <si>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</si>
  <si>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</si>
  <si>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</si>
  <si>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</si>
  <si>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</si>
  <si>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</si>
  <si>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</si>
  <si>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</si>
  <si>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</si>
  <si>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</si>
  <si>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</si>
  <si>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Objekt</t>
  </si>
  <si>
    <t>Kód</t>
  </si>
  <si>
    <t>111200001RA0</t>
  </si>
  <si>
    <t>112107111R00</t>
  </si>
  <si>
    <t>112111111R00</t>
  </si>
  <si>
    <t>112201101R00</t>
  </si>
  <si>
    <t>120901114R00</t>
  </si>
  <si>
    <t>151201401R00</t>
  </si>
  <si>
    <t>151201411R00</t>
  </si>
  <si>
    <t>31</t>
  </si>
  <si>
    <t>317351101R00</t>
  </si>
  <si>
    <t>317351102R00</t>
  </si>
  <si>
    <t>317234410RT2</t>
  </si>
  <si>
    <t>32</t>
  </si>
  <si>
    <t>327221131R00</t>
  </si>
  <si>
    <t>327214511R00</t>
  </si>
  <si>
    <t>62</t>
  </si>
  <si>
    <t>622491141R00</t>
  </si>
  <si>
    <t>627455111R00</t>
  </si>
  <si>
    <t>622211111R00</t>
  </si>
  <si>
    <t>63</t>
  </si>
  <si>
    <t>631312711R00</t>
  </si>
  <si>
    <t>93</t>
  </si>
  <si>
    <t>938902122R00</t>
  </si>
  <si>
    <t>94</t>
  </si>
  <si>
    <t>941941041R00</t>
  </si>
  <si>
    <t>941941291R00</t>
  </si>
  <si>
    <t>941941841R00</t>
  </si>
  <si>
    <t>97</t>
  </si>
  <si>
    <t>970051020R00</t>
  </si>
  <si>
    <t>H15</t>
  </si>
  <si>
    <t>998153131R00</t>
  </si>
  <si>
    <t>S</t>
  </si>
  <si>
    <t>979082111R00</t>
  </si>
  <si>
    <t>979086112R00</t>
  </si>
  <si>
    <t>979091211R00</t>
  </si>
  <si>
    <t>199000000R00</t>
  </si>
  <si>
    <t>58380652</t>
  </si>
  <si>
    <t>Statické posouzení a návrh oprav hradní zdi Šumperk</t>
  </si>
  <si>
    <t>Statické posouzení a návrh oprav hradní zdi  část Z10</t>
  </si>
  <si>
    <t>Šumperk</t>
  </si>
  <si>
    <t>Zkrácený popis</t>
  </si>
  <si>
    <t>Přípravné a přidružené práce</t>
  </si>
  <si>
    <t>Odstranění křovin a stromů do 100 mm, spálení</t>
  </si>
  <si>
    <t>Kácení stromů D do 30 cm</t>
  </si>
  <si>
    <t>Spálení větví všech druhů stromů</t>
  </si>
  <si>
    <t>Odstranění pařezů pod úrovní, o průměru 10 - 30 cm</t>
  </si>
  <si>
    <t>Odkopávky a prokopávky</t>
  </si>
  <si>
    <t>Bourání konstrukcí kamenných na sucho</t>
  </si>
  <si>
    <t>Roubení</t>
  </si>
  <si>
    <t>Vzepření stěn pažení - zátažné - hl. do 4 m</t>
  </si>
  <si>
    <t>Odstranění vzepření stěn - zátažné - hl. do 4 m</t>
  </si>
  <si>
    <t>Zdi podpěrné a volné</t>
  </si>
  <si>
    <t>Bednění klenbových pásů - zřízení</t>
  </si>
  <si>
    <t>Bednění klenbových pásů - odstranění</t>
  </si>
  <si>
    <t>Doplnění klenby cihlami pálenými na maltu vápennou památkářskou CEMIX</t>
  </si>
  <si>
    <t>Zdi přehradní a opěrné</t>
  </si>
  <si>
    <t>Zdění nadzákl. zdiva  řádkové provazované</t>
  </si>
  <si>
    <t>Zdivo nadzákl. opěrné z lom. kam., na sucho</t>
  </si>
  <si>
    <t>Úprava povrchů vnější</t>
  </si>
  <si>
    <t>Nátěr spar hydrofobní Porosil ZV 1 x (plocha spáry)</t>
  </si>
  <si>
    <t>Spárování starého zdiva z lom. kamene hloubkové, spárovací malta CEMIX (plocha spáry)</t>
  </si>
  <si>
    <t>Čištění zdiva opěr, pilířů, křídel od mechu</t>
  </si>
  <si>
    <t>Podlahy a podlahové konstrukce</t>
  </si>
  <si>
    <t>Mazanina betonová tl. 5 - 8 cm C 25/30  (B 30)</t>
  </si>
  <si>
    <t>Různé dokončovací konstrukce a práce inženýrských staveb</t>
  </si>
  <si>
    <t>Čištění ploch kamenných konstrukcí tlakovou vodou</t>
  </si>
  <si>
    <t>Lešení a stavební výtahy</t>
  </si>
  <si>
    <t>Montáž lešení leh.řad.s podlahami,š.1,2 m, H 10 m</t>
  </si>
  <si>
    <t>Příplatek za každý měsíc použití lešení k pol.1041</t>
  </si>
  <si>
    <t>Demontáž lešení leh.řad.s podlahami,š.1,2 m,H 10 m</t>
  </si>
  <si>
    <t>Prorážení otvorů a ostatní bourací práce</t>
  </si>
  <si>
    <t>Vrtání jádrové kamene do d 150 mm vložení PVC roury</t>
  </si>
  <si>
    <t>Objekty pozemní zvláštní</t>
  </si>
  <si>
    <t>Přesun hmot, zdi a valy samostatné zděné do 20 m</t>
  </si>
  <si>
    <t>Přesuny sutí</t>
  </si>
  <si>
    <t>Vnitrostaveništní doprava suti do 10 m</t>
  </si>
  <si>
    <t>Nakládání nebo překládání suti a vybouraných hmot</t>
  </si>
  <si>
    <t>Vodorovné přemístění suti do 7 km</t>
  </si>
  <si>
    <t>Poplatek za skladku suti</t>
  </si>
  <si>
    <t>Ostatní materiál</t>
  </si>
  <si>
    <t>Kámen lomový neupravený  tř. 1, tříděný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</si>
  <si>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</si>
  <si>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</si>
  <si>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</si>
  <si>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</si>
  <si>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</si>
  <si>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</si>
  <si>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</si>
  <si>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m3</t>
  </si>
  <si>
    <t>m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</si>
  <si>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</si>
  <si>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</si>
  <si>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</si>
  <si>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</si>
  <si>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</si>
  <si>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</si>
  <si>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</si>
  <si>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</si>
  <si>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</si>
  <si>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</si>
  <si>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</si>
  <si>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</si>
  <si>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</si>
  <si>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Antonín Vincourek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</si>
  <si>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</si>
  <si>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</si>
  <si>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</si>
  <si>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</si>
  <si>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</si>
  <si>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</si>
  <si>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</si>
  <si>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</si>
  <si>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</si>
  <si>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</si>
  <si>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</si>
  <si>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</si>
  <si>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</si>
  <si>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</si>
  <si>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</si>
  <si>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Obj</t>
  </si>
  <si>
    <t>Sazba DPH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</si>
  <si>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</si>
  <si>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</si>
  <si>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</si>
  <si>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</si>
  <si>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</si>
  <si>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</si>
  <si>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>Varianta</t>
  </si>
  <si>
    <t>s použitím suché maltové směsi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</si>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</sst>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8" fillId="0" borderId="28" xfId="0" applyNumberFormat="1" applyFont="1" applyFill="1" applyBorder="1" applyAlignment="1" applyProtection="1">
      <alignment horizontal="right" vertical="center"/>
      <protection/>
    </xf>
    <xf numFmtId="49" fontId="8" fillId="0" borderId="28" xfId="0" applyNumberFormat="1" applyFont="1" applyFill="1" applyBorder="1" applyAlignment="1" applyProtection="1">
      <alignment horizontal="right" vertical="center"/>
      <protection/>
    </xf>
    <xf numFmtId="4" fontId="7" fillId="33" borderId="34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7" fillId="33" borderId="49" xfId="0" applyNumberFormat="1" applyFont="1" applyFill="1" applyBorder="1" applyAlignment="1" applyProtection="1">
      <alignment horizontal="left" vertical="center"/>
      <protection/>
    </xf>
    <xf numFmtId="0" fontId="7" fillId="33" borderId="31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49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3">
      <selection activeCell="K54" sqref="K5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2.75">
      <c r="A2" s="70" t="s">
        <v>1</v>
      </c>
      <c r="B2" s="63"/>
      <c r="C2" s="63"/>
      <c r="D2" s="52" t="s">
        <v>72</v>
      </c>
      <c r="E2" s="59" t="s">
        <v>116</v>
      </c>
      <c r="F2" s="63"/>
      <c r="G2" s="59"/>
      <c r="H2" s="63"/>
      <c r="I2" s="59" t="s">
        <v>133</v>
      </c>
      <c r="J2" s="59"/>
      <c r="K2" s="63"/>
      <c r="L2" s="64"/>
      <c r="M2" s="22"/>
    </row>
    <row r="3" spans="1:13" ht="12.75">
      <c r="A3" s="71"/>
      <c r="B3" s="60"/>
      <c r="C3" s="60"/>
      <c r="D3" s="74"/>
      <c r="E3" s="60"/>
      <c r="F3" s="60"/>
      <c r="G3" s="60"/>
      <c r="H3" s="60"/>
      <c r="I3" s="60"/>
      <c r="J3" s="60"/>
      <c r="K3" s="60"/>
      <c r="L3" s="65"/>
      <c r="M3" s="22"/>
    </row>
    <row r="4" spans="1:13" ht="12.75">
      <c r="A4" s="72" t="s">
        <v>2</v>
      </c>
      <c r="B4" s="60"/>
      <c r="C4" s="60"/>
      <c r="D4" s="61" t="s">
        <v>73</v>
      </c>
      <c r="E4" s="61" t="s">
        <v>117</v>
      </c>
      <c r="F4" s="60"/>
      <c r="G4" s="67">
        <v>43618</v>
      </c>
      <c r="H4" s="60"/>
      <c r="I4" s="61" t="s">
        <v>134</v>
      </c>
      <c r="J4" s="61"/>
      <c r="K4" s="60"/>
      <c r="L4" s="65"/>
      <c r="M4" s="22"/>
    </row>
    <row r="5" spans="1:13" ht="12.75">
      <c r="A5" s="71"/>
      <c r="B5" s="60"/>
      <c r="C5" s="60"/>
      <c r="D5" s="60"/>
      <c r="E5" s="60"/>
      <c r="F5" s="60"/>
      <c r="G5" s="60"/>
      <c r="H5" s="60"/>
      <c r="I5" s="60"/>
      <c r="J5" s="60"/>
      <c r="K5" s="60"/>
      <c r="L5" s="65"/>
      <c r="M5" s="22"/>
    </row>
    <row r="6" spans="1:13" ht="12.75">
      <c r="A6" s="72" t="s">
        <v>3</v>
      </c>
      <c r="B6" s="60"/>
      <c r="C6" s="60"/>
      <c r="D6" s="61" t="s">
        <v>74</v>
      </c>
      <c r="E6" s="61" t="s">
        <v>118</v>
      </c>
      <c r="F6" s="60"/>
      <c r="G6" s="60"/>
      <c r="H6" s="60"/>
      <c r="I6" s="61" t="s">
        <v>135</v>
      </c>
      <c r="J6" s="61"/>
      <c r="K6" s="60"/>
      <c r="L6" s="65"/>
      <c r="M6" s="22"/>
    </row>
    <row r="7" spans="1:13" ht="12.75">
      <c r="A7" s="71"/>
      <c r="B7" s="60"/>
      <c r="C7" s="60"/>
      <c r="D7" s="60"/>
      <c r="E7" s="60"/>
      <c r="F7" s="60"/>
      <c r="G7" s="60"/>
      <c r="H7" s="60"/>
      <c r="I7" s="60"/>
      <c r="J7" s="60"/>
      <c r="K7" s="60"/>
      <c r="L7" s="65"/>
      <c r="M7" s="22"/>
    </row>
    <row r="8" spans="1:13" ht="12.75">
      <c r="A8" s="72" t="s">
        <v>4</v>
      </c>
      <c r="B8" s="60"/>
      <c r="C8" s="60"/>
      <c r="D8" s="61"/>
      <c r="E8" s="61" t="s">
        <v>119</v>
      </c>
      <c r="F8" s="60"/>
      <c r="G8" s="67">
        <v>43618</v>
      </c>
      <c r="H8" s="60"/>
      <c r="I8" s="61" t="s">
        <v>136</v>
      </c>
      <c r="J8" s="61" t="s">
        <v>138</v>
      </c>
      <c r="K8" s="60"/>
      <c r="L8" s="65"/>
      <c r="M8" s="22"/>
    </row>
    <row r="9" spans="1:13" ht="12.75">
      <c r="A9" s="73"/>
      <c r="B9" s="62"/>
      <c r="C9" s="62"/>
      <c r="D9" s="62"/>
      <c r="E9" s="62"/>
      <c r="F9" s="62"/>
      <c r="G9" s="62"/>
      <c r="H9" s="62"/>
      <c r="I9" s="62"/>
      <c r="J9" s="62"/>
      <c r="K9" s="62"/>
      <c r="L9" s="66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128</v>
      </c>
      <c r="H10" s="54" t="s">
        <v>130</v>
      </c>
      <c r="I10" s="55"/>
      <c r="J10" s="56"/>
      <c r="K10" s="54" t="s">
        <v>140</v>
      </c>
      <c r="L10" s="56"/>
      <c r="M10" s="23"/>
    </row>
    <row r="11" spans="1:24" ht="12.75">
      <c r="A11" s="2" t="s">
        <v>6</v>
      </c>
      <c r="B11" s="9" t="s">
        <v>34</v>
      </c>
      <c r="C11" s="9" t="s">
        <v>35</v>
      </c>
      <c r="D11" s="9" t="s">
        <v>75</v>
      </c>
      <c r="E11" s="9" t="s">
        <v>120</v>
      </c>
      <c r="F11" s="12" t="s">
        <v>127</v>
      </c>
      <c r="G11" s="16" t="s">
        <v>129</v>
      </c>
      <c r="H11" s="17" t="s">
        <v>131</v>
      </c>
      <c r="I11" s="18" t="s">
        <v>137</v>
      </c>
      <c r="J11" s="19" t="s">
        <v>139</v>
      </c>
      <c r="K11" s="17" t="s">
        <v>128</v>
      </c>
      <c r="L11" s="19" t="s">
        <v>139</v>
      </c>
      <c r="M11" s="23"/>
      <c r="P11" s="21" t="s">
        <v>142</v>
      </c>
      <c r="Q11" s="21" t="s">
        <v>143</v>
      </c>
      <c r="R11" s="21" t="s">
        <v>147</v>
      </c>
      <c r="S11" s="21" t="s">
        <v>148</v>
      </c>
      <c r="T11" s="21" t="s">
        <v>149</v>
      </c>
      <c r="U11" s="21" t="s">
        <v>150</v>
      </c>
      <c r="V11" s="21" t="s">
        <v>151</v>
      </c>
      <c r="W11" s="21" t="s">
        <v>152</v>
      </c>
      <c r="X11" s="21" t="s">
        <v>153</v>
      </c>
    </row>
    <row r="12" spans="1:37" ht="12.75">
      <c r="A12" s="3"/>
      <c r="B12" s="3"/>
      <c r="C12" s="10" t="s">
        <v>17</v>
      </c>
      <c r="D12" s="57" t="s">
        <v>76</v>
      </c>
      <c r="E12" s="58"/>
      <c r="F12" s="58"/>
      <c r="G12" s="58"/>
      <c r="H12" s="25">
        <f>SUM(H13:H16)</f>
        <v>0</v>
      </c>
      <c r="I12" s="25">
        <f>SUM(I13:I16)</f>
        <v>0</v>
      </c>
      <c r="J12" s="25">
        <f>H12+I12</f>
        <v>0</v>
      </c>
      <c r="K12" s="20"/>
      <c r="L12" s="25">
        <f>SUM(L13:L16)</f>
        <v>0.00015000000000000001</v>
      </c>
      <c r="P12" s="26">
        <f>IF(Q12="PR",J12,SUM(O13:O16))</f>
        <v>0</v>
      </c>
      <c r="Q12" s="21" t="s">
        <v>144</v>
      </c>
      <c r="R12" s="26">
        <f>IF(Q12="HS",H12,0)</f>
        <v>0</v>
      </c>
      <c r="S12" s="26">
        <f>IF(Q12="HS",I12-P12,0)</f>
        <v>0</v>
      </c>
      <c r="T12" s="26">
        <f>IF(Q12="PS",H12,0)</f>
        <v>0</v>
      </c>
      <c r="U12" s="26">
        <f>IF(Q12="PS",I12-P12,0)</f>
        <v>0</v>
      </c>
      <c r="V12" s="26">
        <f>IF(Q12="MP",H12,0)</f>
        <v>0</v>
      </c>
      <c r="W12" s="26">
        <f>IF(Q12="MP",I12-P12,0)</f>
        <v>0</v>
      </c>
      <c r="X12" s="26">
        <f>IF(Q12="OM",H12,0)</f>
        <v>0</v>
      </c>
      <c r="Y12" s="21"/>
      <c r="AI12" s="26">
        <f>SUM(Z13:Z16)</f>
        <v>0</v>
      </c>
      <c r="AJ12" s="26">
        <f>SUM(AA13:AA16)</f>
        <v>0</v>
      </c>
      <c r="AK12" s="26">
        <f>SUM(AB13:AB16)</f>
        <v>0</v>
      </c>
    </row>
    <row r="13" spans="1:32" ht="12.75">
      <c r="A13" s="4" t="s">
        <v>7</v>
      </c>
      <c r="B13" s="4"/>
      <c r="C13" s="4" t="s">
        <v>36</v>
      </c>
      <c r="D13" s="4" t="s">
        <v>77</v>
      </c>
      <c r="E13" s="4" t="s">
        <v>121</v>
      </c>
      <c r="F13" s="13">
        <v>20</v>
      </c>
      <c r="G13" s="13">
        <v>0</v>
      </c>
      <c r="H13" s="13">
        <f>ROUND(F13*AE13,2)</f>
        <v>0</v>
      </c>
      <c r="I13" s="13"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9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13">
        <v>21</v>
      </c>
      <c r="AE13" s="13">
        <f>G13*0.0262015503875969</f>
        <v>0</v>
      </c>
      <c r="AF13" s="13">
        <f>G13*(1-0.0262015503875969)</f>
        <v>0</v>
      </c>
    </row>
    <row r="14" spans="1:32" ht="12.75">
      <c r="A14" s="4" t="s">
        <v>8</v>
      </c>
      <c r="B14" s="4"/>
      <c r="C14" s="4" t="s">
        <v>37</v>
      </c>
      <c r="D14" s="4" t="s">
        <v>78</v>
      </c>
      <c r="E14" s="4" t="s">
        <v>122</v>
      </c>
      <c r="F14" s="13">
        <v>3</v>
      </c>
      <c r="G14" s="13">
        <v>0</v>
      </c>
      <c r="H14" s="13">
        <f>ROUND(F14*AE14,2)</f>
        <v>0</v>
      </c>
      <c r="I14" s="13"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7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</f>
        <v>0</v>
      </c>
      <c r="AF14" s="13">
        <f>G14*(1-0)</f>
        <v>0</v>
      </c>
    </row>
    <row r="15" spans="1:32" ht="12.75">
      <c r="A15" s="4" t="s">
        <v>9</v>
      </c>
      <c r="B15" s="4"/>
      <c r="C15" s="4" t="s">
        <v>38</v>
      </c>
      <c r="D15" s="4" t="s">
        <v>79</v>
      </c>
      <c r="E15" s="4" t="s">
        <v>122</v>
      </c>
      <c r="F15" s="13">
        <v>3</v>
      </c>
      <c r="G15" s="13">
        <v>0</v>
      </c>
      <c r="H15" s="13">
        <f>ROUND(F15*AE15,2)</f>
        <v>0</v>
      </c>
      <c r="I15" s="13">
        <v>0</v>
      </c>
      <c r="J15" s="13">
        <f>ROUND(F15*G15,2)</f>
        <v>0</v>
      </c>
      <c r="K15" s="13">
        <v>0</v>
      </c>
      <c r="L15" s="13">
        <f>F15*K15</f>
        <v>0</v>
      </c>
      <c r="N15" s="24" t="s">
        <v>7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13">
        <v>21</v>
      </c>
      <c r="AE15" s="13">
        <f>G15*0</f>
        <v>0</v>
      </c>
      <c r="AF15" s="13">
        <f>G15*(1-0)</f>
        <v>0</v>
      </c>
    </row>
    <row r="16" spans="1:32" ht="12.75">
      <c r="A16" s="4" t="s">
        <v>10</v>
      </c>
      <c r="B16" s="4"/>
      <c r="C16" s="4" t="s">
        <v>39</v>
      </c>
      <c r="D16" s="4" t="s">
        <v>80</v>
      </c>
      <c r="E16" s="4" t="s">
        <v>122</v>
      </c>
      <c r="F16" s="13">
        <v>3</v>
      </c>
      <c r="G16" s="13">
        <v>0</v>
      </c>
      <c r="H16" s="13">
        <f>ROUND(F16*AE16,2)</f>
        <v>0</v>
      </c>
      <c r="I16" s="13">
        <v>0</v>
      </c>
      <c r="J16" s="13">
        <f>ROUND(F16*G16,2)</f>
        <v>0</v>
      </c>
      <c r="K16" s="13">
        <v>5E-05</v>
      </c>
      <c r="L16" s="13">
        <f>F16*K16</f>
        <v>0.00015000000000000001</v>
      </c>
      <c r="N16" s="24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13">
        <v>21</v>
      </c>
      <c r="AE16" s="13">
        <f>G16*0.00931972789115646</f>
        <v>0</v>
      </c>
      <c r="AF16" s="13">
        <f>G16*(1-0.00931972789115646)</f>
        <v>0</v>
      </c>
    </row>
    <row r="17" spans="1:37" ht="12.75">
      <c r="A17" s="5"/>
      <c r="B17" s="5"/>
      <c r="C17" s="11" t="s">
        <v>18</v>
      </c>
      <c r="D17" s="50" t="s">
        <v>81</v>
      </c>
      <c r="E17" s="51"/>
      <c r="F17" s="51"/>
      <c r="G17" s="51"/>
      <c r="H17" s="26">
        <f>SUM(H18:H18)</f>
        <v>0</v>
      </c>
      <c r="I17" s="26">
        <f>SUM(I18:I18)</f>
        <v>0</v>
      </c>
      <c r="J17" s="26">
        <f>H17+I17</f>
        <v>0</v>
      </c>
      <c r="K17" s="21"/>
      <c r="L17" s="26">
        <f>SUM(L18:L18)</f>
        <v>0</v>
      </c>
      <c r="P17" s="26">
        <f>IF(Q17="PR",J17,SUM(O18:O18))</f>
        <v>0</v>
      </c>
      <c r="Q17" s="21" t="s">
        <v>144</v>
      </c>
      <c r="R17" s="26">
        <f>IF(Q17="HS",H17,0)</f>
        <v>0</v>
      </c>
      <c r="S17" s="26">
        <f>IF(Q17="HS",I17-P17,0)</f>
        <v>0</v>
      </c>
      <c r="T17" s="26">
        <f>IF(Q17="PS",H17,0)</f>
        <v>0</v>
      </c>
      <c r="U17" s="26">
        <f>IF(Q17="PS",I17-P17,0)</f>
        <v>0</v>
      </c>
      <c r="V17" s="26">
        <f>IF(Q17="MP",H17,0)</f>
        <v>0</v>
      </c>
      <c r="W17" s="26">
        <f>IF(Q17="MP",I17-P17,0)</f>
        <v>0</v>
      </c>
      <c r="X17" s="26">
        <f>IF(Q17="OM",H17,0)</f>
        <v>0</v>
      </c>
      <c r="Y17" s="21"/>
      <c r="AI17" s="26">
        <f>SUM(Z18:Z18)</f>
        <v>0</v>
      </c>
      <c r="AJ17" s="26">
        <f>SUM(AA18:AA18)</f>
        <v>0</v>
      </c>
      <c r="AK17" s="26">
        <f>SUM(AB18:AB18)</f>
        <v>0</v>
      </c>
    </row>
    <row r="18" spans="1:32" ht="12.75">
      <c r="A18" s="4" t="s">
        <v>11</v>
      </c>
      <c r="B18" s="4"/>
      <c r="C18" s="4" t="s">
        <v>40</v>
      </c>
      <c r="D18" s="4" t="s">
        <v>82</v>
      </c>
      <c r="E18" s="4" t="s">
        <v>123</v>
      </c>
      <c r="F18" s="13">
        <v>3</v>
      </c>
      <c r="G18" s="13">
        <v>0</v>
      </c>
      <c r="H18" s="13">
        <f>ROUND(F18*AE18,2)</f>
        <v>0</v>
      </c>
      <c r="I18" s="13">
        <v>0</v>
      </c>
      <c r="J18" s="13">
        <f>ROUND(F18*G18,2)</f>
        <v>0</v>
      </c>
      <c r="K18" s="13">
        <v>0</v>
      </c>
      <c r="L18" s="13">
        <f>F18*K18</f>
        <v>0</v>
      </c>
      <c r="N18" s="24" t="s">
        <v>7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13">
        <v>21</v>
      </c>
      <c r="AE18" s="13">
        <f>G18*0</f>
        <v>0</v>
      </c>
      <c r="AF18" s="13">
        <f>G18*(1-0)</f>
        <v>0</v>
      </c>
    </row>
    <row r="19" spans="1:37" ht="12.75">
      <c r="A19" s="5"/>
      <c r="B19" s="5"/>
      <c r="C19" s="11" t="s">
        <v>21</v>
      </c>
      <c r="D19" s="50" t="s">
        <v>83</v>
      </c>
      <c r="E19" s="51"/>
      <c r="F19" s="51"/>
      <c r="G19" s="51"/>
      <c r="H19" s="26">
        <f>SUM(H20:H21)</f>
        <v>0</v>
      </c>
      <c r="I19" s="26">
        <f>SUM(I20:I21)</f>
        <v>0</v>
      </c>
      <c r="J19" s="26">
        <f>H19+I19</f>
        <v>0</v>
      </c>
      <c r="K19" s="21"/>
      <c r="L19" s="26">
        <f>SUM(L20:L21)</f>
        <v>0</v>
      </c>
      <c r="P19" s="26">
        <f>IF(Q19="PR",J19,SUM(O20:O21))</f>
        <v>0</v>
      </c>
      <c r="Q19" s="21" t="s">
        <v>144</v>
      </c>
      <c r="R19" s="26">
        <f>IF(Q19="HS",H19,0)</f>
        <v>0</v>
      </c>
      <c r="S19" s="26">
        <f>IF(Q19="HS",I19-P19,0)</f>
        <v>0</v>
      </c>
      <c r="T19" s="26">
        <f>IF(Q19="PS",H19,0)</f>
        <v>0</v>
      </c>
      <c r="U19" s="26">
        <f>IF(Q19="PS",I19-P19,0)</f>
        <v>0</v>
      </c>
      <c r="V19" s="26">
        <f>IF(Q19="MP",H19,0)</f>
        <v>0</v>
      </c>
      <c r="W19" s="26">
        <f>IF(Q19="MP",I19-P19,0)</f>
        <v>0</v>
      </c>
      <c r="X19" s="26">
        <f>IF(Q19="OM",H19,0)</f>
        <v>0</v>
      </c>
      <c r="Y19" s="21"/>
      <c r="AI19" s="26">
        <f>SUM(Z20:Z21)</f>
        <v>0</v>
      </c>
      <c r="AJ19" s="26">
        <f>SUM(AA20:AA21)</f>
        <v>0</v>
      </c>
      <c r="AK19" s="26">
        <f>SUM(AB20:AB21)</f>
        <v>0</v>
      </c>
    </row>
    <row r="20" spans="1:32" ht="12.75">
      <c r="A20" s="4" t="s">
        <v>12</v>
      </c>
      <c r="B20" s="4"/>
      <c r="C20" s="4" t="s">
        <v>41</v>
      </c>
      <c r="D20" s="4" t="s">
        <v>84</v>
      </c>
      <c r="E20" s="4" t="s">
        <v>121</v>
      </c>
      <c r="F20" s="13">
        <v>45</v>
      </c>
      <c r="G20" s="13">
        <v>0</v>
      </c>
      <c r="H20" s="13">
        <f>ROUND(F20*AE20,2)</f>
        <v>0</v>
      </c>
      <c r="I20" s="13">
        <v>0</v>
      </c>
      <c r="J20" s="13">
        <f>ROUND(F20*G20,2)</f>
        <v>0</v>
      </c>
      <c r="K20" s="13">
        <v>0.00407</v>
      </c>
      <c r="L20" s="13">
        <v>0</v>
      </c>
      <c r="N20" s="24" t="s">
        <v>7</v>
      </c>
      <c r="O20" s="13">
        <f>IF(N20="5",I20,0)</f>
        <v>0</v>
      </c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13">
        <v>21</v>
      </c>
      <c r="AE20" s="13">
        <f>G20*0.0651851851851852</f>
        <v>0</v>
      </c>
      <c r="AF20" s="13">
        <f>G20*(1-0.0651851851851852)</f>
        <v>0</v>
      </c>
    </row>
    <row r="21" spans="1:32" ht="12.75">
      <c r="A21" s="4" t="s">
        <v>13</v>
      </c>
      <c r="B21" s="4"/>
      <c r="C21" s="4" t="s">
        <v>42</v>
      </c>
      <c r="D21" s="4" t="s">
        <v>85</v>
      </c>
      <c r="E21" s="4" t="s">
        <v>121</v>
      </c>
      <c r="F21" s="13">
        <v>45</v>
      </c>
      <c r="G21" s="13">
        <v>0</v>
      </c>
      <c r="H21" s="13">
        <f>ROUND(F21*AE21,2)</f>
        <v>0</v>
      </c>
      <c r="I21" s="13">
        <v>0</v>
      </c>
      <c r="J21" s="13">
        <f>ROUND(F21*G21,2)</f>
        <v>0</v>
      </c>
      <c r="K21" s="13">
        <v>0</v>
      </c>
      <c r="L21" s="13">
        <f>F21*K21</f>
        <v>0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13">
        <v>21</v>
      </c>
      <c r="AE21" s="13">
        <f>G21*0</f>
        <v>0</v>
      </c>
      <c r="AF21" s="13">
        <f>G21*(1-0)</f>
        <v>0</v>
      </c>
    </row>
    <row r="22" spans="1:37" ht="12.75">
      <c r="A22" s="5"/>
      <c r="B22" s="5"/>
      <c r="C22" s="11" t="s">
        <v>43</v>
      </c>
      <c r="D22" s="50" t="s">
        <v>86</v>
      </c>
      <c r="E22" s="51"/>
      <c r="F22" s="51"/>
      <c r="G22" s="51"/>
      <c r="H22" s="26">
        <f>SUM(H23:H25)</f>
        <v>0</v>
      </c>
      <c r="I22" s="26">
        <f>SUM(I23:I25)</f>
        <v>0</v>
      </c>
      <c r="J22" s="26">
        <f>H22+I22</f>
        <v>0</v>
      </c>
      <c r="K22" s="21"/>
      <c r="L22" s="26">
        <f>SUM(L23:L25)</f>
        <v>0</v>
      </c>
      <c r="P22" s="26">
        <f>IF(Q22="PR",J22,SUM(O23:O25))</f>
        <v>0</v>
      </c>
      <c r="Q22" s="21" t="s">
        <v>144</v>
      </c>
      <c r="R22" s="26">
        <f>IF(Q22="HS",H22,0)</f>
        <v>0</v>
      </c>
      <c r="S22" s="26">
        <f>IF(Q22="HS",I22-P22,0)</f>
        <v>0</v>
      </c>
      <c r="T22" s="26">
        <f>IF(Q22="PS",H22,0)</f>
        <v>0</v>
      </c>
      <c r="U22" s="26">
        <f>IF(Q22="PS",I22-P22,0)</f>
        <v>0</v>
      </c>
      <c r="V22" s="26">
        <f>IF(Q22="MP",H22,0)</f>
        <v>0</v>
      </c>
      <c r="W22" s="26">
        <f>IF(Q22="MP",I22-P22,0)</f>
        <v>0</v>
      </c>
      <c r="X22" s="26">
        <f>IF(Q22="OM",H22,0)</f>
        <v>0</v>
      </c>
      <c r="Y22" s="21"/>
      <c r="AI22" s="26">
        <f>SUM(Z23:Z25)</f>
        <v>0</v>
      </c>
      <c r="AJ22" s="26">
        <f>SUM(AA23:AA25)</f>
        <v>0</v>
      </c>
      <c r="AK22" s="26">
        <f>SUM(AB23:AB25)</f>
        <v>0</v>
      </c>
    </row>
    <row r="23" spans="1:32" ht="12.75">
      <c r="A23" s="4" t="s">
        <v>14</v>
      </c>
      <c r="B23" s="4"/>
      <c r="C23" s="4" t="s">
        <v>44</v>
      </c>
      <c r="D23" s="4" t="s">
        <v>87</v>
      </c>
      <c r="E23" s="4" t="s">
        <v>121</v>
      </c>
      <c r="F23" s="13">
        <v>0.48</v>
      </c>
      <c r="G23" s="13">
        <v>0</v>
      </c>
      <c r="H23" s="13">
        <f>ROUND(F23*AE23,2)</f>
        <v>0</v>
      </c>
      <c r="I23" s="13">
        <v>0</v>
      </c>
      <c r="J23" s="13">
        <f>ROUND(F23*G23,2)</f>
        <v>0</v>
      </c>
      <c r="K23" s="13">
        <v>0</v>
      </c>
      <c r="L23" s="13">
        <f>F23*K23</f>
        <v>0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13">
        <v>21</v>
      </c>
      <c r="AE23" s="13">
        <f>G23*0.317926221335992</f>
        <v>0</v>
      </c>
      <c r="AF23" s="13">
        <f>G23*(1-0.317926221335992)</f>
        <v>0</v>
      </c>
    </row>
    <row r="24" spans="1:32" ht="12.75">
      <c r="A24" s="4" t="s">
        <v>15</v>
      </c>
      <c r="B24" s="4"/>
      <c r="C24" s="4" t="s">
        <v>45</v>
      </c>
      <c r="D24" s="4" t="s">
        <v>88</v>
      </c>
      <c r="E24" s="4" t="s">
        <v>121</v>
      </c>
      <c r="F24" s="13">
        <v>0.48</v>
      </c>
      <c r="G24" s="13">
        <v>0</v>
      </c>
      <c r="H24" s="13">
        <f>ROUND(F24*AE24,2)</f>
        <v>0</v>
      </c>
      <c r="I24" s="13">
        <v>0</v>
      </c>
      <c r="J24" s="13">
        <f>ROUND(F24*G24,2)</f>
        <v>0</v>
      </c>
      <c r="K24" s="13">
        <v>0</v>
      </c>
      <c r="L24" s="13">
        <f>F24*K24</f>
        <v>0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13">
        <v>21</v>
      </c>
      <c r="AE24" s="13">
        <f>G24*0</f>
        <v>0</v>
      </c>
      <c r="AF24" s="13">
        <f>G24*(1-0)</f>
        <v>0</v>
      </c>
    </row>
    <row r="25" spans="1:32" ht="12.75">
      <c r="A25" s="4" t="s">
        <v>16</v>
      </c>
      <c r="B25" s="4"/>
      <c r="C25" s="4" t="s">
        <v>46</v>
      </c>
      <c r="D25" s="4" t="s">
        <v>89</v>
      </c>
      <c r="E25" s="4" t="s">
        <v>123</v>
      </c>
      <c r="F25" s="13">
        <v>0.06</v>
      </c>
      <c r="G25" s="13">
        <v>0</v>
      </c>
      <c r="H25" s="13">
        <f>ROUND(F25*AE25,2)</f>
        <v>0</v>
      </c>
      <c r="I25" s="13">
        <v>0</v>
      </c>
      <c r="J25" s="13">
        <f>ROUND(F25*G25,2)</f>
        <v>0</v>
      </c>
      <c r="K25" s="13">
        <v>0</v>
      </c>
      <c r="L25" s="13">
        <f>F25*K25</f>
        <v>0</v>
      </c>
      <c r="N25" s="24" t="s">
        <v>7</v>
      </c>
      <c r="O25" s="13">
        <f>IF(N25="5",I25,0)</f>
        <v>0</v>
      </c>
      <c r="Z25" s="13">
        <f>IF(AD25=0,J25,0)</f>
        <v>0</v>
      </c>
      <c r="AA25" s="13">
        <f>IF(AD25=15,J25,0)</f>
        <v>0</v>
      </c>
      <c r="AB25" s="13">
        <f>IF(AD25=21,J25,0)</f>
        <v>0</v>
      </c>
      <c r="AD25" s="13">
        <v>21</v>
      </c>
      <c r="AE25" s="13">
        <f>G25*0.639690185560239</f>
        <v>0</v>
      </c>
      <c r="AF25" s="13">
        <f>G25*(1-0.639690185560239)</f>
        <v>0</v>
      </c>
    </row>
    <row r="26" spans="1:37" ht="12.75">
      <c r="A26" s="5"/>
      <c r="B26" s="5"/>
      <c r="C26" s="11" t="s">
        <v>47</v>
      </c>
      <c r="D26" s="50" t="s">
        <v>90</v>
      </c>
      <c r="E26" s="51"/>
      <c r="F26" s="51"/>
      <c r="G26" s="51"/>
      <c r="H26" s="26">
        <f>SUM(H27:H28)</f>
        <v>0</v>
      </c>
      <c r="I26" s="26">
        <f>SUM(I27:I28)</f>
        <v>0</v>
      </c>
      <c r="J26" s="26">
        <f>H26+I26</f>
        <v>0</v>
      </c>
      <c r="K26" s="21"/>
      <c r="L26" s="26">
        <f>SUM(L27:L28)</f>
        <v>0</v>
      </c>
      <c r="P26" s="26">
        <f>IF(Q26="PR",J26,SUM(O27:O28))</f>
        <v>0</v>
      </c>
      <c r="Q26" s="21" t="s">
        <v>144</v>
      </c>
      <c r="R26" s="26">
        <f>IF(Q26="HS",H26,0)</f>
        <v>0</v>
      </c>
      <c r="S26" s="26">
        <f>IF(Q26="HS",I26-P26,0)</f>
        <v>0</v>
      </c>
      <c r="T26" s="26">
        <f>IF(Q26="PS",H26,0)</f>
        <v>0</v>
      </c>
      <c r="U26" s="26">
        <f>IF(Q26="PS",I26-P26,0)</f>
        <v>0</v>
      </c>
      <c r="V26" s="26">
        <f>IF(Q26="MP",H26,0)</f>
        <v>0</v>
      </c>
      <c r="W26" s="26">
        <f>IF(Q26="MP",I26-P26,0)</f>
        <v>0</v>
      </c>
      <c r="X26" s="26">
        <f>IF(Q26="OM",H26,0)</f>
        <v>0</v>
      </c>
      <c r="Y26" s="21"/>
      <c r="AI26" s="26">
        <f>SUM(Z27:Z28)</f>
        <v>0</v>
      </c>
      <c r="AJ26" s="26">
        <f>SUM(AA27:AA28)</f>
        <v>0</v>
      </c>
      <c r="AK26" s="26">
        <f>SUM(AB27:AB28)</f>
        <v>0</v>
      </c>
    </row>
    <row r="27" spans="1:32" ht="12.75">
      <c r="A27" s="4" t="s">
        <v>17</v>
      </c>
      <c r="B27" s="4"/>
      <c r="C27" s="4" t="s">
        <v>48</v>
      </c>
      <c r="D27" s="4" t="s">
        <v>91</v>
      </c>
      <c r="E27" s="4" t="s">
        <v>123</v>
      </c>
      <c r="F27" s="13">
        <v>7.48</v>
      </c>
      <c r="G27" s="13">
        <v>0</v>
      </c>
      <c r="H27" s="13">
        <f>ROUND(F27*AE27,2)</f>
        <v>0</v>
      </c>
      <c r="I27" s="13">
        <v>0</v>
      </c>
      <c r="J27" s="13">
        <f>ROUND(F27*G27,2)</f>
        <v>0</v>
      </c>
      <c r="K27" s="13">
        <v>0</v>
      </c>
      <c r="L27" s="13">
        <v>0</v>
      </c>
      <c r="N27" s="24" t="s">
        <v>7</v>
      </c>
      <c r="O27" s="13">
        <f>IF(N27="5",I27,0)</f>
        <v>0</v>
      </c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13">
        <v>21</v>
      </c>
      <c r="AE27" s="13">
        <f>G27*0.0419103313840156</f>
        <v>0</v>
      </c>
      <c r="AF27" s="13">
        <f>G27*(1-0.0419103313840156)</f>
        <v>0</v>
      </c>
    </row>
    <row r="28" spans="1:32" ht="12.75">
      <c r="A28" s="4" t="s">
        <v>18</v>
      </c>
      <c r="B28" s="4"/>
      <c r="C28" s="4" t="s">
        <v>49</v>
      </c>
      <c r="D28" s="4" t="s">
        <v>92</v>
      </c>
      <c r="E28" s="4" t="s">
        <v>123</v>
      </c>
      <c r="F28" s="13">
        <v>35.98</v>
      </c>
      <c r="G28" s="13">
        <v>0</v>
      </c>
      <c r="H28" s="13">
        <f>ROUND(F28*AE28,2)</f>
        <v>0</v>
      </c>
      <c r="I28" s="13">
        <v>0</v>
      </c>
      <c r="J28" s="13">
        <f>ROUND(F28*G28,2)</f>
        <v>0</v>
      </c>
      <c r="K28" s="13">
        <v>0</v>
      </c>
      <c r="L28" s="13">
        <v>0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13">
        <v>21</v>
      </c>
      <c r="AE28" s="13">
        <f>G28*0.248452489842803</f>
        <v>0</v>
      </c>
      <c r="AF28" s="13">
        <f>G28*(1-0.248452489842803)</f>
        <v>0</v>
      </c>
    </row>
    <row r="29" spans="1:37" ht="12.75">
      <c r="A29" s="5"/>
      <c r="B29" s="5"/>
      <c r="C29" s="11" t="s">
        <v>50</v>
      </c>
      <c r="D29" s="50" t="s">
        <v>93</v>
      </c>
      <c r="E29" s="51"/>
      <c r="F29" s="51"/>
      <c r="G29" s="51"/>
      <c r="H29" s="26">
        <f>SUM(H30:H32)</f>
        <v>0</v>
      </c>
      <c r="I29" s="26">
        <f>SUM(I30:I32)</f>
        <v>0</v>
      </c>
      <c r="J29" s="26">
        <f>H29+I29</f>
        <v>0</v>
      </c>
      <c r="K29" s="21"/>
      <c r="L29" s="26">
        <f>SUM(L30:L32)</f>
        <v>0.00912</v>
      </c>
      <c r="P29" s="26">
        <f>IF(Q29="PR",J29,SUM(O30:O32))</f>
        <v>0</v>
      </c>
      <c r="Q29" s="21" t="s">
        <v>144</v>
      </c>
      <c r="R29" s="26">
        <f>IF(Q29="HS",H29,0)</f>
        <v>0</v>
      </c>
      <c r="S29" s="26">
        <f>IF(Q29="HS",I29-P29,0)</f>
        <v>0</v>
      </c>
      <c r="T29" s="26">
        <f>IF(Q29="PS",H29,0)</f>
        <v>0</v>
      </c>
      <c r="U29" s="26">
        <f>IF(Q29="PS",I29-P29,0)</f>
        <v>0</v>
      </c>
      <c r="V29" s="26">
        <f>IF(Q29="MP",H29,0)</f>
        <v>0</v>
      </c>
      <c r="W29" s="26">
        <f>IF(Q29="MP",I29-P29,0)</f>
        <v>0</v>
      </c>
      <c r="X29" s="26">
        <f>IF(Q29="OM",H29,0)</f>
        <v>0</v>
      </c>
      <c r="Y29" s="21"/>
      <c r="AI29" s="26">
        <f>SUM(Z30:Z32)</f>
        <v>0</v>
      </c>
      <c r="AJ29" s="26">
        <f>SUM(AA30:AA32)</f>
        <v>0</v>
      </c>
      <c r="AK29" s="26">
        <f>SUM(AB30:AB32)</f>
        <v>0</v>
      </c>
    </row>
    <row r="30" spans="1:32" ht="12.75">
      <c r="A30" s="4" t="s">
        <v>19</v>
      </c>
      <c r="B30" s="4"/>
      <c r="C30" s="4" t="s">
        <v>51</v>
      </c>
      <c r="D30" s="4" t="s">
        <v>94</v>
      </c>
      <c r="E30" s="4" t="s">
        <v>121</v>
      </c>
      <c r="F30" s="13">
        <v>48</v>
      </c>
      <c r="G30" s="13">
        <v>0</v>
      </c>
      <c r="H30" s="13">
        <f>ROUND(F30*AE30,2)</f>
        <v>0</v>
      </c>
      <c r="I30" s="13">
        <v>0</v>
      </c>
      <c r="J30" s="13">
        <f>ROUND(F30*G30,2)</f>
        <v>0</v>
      </c>
      <c r="K30" s="13">
        <v>0.00019</v>
      </c>
      <c r="L30" s="13">
        <f>F30*K30</f>
        <v>0.00912</v>
      </c>
      <c r="N30" s="24" t="s">
        <v>7</v>
      </c>
      <c r="O30" s="13">
        <f>IF(N30="5",I30,0)</f>
        <v>0</v>
      </c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13">
        <v>21</v>
      </c>
      <c r="AE30" s="13">
        <f>G30*0.940688359470814</f>
        <v>0</v>
      </c>
      <c r="AF30" s="13">
        <f>G30*(1-0.940688359470814)</f>
        <v>0</v>
      </c>
    </row>
    <row r="31" spans="1:32" ht="12.75">
      <c r="A31" s="4" t="s">
        <v>20</v>
      </c>
      <c r="B31" s="4"/>
      <c r="C31" s="4" t="s">
        <v>52</v>
      </c>
      <c r="D31" s="4" t="s">
        <v>95</v>
      </c>
      <c r="E31" s="4" t="s">
        <v>121</v>
      </c>
      <c r="F31" s="13">
        <v>61</v>
      </c>
      <c r="G31" s="13">
        <v>0</v>
      </c>
      <c r="H31" s="13">
        <f>ROUND(F31*AE31,2)</f>
        <v>0</v>
      </c>
      <c r="I31" s="13">
        <v>0</v>
      </c>
      <c r="J31" s="13">
        <f>ROUND(F31*G31,2)</f>
        <v>0</v>
      </c>
      <c r="K31" s="13">
        <v>0</v>
      </c>
      <c r="L31" s="13">
        <f>F31*K31</f>
        <v>0</v>
      </c>
      <c r="N31" s="24" t="s">
        <v>7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13">
        <v>21</v>
      </c>
      <c r="AE31" s="13">
        <f>G31*0.0928660652324774</f>
        <v>0</v>
      </c>
      <c r="AF31" s="13">
        <f>G31*(1-0.0928660652324774)</f>
        <v>0</v>
      </c>
    </row>
    <row r="32" spans="1:32" ht="12.75">
      <c r="A32" s="4" t="s">
        <v>21</v>
      </c>
      <c r="B32" s="4"/>
      <c r="C32" s="4" t="s">
        <v>53</v>
      </c>
      <c r="D32" s="4" t="s">
        <v>96</v>
      </c>
      <c r="E32" s="4" t="s">
        <v>121</v>
      </c>
      <c r="F32" s="13">
        <v>40</v>
      </c>
      <c r="G32" s="13">
        <v>0</v>
      </c>
      <c r="H32" s="13">
        <f>ROUND(F32*AE32,2)</f>
        <v>0</v>
      </c>
      <c r="I32" s="13">
        <v>0</v>
      </c>
      <c r="J32" s="13">
        <f>ROUND(F32*G32,2)</f>
        <v>0</v>
      </c>
      <c r="K32" s="13">
        <v>0</v>
      </c>
      <c r="L32" s="13">
        <f>F32*K32</f>
        <v>0</v>
      </c>
      <c r="N32" s="24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13">
        <v>21</v>
      </c>
      <c r="AE32" s="13">
        <f>G32*0</f>
        <v>0</v>
      </c>
      <c r="AF32" s="13">
        <f>G32*(1-0)</f>
        <v>0</v>
      </c>
    </row>
    <row r="33" spans="1:37" ht="12.75">
      <c r="A33" s="5"/>
      <c r="B33" s="5"/>
      <c r="C33" s="11" t="s">
        <v>54</v>
      </c>
      <c r="D33" s="50" t="s">
        <v>97</v>
      </c>
      <c r="E33" s="51"/>
      <c r="F33" s="51"/>
      <c r="G33" s="51"/>
      <c r="H33" s="26">
        <f>SUM(H34:H34)</f>
        <v>0</v>
      </c>
      <c r="I33" s="26">
        <f>SUM(I34:I34)</f>
        <v>0</v>
      </c>
      <c r="J33" s="26">
        <f>H33+I33</f>
        <v>0</v>
      </c>
      <c r="K33" s="21"/>
      <c r="L33" s="26">
        <f>SUM(L34:L34)</f>
        <v>0</v>
      </c>
      <c r="P33" s="26">
        <f>IF(Q33="PR",J33,SUM(O34:O34))</f>
        <v>0</v>
      </c>
      <c r="Q33" s="21" t="s">
        <v>144</v>
      </c>
      <c r="R33" s="26">
        <f>IF(Q33="HS",H33,0)</f>
        <v>0</v>
      </c>
      <c r="S33" s="26">
        <f>IF(Q33="HS",I33-P33,0)</f>
        <v>0</v>
      </c>
      <c r="T33" s="26">
        <f>IF(Q33="PS",H33,0)</f>
        <v>0</v>
      </c>
      <c r="U33" s="26">
        <f>IF(Q33="PS",I33-P33,0)</f>
        <v>0</v>
      </c>
      <c r="V33" s="26">
        <f>IF(Q33="MP",H33,0)</f>
        <v>0</v>
      </c>
      <c r="W33" s="26">
        <f>IF(Q33="MP",I33-P33,0)</f>
        <v>0</v>
      </c>
      <c r="X33" s="26">
        <f>IF(Q33="OM",H33,0)</f>
        <v>0</v>
      </c>
      <c r="Y33" s="21"/>
      <c r="AI33" s="26">
        <f>SUM(Z34:Z34)</f>
        <v>0</v>
      </c>
      <c r="AJ33" s="26">
        <f>SUM(AA34:AA34)</f>
        <v>0</v>
      </c>
      <c r="AK33" s="26">
        <f>SUM(AB34:AB34)</f>
        <v>0</v>
      </c>
    </row>
    <row r="34" spans="1:32" ht="12.75">
      <c r="A34" s="4" t="s">
        <v>22</v>
      </c>
      <c r="B34" s="4"/>
      <c r="C34" s="4" t="s">
        <v>55</v>
      </c>
      <c r="D34" s="4" t="s">
        <v>98</v>
      </c>
      <c r="E34" s="4" t="s">
        <v>123</v>
      </c>
      <c r="F34" s="13">
        <v>2</v>
      </c>
      <c r="G34" s="13">
        <v>0</v>
      </c>
      <c r="H34" s="13">
        <f>ROUND(F34*AE34,2)</f>
        <v>0</v>
      </c>
      <c r="I34" s="13">
        <v>0</v>
      </c>
      <c r="J34" s="13">
        <f>ROUND(F34*G34,2)</f>
        <v>0</v>
      </c>
      <c r="K34" s="13">
        <v>0</v>
      </c>
      <c r="L34" s="13">
        <f>F34*K34</f>
        <v>0</v>
      </c>
      <c r="N34" s="24" t="s">
        <v>7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13">
        <v>21</v>
      </c>
      <c r="AE34" s="13">
        <f>G34*0.762758676245084</f>
        <v>0</v>
      </c>
      <c r="AF34" s="13">
        <f>G34*(1-0.762758676245084)</f>
        <v>0</v>
      </c>
    </row>
    <row r="35" spans="1:37" ht="12.75">
      <c r="A35" s="5"/>
      <c r="B35" s="5"/>
      <c r="C35" s="11" t="s">
        <v>56</v>
      </c>
      <c r="D35" s="50" t="s">
        <v>99</v>
      </c>
      <c r="E35" s="51"/>
      <c r="F35" s="51"/>
      <c r="G35" s="51"/>
      <c r="H35" s="26">
        <f>SUM(H36:H36)</f>
        <v>0</v>
      </c>
      <c r="I35" s="26">
        <f>SUM(I36:I36)</f>
        <v>0</v>
      </c>
      <c r="J35" s="26">
        <f>H35+I35</f>
        <v>0</v>
      </c>
      <c r="K35" s="21"/>
      <c r="L35" s="26">
        <f>SUM(L36:L36)</f>
        <v>0</v>
      </c>
      <c r="P35" s="26">
        <f>IF(Q35="PR",J35,SUM(O36:O36))</f>
        <v>0</v>
      </c>
      <c r="Q35" s="21" t="s">
        <v>144</v>
      </c>
      <c r="R35" s="26">
        <f>IF(Q35="HS",H35,0)</f>
        <v>0</v>
      </c>
      <c r="S35" s="26">
        <f>IF(Q35="HS",I35-P35,0)</f>
        <v>0</v>
      </c>
      <c r="T35" s="26">
        <f>IF(Q35="PS",H35,0)</f>
        <v>0</v>
      </c>
      <c r="U35" s="26">
        <f>IF(Q35="PS",I35-P35,0)</f>
        <v>0</v>
      </c>
      <c r="V35" s="26">
        <f>IF(Q35="MP",H35,0)</f>
        <v>0</v>
      </c>
      <c r="W35" s="26">
        <f>IF(Q35="MP",I35-P35,0)</f>
        <v>0</v>
      </c>
      <c r="X35" s="26">
        <f>IF(Q35="OM",H35,0)</f>
        <v>0</v>
      </c>
      <c r="Y35" s="21"/>
      <c r="AI35" s="26">
        <f>SUM(Z36:Z36)</f>
        <v>0</v>
      </c>
      <c r="AJ35" s="26">
        <f>SUM(AA36:AA36)</f>
        <v>0</v>
      </c>
      <c r="AK35" s="26">
        <f>SUM(AB36:AB36)</f>
        <v>0</v>
      </c>
    </row>
    <row r="36" spans="1:32" ht="12.75">
      <c r="A36" s="4" t="s">
        <v>23</v>
      </c>
      <c r="B36" s="4"/>
      <c r="C36" s="4" t="s">
        <v>57</v>
      </c>
      <c r="D36" s="4" t="s">
        <v>100</v>
      </c>
      <c r="E36" s="4" t="s">
        <v>121</v>
      </c>
      <c r="F36" s="13">
        <v>232</v>
      </c>
      <c r="G36" s="13">
        <v>0</v>
      </c>
      <c r="H36" s="13">
        <f>ROUND(F36*AE36,2)</f>
        <v>0</v>
      </c>
      <c r="I36" s="13">
        <v>0</v>
      </c>
      <c r="J36" s="13">
        <f>ROUND(F36*G36,2)</f>
        <v>0</v>
      </c>
      <c r="K36" s="13">
        <v>0</v>
      </c>
      <c r="L36" s="13">
        <f>F36*K36</f>
        <v>0</v>
      </c>
      <c r="N36" s="24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13">
        <v>21</v>
      </c>
      <c r="AE36" s="13">
        <f>G36*0.350537634408602</f>
        <v>0</v>
      </c>
      <c r="AF36" s="13">
        <f>G36*(1-0.350537634408602)</f>
        <v>0</v>
      </c>
    </row>
    <row r="37" spans="1:37" ht="12.75">
      <c r="A37" s="5"/>
      <c r="B37" s="5"/>
      <c r="C37" s="11" t="s">
        <v>58</v>
      </c>
      <c r="D37" s="50" t="s">
        <v>101</v>
      </c>
      <c r="E37" s="51"/>
      <c r="F37" s="51"/>
      <c r="G37" s="51"/>
      <c r="H37" s="26">
        <f>SUM(H38:H40)</f>
        <v>0</v>
      </c>
      <c r="I37" s="26">
        <f>SUM(I38:I40)</f>
        <v>0</v>
      </c>
      <c r="J37" s="26">
        <f>H37+I37</f>
        <v>0</v>
      </c>
      <c r="K37" s="21"/>
      <c r="L37" s="26">
        <f>SUM(L38:L40)</f>
        <v>0</v>
      </c>
      <c r="P37" s="26">
        <f>IF(Q37="PR",J37,SUM(O38:O40))</f>
        <v>0</v>
      </c>
      <c r="Q37" s="21" t="s">
        <v>144</v>
      </c>
      <c r="R37" s="26">
        <f>IF(Q37="HS",H37,0)</f>
        <v>0</v>
      </c>
      <c r="S37" s="26">
        <f>IF(Q37="HS",I37-P37,0)</f>
        <v>0</v>
      </c>
      <c r="T37" s="26">
        <f>IF(Q37="PS",H37,0)</f>
        <v>0</v>
      </c>
      <c r="U37" s="26">
        <f>IF(Q37="PS",I37-P37,0)</f>
        <v>0</v>
      </c>
      <c r="V37" s="26">
        <f>IF(Q37="MP",H37,0)</f>
        <v>0</v>
      </c>
      <c r="W37" s="26">
        <f>IF(Q37="MP",I37-P37,0)</f>
        <v>0</v>
      </c>
      <c r="X37" s="26">
        <f>IF(Q37="OM",H37,0)</f>
        <v>0</v>
      </c>
      <c r="Y37" s="21"/>
      <c r="AI37" s="26">
        <f>SUM(Z38:Z40)</f>
        <v>0</v>
      </c>
      <c r="AJ37" s="26">
        <f>SUM(AA38:AA40)</f>
        <v>0</v>
      </c>
      <c r="AK37" s="26">
        <f>SUM(AB38:AB40)</f>
        <v>0</v>
      </c>
    </row>
    <row r="38" spans="1:32" ht="12.75">
      <c r="A38" s="4" t="s">
        <v>24</v>
      </c>
      <c r="B38" s="4"/>
      <c r="C38" s="4" t="s">
        <v>59</v>
      </c>
      <c r="D38" s="4" t="s">
        <v>102</v>
      </c>
      <c r="E38" s="4" t="s">
        <v>121</v>
      </c>
      <c r="F38" s="13">
        <v>70</v>
      </c>
      <c r="G38" s="13">
        <v>0</v>
      </c>
      <c r="H38" s="13">
        <f>ROUND(F38*AE38,2)</f>
        <v>0</v>
      </c>
      <c r="I38" s="13">
        <v>0</v>
      </c>
      <c r="J38" s="13">
        <f>ROUND(F38*G38,2)</f>
        <v>0</v>
      </c>
      <c r="K38" s="13">
        <v>0</v>
      </c>
      <c r="L38" s="13">
        <f>F38*K38</f>
        <v>0</v>
      </c>
      <c r="N38" s="24" t="s">
        <v>7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13">
        <v>21</v>
      </c>
      <c r="AE38" s="13">
        <f>G38*0.000597014925373134</f>
        <v>0</v>
      </c>
      <c r="AF38" s="13">
        <f>G38*(1-0.000597014925373134)</f>
        <v>0</v>
      </c>
    </row>
    <row r="39" spans="1:32" ht="12.75">
      <c r="A39" s="4" t="s">
        <v>25</v>
      </c>
      <c r="B39" s="4"/>
      <c r="C39" s="4" t="s">
        <v>60</v>
      </c>
      <c r="D39" s="4" t="s">
        <v>103</v>
      </c>
      <c r="E39" s="4" t="s">
        <v>121</v>
      </c>
      <c r="F39" s="13">
        <v>70</v>
      </c>
      <c r="G39" s="13">
        <v>0</v>
      </c>
      <c r="H39" s="13">
        <f>ROUND(F39*AE39,2)</f>
        <v>0</v>
      </c>
      <c r="I39" s="13">
        <v>0</v>
      </c>
      <c r="J39" s="13">
        <f>ROUND(F39*G39,2)</f>
        <v>0</v>
      </c>
      <c r="K39" s="13">
        <v>0.00097</v>
      </c>
      <c r="L39" s="13">
        <v>0</v>
      </c>
      <c r="N39" s="24" t="s">
        <v>7</v>
      </c>
      <c r="O39" s="13">
        <f>IF(N39="5",I39,0)</f>
        <v>0</v>
      </c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13">
        <v>21</v>
      </c>
      <c r="AE39" s="13">
        <f>G39*0.955801104972376</f>
        <v>0</v>
      </c>
      <c r="AF39" s="13">
        <f>G39*(1-0.955801104972376)</f>
        <v>0</v>
      </c>
    </row>
    <row r="40" spans="1:32" ht="12.75">
      <c r="A40" s="4" t="s">
        <v>26</v>
      </c>
      <c r="B40" s="4"/>
      <c r="C40" s="4" t="s">
        <v>61</v>
      </c>
      <c r="D40" s="4" t="s">
        <v>104</v>
      </c>
      <c r="E40" s="4" t="s">
        <v>121</v>
      </c>
      <c r="F40" s="13">
        <v>70</v>
      </c>
      <c r="G40" s="13">
        <v>0</v>
      </c>
      <c r="H40" s="13">
        <f>ROUND(F40*AE40,2)</f>
        <v>0</v>
      </c>
      <c r="I40" s="13">
        <v>0</v>
      </c>
      <c r="J40" s="13">
        <f>ROUND(F40*G40,2)</f>
        <v>0</v>
      </c>
      <c r="K40" s="13">
        <v>0</v>
      </c>
      <c r="L40" s="13">
        <f>F40*K40</f>
        <v>0</v>
      </c>
      <c r="N40" s="24" t="s">
        <v>7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13">
        <v>21</v>
      </c>
      <c r="AE40" s="13">
        <f>G40*0</f>
        <v>0</v>
      </c>
      <c r="AF40" s="13">
        <f>G40*(1-0)</f>
        <v>0</v>
      </c>
    </row>
    <row r="41" spans="1:37" ht="12.75">
      <c r="A41" s="5"/>
      <c r="B41" s="5"/>
      <c r="C41" s="11" t="s">
        <v>62</v>
      </c>
      <c r="D41" s="50" t="s">
        <v>105</v>
      </c>
      <c r="E41" s="51"/>
      <c r="F41" s="51"/>
      <c r="G41" s="51"/>
      <c r="H41" s="26">
        <f>SUM(H42:H42)</f>
        <v>0</v>
      </c>
      <c r="I41" s="26">
        <f>SUM(I42:I42)</f>
        <v>0</v>
      </c>
      <c r="J41" s="26">
        <f>H41+I41</f>
        <v>0</v>
      </c>
      <c r="K41" s="21"/>
      <c r="L41" s="26">
        <f>SUM(L42:L42)</f>
        <v>0</v>
      </c>
      <c r="P41" s="26">
        <f>IF(Q41="PR",J41,SUM(O42:O42))</f>
        <v>0</v>
      </c>
      <c r="Q41" s="21" t="s">
        <v>144</v>
      </c>
      <c r="R41" s="26">
        <f>IF(Q41="HS",H41,0)</f>
        <v>0</v>
      </c>
      <c r="S41" s="26">
        <f>IF(Q41="HS",I41-P41,0)</f>
        <v>0</v>
      </c>
      <c r="T41" s="26">
        <f>IF(Q41="PS",H41,0)</f>
        <v>0</v>
      </c>
      <c r="U41" s="26">
        <f>IF(Q41="PS",I41-P41,0)</f>
        <v>0</v>
      </c>
      <c r="V41" s="26">
        <f>IF(Q41="MP",H41,0)</f>
        <v>0</v>
      </c>
      <c r="W41" s="26">
        <f>IF(Q41="MP",I41-P41,0)</f>
        <v>0</v>
      </c>
      <c r="X41" s="26">
        <f>IF(Q41="OM",H41,0)</f>
        <v>0</v>
      </c>
      <c r="Y41" s="21"/>
      <c r="AI41" s="26">
        <f>SUM(Z42:Z42)</f>
        <v>0</v>
      </c>
      <c r="AJ41" s="26">
        <f>SUM(AA42:AA42)</f>
        <v>0</v>
      </c>
      <c r="AK41" s="26">
        <f>SUM(AB42:AB42)</f>
        <v>0</v>
      </c>
    </row>
    <row r="42" spans="1:32" ht="12.75">
      <c r="A42" s="4" t="s">
        <v>27</v>
      </c>
      <c r="B42" s="4"/>
      <c r="C42" s="4" t="s">
        <v>63</v>
      </c>
      <c r="D42" s="4" t="s">
        <v>106</v>
      </c>
      <c r="E42" s="4" t="s">
        <v>124</v>
      </c>
      <c r="F42" s="13">
        <v>16</v>
      </c>
      <c r="G42" s="13">
        <v>0</v>
      </c>
      <c r="H42" s="13">
        <f>ROUND(F42*AE42,2)</f>
        <v>0</v>
      </c>
      <c r="I42" s="13">
        <v>0</v>
      </c>
      <c r="J42" s="13">
        <f>ROUND(F42*G42,2)</f>
        <v>0</v>
      </c>
      <c r="K42" s="13">
        <v>0</v>
      </c>
      <c r="L42" s="13">
        <f>F42*K42</f>
        <v>0</v>
      </c>
      <c r="N42" s="24" t="s">
        <v>7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13">
        <v>21</v>
      </c>
      <c r="AE42" s="13">
        <f>G42*0.0724660869565217</f>
        <v>0</v>
      </c>
      <c r="AF42" s="13">
        <f>G42*(1-0.0724660869565217)</f>
        <v>0</v>
      </c>
    </row>
    <row r="43" spans="1:37" ht="12.75">
      <c r="A43" s="5"/>
      <c r="B43" s="5"/>
      <c r="C43" s="11" t="s">
        <v>64</v>
      </c>
      <c r="D43" s="50" t="s">
        <v>141</v>
      </c>
      <c r="E43" s="51"/>
      <c r="F43" s="51"/>
      <c r="G43" s="51"/>
      <c r="H43" s="26">
        <f>SUM(H44:H44)</f>
        <v>0</v>
      </c>
      <c r="I43" s="26">
        <f>SUM(I44:I44)</f>
        <v>0</v>
      </c>
      <c r="J43" s="26">
        <f>H43+I43</f>
        <v>0</v>
      </c>
      <c r="K43" s="21"/>
      <c r="L43" s="26">
        <f>SUM(L44:L44)</f>
        <v>0</v>
      </c>
      <c r="P43" s="26">
        <f>IF(Q43="PR",J43,SUM(O44:O44))</f>
        <v>0</v>
      </c>
      <c r="Q43" s="21" t="s">
        <v>145</v>
      </c>
      <c r="R43" s="26">
        <f>IF(Q43="HS",H43,0)</f>
        <v>0</v>
      </c>
      <c r="S43" s="26">
        <f>IF(Q43="HS",I43-P43,0)</f>
        <v>0</v>
      </c>
      <c r="T43" s="26">
        <f>IF(Q43="PS",H43,0)</f>
        <v>0</v>
      </c>
      <c r="U43" s="26">
        <f>IF(Q43="PS",I43-P43,0)</f>
        <v>0</v>
      </c>
      <c r="V43" s="26">
        <f>IF(Q43="MP",H43,0)</f>
        <v>0</v>
      </c>
      <c r="W43" s="26">
        <f>IF(Q43="MP",I43-P43,0)</f>
        <v>0</v>
      </c>
      <c r="X43" s="26">
        <f>IF(Q43="OM",H43,0)</f>
        <v>0</v>
      </c>
      <c r="Y43" s="21"/>
      <c r="AI43" s="26">
        <f>SUM(Z44:Z44)</f>
        <v>0</v>
      </c>
      <c r="AJ43" s="26">
        <f>SUM(AA44:AA44)</f>
        <v>0</v>
      </c>
      <c r="AK43" s="26">
        <f>SUM(AB44:AB44)</f>
        <v>0</v>
      </c>
    </row>
    <row r="44" spans="1:32" ht="12.75">
      <c r="A44" s="4" t="s">
        <v>28</v>
      </c>
      <c r="B44" s="4"/>
      <c r="C44" s="4" t="s">
        <v>65</v>
      </c>
      <c r="D44" s="4" t="s">
        <v>108</v>
      </c>
      <c r="E44" s="4" t="s">
        <v>125</v>
      </c>
      <c r="F44" s="13">
        <v>471</v>
      </c>
      <c r="G44" s="13">
        <v>0</v>
      </c>
      <c r="H44" s="13">
        <f>ROUND(F44*AE44,2)</f>
        <v>0</v>
      </c>
      <c r="I44" s="13">
        <v>0</v>
      </c>
      <c r="J44" s="13">
        <f>ROUND(F44*G44,2)</f>
        <v>0</v>
      </c>
      <c r="K44" s="13">
        <v>0</v>
      </c>
      <c r="L44" s="13">
        <f>F44*K44</f>
        <v>0</v>
      </c>
      <c r="N44" s="24" t="s">
        <v>11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13">
        <v>21</v>
      </c>
      <c r="AE44" s="13">
        <f>G44*0</f>
        <v>0</v>
      </c>
      <c r="AF44" s="13">
        <f>G44*(1-0)</f>
        <v>0</v>
      </c>
    </row>
    <row r="45" spans="1:37" ht="12.75">
      <c r="A45" s="5"/>
      <c r="B45" s="5"/>
      <c r="C45" s="11" t="s">
        <v>66</v>
      </c>
      <c r="D45" s="50" t="s">
        <v>109</v>
      </c>
      <c r="E45" s="51"/>
      <c r="F45" s="51"/>
      <c r="G45" s="51"/>
      <c r="H45" s="26">
        <f>SUM(H46:H49)</f>
        <v>0</v>
      </c>
      <c r="I45" s="26">
        <f>SUM(I46:I49)</f>
        <v>0</v>
      </c>
      <c r="J45" s="26">
        <f>H45+I45</f>
        <v>0</v>
      </c>
      <c r="K45" s="21"/>
      <c r="L45" s="26">
        <f>SUM(L46:L49)</f>
        <v>0</v>
      </c>
      <c r="P45" s="26">
        <f>IF(Q45="PR",J45,SUM(O46:O49))</f>
        <v>0</v>
      </c>
      <c r="Q45" s="21" t="s">
        <v>145</v>
      </c>
      <c r="R45" s="26">
        <f>IF(Q45="HS",H45,0)</f>
        <v>0</v>
      </c>
      <c r="S45" s="26">
        <f>IF(Q45="HS",I45-P45,0)</f>
        <v>0</v>
      </c>
      <c r="T45" s="26">
        <f>IF(Q45="PS",H45,0)</f>
        <v>0</v>
      </c>
      <c r="U45" s="26">
        <f>IF(Q45="PS",I45-P45,0)</f>
        <v>0</v>
      </c>
      <c r="V45" s="26">
        <f>IF(Q45="MP",H45,0)</f>
        <v>0</v>
      </c>
      <c r="W45" s="26">
        <f>IF(Q45="MP",I45-P45,0)</f>
        <v>0</v>
      </c>
      <c r="X45" s="26">
        <f>IF(Q45="OM",H45,0)</f>
        <v>0</v>
      </c>
      <c r="Y45" s="21"/>
      <c r="AI45" s="26">
        <f>SUM(Z46:Z49)</f>
        <v>0</v>
      </c>
      <c r="AJ45" s="26">
        <f>SUM(AA46:AA49)</f>
        <v>0</v>
      </c>
      <c r="AK45" s="26">
        <f>SUM(AB46:AB49)</f>
        <v>0</v>
      </c>
    </row>
    <row r="46" spans="1:32" ht="12.75">
      <c r="A46" s="4" t="s">
        <v>29</v>
      </c>
      <c r="B46" s="4"/>
      <c r="C46" s="4" t="s">
        <v>67</v>
      </c>
      <c r="D46" s="4" t="s">
        <v>110</v>
      </c>
      <c r="E46" s="4" t="s">
        <v>125</v>
      </c>
      <c r="F46" s="13">
        <v>29.1</v>
      </c>
      <c r="G46" s="13">
        <v>0</v>
      </c>
      <c r="H46" s="13">
        <f>ROUND(F46*AE46,2)</f>
        <v>0</v>
      </c>
      <c r="I46" s="13">
        <v>0</v>
      </c>
      <c r="J46" s="13">
        <f>ROUND(F46*G46,2)</f>
        <v>0</v>
      </c>
      <c r="K46" s="13">
        <v>0</v>
      </c>
      <c r="L46" s="13">
        <f>F46*K46</f>
        <v>0</v>
      </c>
      <c r="N46" s="24" t="s">
        <v>11</v>
      </c>
      <c r="O46" s="13">
        <f>IF(N46="5",I46,0)</f>
        <v>0</v>
      </c>
      <c r="Z46" s="13">
        <f>IF(AD46=0,J46,0)</f>
        <v>0</v>
      </c>
      <c r="AA46" s="13">
        <f>IF(AD46=15,J46,0)</f>
        <v>0</v>
      </c>
      <c r="AB46" s="13">
        <f>IF(AD46=21,J46,0)</f>
        <v>0</v>
      </c>
      <c r="AD46" s="13">
        <v>21</v>
      </c>
      <c r="AE46" s="13">
        <f>G46*0</f>
        <v>0</v>
      </c>
      <c r="AF46" s="13">
        <f>G46*(1-0)</f>
        <v>0</v>
      </c>
    </row>
    <row r="47" spans="1:32" ht="12.75">
      <c r="A47" s="4" t="s">
        <v>30</v>
      </c>
      <c r="B47" s="4"/>
      <c r="C47" s="4" t="s">
        <v>68</v>
      </c>
      <c r="D47" s="4" t="s">
        <v>111</v>
      </c>
      <c r="E47" s="4" t="s">
        <v>125</v>
      </c>
      <c r="F47" s="13">
        <v>29.1</v>
      </c>
      <c r="G47" s="13">
        <v>0</v>
      </c>
      <c r="H47" s="13">
        <f>ROUND(F47*AE47,2)</f>
        <v>0</v>
      </c>
      <c r="I47" s="13">
        <v>0</v>
      </c>
      <c r="J47" s="13">
        <f>ROUND(F47*G47,2)</f>
        <v>0</v>
      </c>
      <c r="K47" s="13">
        <v>0</v>
      </c>
      <c r="L47" s="13">
        <f>F47*K47</f>
        <v>0</v>
      </c>
      <c r="N47" s="24" t="s">
        <v>11</v>
      </c>
      <c r="O47" s="13">
        <f>IF(N47="5",I47,0)</f>
        <v>0</v>
      </c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13">
        <v>21</v>
      </c>
      <c r="AE47" s="13">
        <f>G47*0</f>
        <v>0</v>
      </c>
      <c r="AF47" s="13">
        <f>G47*(1-0)</f>
        <v>0</v>
      </c>
    </row>
    <row r="48" spans="1:32" ht="12.75">
      <c r="A48" s="4" t="s">
        <v>31</v>
      </c>
      <c r="B48" s="4"/>
      <c r="C48" s="4" t="s">
        <v>69</v>
      </c>
      <c r="D48" s="4" t="s">
        <v>112</v>
      </c>
      <c r="E48" s="4" t="s">
        <v>125</v>
      </c>
      <c r="F48" s="13">
        <v>29.1</v>
      </c>
      <c r="G48" s="13">
        <v>0</v>
      </c>
      <c r="H48" s="13">
        <f>ROUND(F48*AE48,2)</f>
        <v>0</v>
      </c>
      <c r="I48" s="13">
        <v>0</v>
      </c>
      <c r="J48" s="13">
        <f>ROUND(F48*G48,2)</f>
        <v>0</v>
      </c>
      <c r="K48" s="13">
        <v>0</v>
      </c>
      <c r="L48" s="13">
        <f>F48*K48</f>
        <v>0</v>
      </c>
      <c r="N48" s="24" t="s">
        <v>11</v>
      </c>
      <c r="O48" s="13">
        <f>IF(N48="5",I48,0)</f>
        <v>0</v>
      </c>
      <c r="Z48" s="13">
        <f>IF(AD48=0,J48,0)</f>
        <v>0</v>
      </c>
      <c r="AA48" s="13">
        <f>IF(AD48=15,J48,0)</f>
        <v>0</v>
      </c>
      <c r="AB48" s="13">
        <f>IF(AD48=21,J48,0)</f>
        <v>0</v>
      </c>
      <c r="AD48" s="13">
        <v>21</v>
      </c>
      <c r="AE48" s="13">
        <f>G48*0</f>
        <v>0</v>
      </c>
      <c r="AF48" s="13">
        <f>G48*(1-0)</f>
        <v>0</v>
      </c>
    </row>
    <row r="49" spans="1:32" ht="12.75">
      <c r="A49" s="4" t="s">
        <v>32</v>
      </c>
      <c r="B49" s="4"/>
      <c r="C49" s="4" t="s">
        <v>70</v>
      </c>
      <c r="D49" s="4" t="s">
        <v>113</v>
      </c>
      <c r="E49" s="4" t="s">
        <v>125</v>
      </c>
      <c r="F49" s="13">
        <v>29.1</v>
      </c>
      <c r="G49" s="13">
        <v>0</v>
      </c>
      <c r="H49" s="13">
        <f>ROUND(F49*AE49,2)</f>
        <v>0</v>
      </c>
      <c r="I49" s="13">
        <v>0</v>
      </c>
      <c r="J49" s="13">
        <f>ROUND(F49*G49,2)</f>
        <v>0</v>
      </c>
      <c r="K49" s="13">
        <v>0</v>
      </c>
      <c r="L49" s="13">
        <f>F49*K49</f>
        <v>0</v>
      </c>
      <c r="N49" s="24" t="s">
        <v>7</v>
      </c>
      <c r="O49" s="13">
        <f>IF(N49="5",I49,0)</f>
        <v>0</v>
      </c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13">
        <v>21</v>
      </c>
      <c r="AE49" s="13">
        <f>G49*0</f>
        <v>0</v>
      </c>
      <c r="AF49" s="13">
        <f>G49*(1-0)</f>
        <v>0</v>
      </c>
    </row>
    <row r="50" spans="1:37" ht="12.75">
      <c r="A50" s="5"/>
      <c r="B50" s="5"/>
      <c r="C50" s="11"/>
      <c r="D50" s="50" t="s">
        <v>114</v>
      </c>
      <c r="E50" s="51"/>
      <c r="F50" s="51"/>
      <c r="G50" s="51"/>
      <c r="H50" s="26">
        <f>SUM(H51:H51)</f>
        <v>0</v>
      </c>
      <c r="I50" s="26">
        <f>SUM(I51:I51)</f>
        <v>0</v>
      </c>
      <c r="J50" s="26">
        <f>H50+I50</f>
        <v>0</v>
      </c>
      <c r="K50" s="21"/>
      <c r="L50" s="26">
        <f>SUM(L51:L51)</f>
        <v>0</v>
      </c>
      <c r="P50" s="26">
        <f>IF(Q50="PR",J50,SUM(O51:O51))</f>
        <v>0</v>
      </c>
      <c r="Q50" s="21" t="s">
        <v>146</v>
      </c>
      <c r="R50" s="26">
        <f>IF(Q50="HS",H50,0)</f>
        <v>0</v>
      </c>
      <c r="S50" s="26">
        <f>IF(Q50="HS",I50-P50,0)</f>
        <v>0</v>
      </c>
      <c r="T50" s="26">
        <f>IF(Q50="PS",H50,0)</f>
        <v>0</v>
      </c>
      <c r="U50" s="26">
        <f>IF(Q50="PS",I50-P50,0)</f>
        <v>0</v>
      </c>
      <c r="V50" s="26">
        <f>IF(Q50="MP",H50,0)</f>
        <v>0</v>
      </c>
      <c r="W50" s="26">
        <f>IF(Q50="MP",I50-P50,0)</f>
        <v>0</v>
      </c>
      <c r="X50" s="26">
        <f>IF(Q50="OM",H50,0)</f>
        <v>0</v>
      </c>
      <c r="Y50" s="21"/>
      <c r="AI50" s="26">
        <f>SUM(Z51:Z51)</f>
        <v>0</v>
      </c>
      <c r="AJ50" s="26">
        <f>SUM(AA51:AA51)</f>
        <v>0</v>
      </c>
      <c r="AK50" s="26">
        <f>SUM(AB51:AB51)</f>
        <v>0</v>
      </c>
    </row>
    <row r="51" spans="1:32" ht="12.75">
      <c r="A51" s="6" t="s">
        <v>33</v>
      </c>
      <c r="B51" s="6"/>
      <c r="C51" s="6" t="s">
        <v>71</v>
      </c>
      <c r="D51" s="6" t="s">
        <v>115</v>
      </c>
      <c r="E51" s="6" t="s">
        <v>126</v>
      </c>
      <c r="F51" s="14">
        <v>10.8</v>
      </c>
      <c r="G51" s="14">
        <v>0</v>
      </c>
      <c r="H51" s="14">
        <f>ROUND(F51*AE51,2)</f>
        <v>0</v>
      </c>
      <c r="I51" s="14">
        <f>J51-H51</f>
        <v>0</v>
      </c>
      <c r="J51" s="14">
        <f>ROUND(F51*G51,2)</f>
        <v>0</v>
      </c>
      <c r="K51" s="14">
        <v>0</v>
      </c>
      <c r="L51" s="14">
        <v>0</v>
      </c>
      <c r="N51" s="24" t="s">
        <v>141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13">
        <v>21</v>
      </c>
      <c r="AE51" s="13">
        <f>G51*1</f>
        <v>0</v>
      </c>
      <c r="AF51" s="13">
        <f>G51*(1-1)</f>
        <v>0</v>
      </c>
    </row>
    <row r="52" spans="1:28" ht="12.75">
      <c r="A52" s="7"/>
      <c r="B52" s="7"/>
      <c r="C52" s="7"/>
      <c r="D52" s="7"/>
      <c r="E52" s="7"/>
      <c r="F52" s="7"/>
      <c r="G52" s="7"/>
      <c r="H52" s="52" t="s">
        <v>132</v>
      </c>
      <c r="I52" s="53"/>
      <c r="J52" s="27">
        <f>J12+J17+J19+J22+J26+J29+J33+J35+J37+J41+J43+J45+J50</f>
        <v>0</v>
      </c>
      <c r="K52" s="7"/>
      <c r="L52" s="7"/>
      <c r="Z52" s="28">
        <f>SUM(Z13:Z51)</f>
        <v>0</v>
      </c>
      <c r="AA52" s="28">
        <f>SUM(AA13:AA51)</f>
        <v>0</v>
      </c>
      <c r="AB52" s="28">
        <f>SUM(AB13:AB51)</f>
        <v>0</v>
      </c>
    </row>
  </sheetData>
  <sheetProtection/>
  <mergeCells count="41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7:G17"/>
    <mergeCell ref="D19:G19"/>
    <mergeCell ref="D22:G22"/>
    <mergeCell ref="D43:G43"/>
    <mergeCell ref="D45:G45"/>
    <mergeCell ref="D50:G50"/>
    <mergeCell ref="H52:I52"/>
    <mergeCell ref="D26:G26"/>
    <mergeCell ref="D29:G29"/>
    <mergeCell ref="D33:G33"/>
    <mergeCell ref="D35:G35"/>
    <mergeCell ref="D37:G37"/>
    <mergeCell ref="D41:G4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K45" sqref="K45"/>
    </sheetView>
  </sheetViews>
  <sheetFormatPr defaultColWidth="11.421875" defaultRowHeight="12.75"/>
  <cols>
    <col min="1" max="2" width="3.7109375" style="0" customWidth="1"/>
    <col min="3" max="3" width="15.00390625" style="0" customWidth="1"/>
    <col min="4" max="4" width="55.8515625" style="0" customWidth="1"/>
    <col min="5" max="6" width="4.28125" style="0" customWidth="1"/>
    <col min="7" max="7" width="12.8515625" style="0" customWidth="1"/>
    <col min="8" max="13" width="20.7109375" style="0" customWidth="1"/>
    <col min="14" max="14" width="31.421875" style="0" customWidth="1"/>
  </cols>
  <sheetData>
    <row r="1" spans="1:15" ht="12.75">
      <c r="A1" s="29" t="s">
        <v>6</v>
      </c>
      <c r="B1" s="29" t="s">
        <v>154</v>
      </c>
      <c r="C1" s="29" t="s">
        <v>35</v>
      </c>
      <c r="D1" s="29" t="s">
        <v>75</v>
      </c>
      <c r="E1" s="29" t="s">
        <v>120</v>
      </c>
      <c r="F1" s="29" t="s">
        <v>155</v>
      </c>
      <c r="G1" s="29" t="s">
        <v>127</v>
      </c>
      <c r="H1" s="29" t="s">
        <v>156</v>
      </c>
      <c r="I1" s="29" t="s">
        <v>157</v>
      </c>
      <c r="J1" s="29" t="s">
        <v>158</v>
      </c>
      <c r="K1" s="29" t="s">
        <v>159</v>
      </c>
      <c r="L1" s="29" t="s">
        <v>160</v>
      </c>
      <c r="M1" s="29" t="s">
        <v>161</v>
      </c>
      <c r="N1" s="31" t="s">
        <v>162</v>
      </c>
      <c r="O1" s="22"/>
    </row>
    <row r="2" spans="1:14" ht="12.75">
      <c r="A2" s="10" t="s">
        <v>5</v>
      </c>
      <c r="B2" s="10" t="s">
        <v>5</v>
      </c>
      <c r="C2" s="10" t="s">
        <v>17</v>
      </c>
      <c r="D2" s="10" t="s">
        <v>76</v>
      </c>
      <c r="E2" s="10" t="s">
        <v>5</v>
      </c>
      <c r="F2" s="10" t="s">
        <v>5</v>
      </c>
      <c r="G2" s="20" t="s">
        <v>5</v>
      </c>
      <c r="H2" s="20" t="s">
        <v>5</v>
      </c>
      <c r="I2" s="25"/>
      <c r="J2" s="25"/>
      <c r="K2" s="25"/>
      <c r="L2" s="20" t="s">
        <v>5</v>
      </c>
      <c r="M2" s="25">
        <v>0.00015</v>
      </c>
      <c r="N2" s="10" t="s">
        <v>5</v>
      </c>
    </row>
    <row r="3" spans="1:14" ht="12.75">
      <c r="A3" s="4" t="s">
        <v>7</v>
      </c>
      <c r="B3" s="4"/>
      <c r="C3" s="4" t="s">
        <v>36</v>
      </c>
      <c r="D3" s="4" t="s">
        <v>77</v>
      </c>
      <c r="E3" s="4" t="s">
        <v>121</v>
      </c>
      <c r="F3" s="4" t="s">
        <v>27</v>
      </c>
      <c r="G3" s="13">
        <v>20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4"/>
    </row>
    <row r="4" spans="1:14" ht="12.75">
      <c r="A4" s="4" t="s">
        <v>8</v>
      </c>
      <c r="B4" s="4"/>
      <c r="C4" s="4" t="s">
        <v>37</v>
      </c>
      <c r="D4" s="4" t="s">
        <v>78</v>
      </c>
      <c r="E4" s="4" t="s">
        <v>122</v>
      </c>
      <c r="F4" s="4" t="s">
        <v>27</v>
      </c>
      <c r="G4" s="13">
        <v>3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4"/>
    </row>
    <row r="5" spans="1:14" ht="12.75">
      <c r="A5" s="4" t="s">
        <v>9</v>
      </c>
      <c r="B5" s="4"/>
      <c r="C5" s="4" t="s">
        <v>38</v>
      </c>
      <c r="D5" s="4" t="s">
        <v>79</v>
      </c>
      <c r="E5" s="4" t="s">
        <v>122</v>
      </c>
      <c r="F5" s="4" t="s">
        <v>27</v>
      </c>
      <c r="G5" s="13">
        <v>3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4"/>
    </row>
    <row r="6" spans="1:14" ht="12.75">
      <c r="A6" s="4" t="s">
        <v>10</v>
      </c>
      <c r="B6" s="4"/>
      <c r="C6" s="4" t="s">
        <v>39</v>
      </c>
      <c r="D6" s="4" t="s">
        <v>80</v>
      </c>
      <c r="E6" s="4" t="s">
        <v>122</v>
      </c>
      <c r="F6" s="4" t="s">
        <v>27</v>
      </c>
      <c r="G6" s="13">
        <v>3</v>
      </c>
      <c r="H6" s="13">
        <v>0</v>
      </c>
      <c r="I6" s="13">
        <v>0</v>
      </c>
      <c r="J6" s="13">
        <v>0</v>
      </c>
      <c r="K6" s="13">
        <v>0</v>
      </c>
      <c r="L6" s="13">
        <v>5E-05</v>
      </c>
      <c r="M6" s="13">
        <v>0.00015</v>
      </c>
      <c r="N6" s="4"/>
    </row>
    <row r="7" spans="1:14" ht="12.75">
      <c r="A7" s="11" t="s">
        <v>5</v>
      </c>
      <c r="B7" s="11" t="s">
        <v>5</v>
      </c>
      <c r="C7" s="11" t="s">
        <v>18</v>
      </c>
      <c r="D7" s="11" t="s">
        <v>81</v>
      </c>
      <c r="E7" s="11" t="s">
        <v>5</v>
      </c>
      <c r="F7" s="11" t="s">
        <v>5</v>
      </c>
      <c r="G7" s="21" t="s">
        <v>5</v>
      </c>
      <c r="H7" s="21" t="s">
        <v>5</v>
      </c>
      <c r="I7" s="26">
        <v>0</v>
      </c>
      <c r="J7" s="26">
        <v>0</v>
      </c>
      <c r="K7" s="26">
        <v>0</v>
      </c>
      <c r="L7" s="21" t="s">
        <v>5</v>
      </c>
      <c r="M7" s="26">
        <v>0</v>
      </c>
      <c r="N7" s="11" t="s">
        <v>5</v>
      </c>
    </row>
    <row r="8" spans="1:14" ht="12.75">
      <c r="A8" s="4" t="s">
        <v>11</v>
      </c>
      <c r="B8" s="4"/>
      <c r="C8" s="4" t="s">
        <v>40</v>
      </c>
      <c r="D8" s="4" t="s">
        <v>82</v>
      </c>
      <c r="E8" s="4" t="s">
        <v>123</v>
      </c>
      <c r="F8" s="4" t="s">
        <v>27</v>
      </c>
      <c r="G8" s="13">
        <v>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4"/>
    </row>
    <row r="9" spans="1:14" ht="12.75">
      <c r="A9" s="11" t="s">
        <v>5</v>
      </c>
      <c r="B9" s="11" t="s">
        <v>5</v>
      </c>
      <c r="C9" s="11" t="s">
        <v>21</v>
      </c>
      <c r="D9" s="11" t="s">
        <v>83</v>
      </c>
      <c r="E9" s="11" t="s">
        <v>5</v>
      </c>
      <c r="F9" s="11" t="s">
        <v>5</v>
      </c>
      <c r="G9" s="21" t="s">
        <v>5</v>
      </c>
      <c r="H9" s="21" t="s">
        <v>5</v>
      </c>
      <c r="I9" s="26">
        <v>0</v>
      </c>
      <c r="J9" s="26">
        <v>0</v>
      </c>
      <c r="K9" s="26">
        <v>0</v>
      </c>
      <c r="L9" s="21" t="s">
        <v>5</v>
      </c>
      <c r="M9" s="26">
        <v>0</v>
      </c>
      <c r="N9" s="11" t="s">
        <v>5</v>
      </c>
    </row>
    <row r="10" spans="1:14" ht="12.75">
      <c r="A10" s="4" t="s">
        <v>12</v>
      </c>
      <c r="B10" s="4"/>
      <c r="C10" s="4" t="s">
        <v>41</v>
      </c>
      <c r="D10" s="4" t="s">
        <v>84</v>
      </c>
      <c r="E10" s="4" t="s">
        <v>121</v>
      </c>
      <c r="F10" s="4" t="s">
        <v>27</v>
      </c>
      <c r="G10" s="13">
        <v>45</v>
      </c>
      <c r="H10" s="13">
        <v>0</v>
      </c>
      <c r="I10" s="13">
        <v>0</v>
      </c>
      <c r="J10" s="13">
        <v>0</v>
      </c>
      <c r="K10" s="13">
        <v>0</v>
      </c>
      <c r="L10" s="13">
        <v>0.00407</v>
      </c>
      <c r="M10" s="13">
        <v>0</v>
      </c>
      <c r="N10" s="4"/>
    </row>
    <row r="11" spans="1:14" ht="12.75">
      <c r="A11" s="4" t="s">
        <v>13</v>
      </c>
      <c r="B11" s="4"/>
      <c r="C11" s="4" t="s">
        <v>42</v>
      </c>
      <c r="D11" s="4" t="s">
        <v>85</v>
      </c>
      <c r="E11" s="4" t="s">
        <v>121</v>
      </c>
      <c r="F11" s="4" t="s">
        <v>27</v>
      </c>
      <c r="G11" s="13">
        <v>45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4"/>
    </row>
    <row r="12" spans="1:14" ht="12.75">
      <c r="A12" s="11" t="s">
        <v>5</v>
      </c>
      <c r="B12" s="11" t="s">
        <v>5</v>
      </c>
      <c r="C12" s="11" t="s">
        <v>43</v>
      </c>
      <c r="D12" s="11" t="s">
        <v>86</v>
      </c>
      <c r="E12" s="11" t="s">
        <v>5</v>
      </c>
      <c r="F12" s="11" t="s">
        <v>5</v>
      </c>
      <c r="G12" s="21" t="s">
        <v>5</v>
      </c>
      <c r="H12" s="21" t="s">
        <v>5</v>
      </c>
      <c r="I12" s="26">
        <v>0</v>
      </c>
      <c r="J12" s="26">
        <v>0</v>
      </c>
      <c r="K12" s="26">
        <v>0</v>
      </c>
      <c r="L12" s="21" t="s">
        <v>5</v>
      </c>
      <c r="M12" s="26">
        <v>0</v>
      </c>
      <c r="N12" s="11" t="s">
        <v>5</v>
      </c>
    </row>
    <row r="13" spans="1:14" ht="12.75">
      <c r="A13" s="4" t="s">
        <v>14</v>
      </c>
      <c r="B13" s="4"/>
      <c r="C13" s="4" t="s">
        <v>44</v>
      </c>
      <c r="D13" s="4" t="s">
        <v>87</v>
      </c>
      <c r="E13" s="4" t="s">
        <v>121</v>
      </c>
      <c r="F13" s="4" t="s">
        <v>27</v>
      </c>
      <c r="G13" s="13">
        <v>0.48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4"/>
    </row>
    <row r="14" spans="1:14" ht="12.75">
      <c r="A14" s="4" t="s">
        <v>15</v>
      </c>
      <c r="B14" s="4"/>
      <c r="C14" s="4" t="s">
        <v>45</v>
      </c>
      <c r="D14" s="4" t="s">
        <v>88</v>
      </c>
      <c r="E14" s="4" t="s">
        <v>121</v>
      </c>
      <c r="F14" s="4" t="s">
        <v>27</v>
      </c>
      <c r="G14" s="13">
        <v>0.48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4"/>
    </row>
    <row r="15" spans="1:14" ht="12.75">
      <c r="A15" s="4" t="s">
        <v>16</v>
      </c>
      <c r="B15" s="4"/>
      <c r="C15" s="4" t="s">
        <v>46</v>
      </c>
      <c r="D15" s="4" t="s">
        <v>89</v>
      </c>
      <c r="E15" s="4" t="s">
        <v>123</v>
      </c>
      <c r="F15" s="4" t="s">
        <v>27</v>
      </c>
      <c r="G15" s="13">
        <v>0.06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4" t="s">
        <v>163</v>
      </c>
    </row>
    <row r="16" spans="1:14" ht="12.75">
      <c r="A16" s="11" t="s">
        <v>5</v>
      </c>
      <c r="B16" s="11" t="s">
        <v>5</v>
      </c>
      <c r="C16" s="11" t="s">
        <v>47</v>
      </c>
      <c r="D16" s="11" t="s">
        <v>90</v>
      </c>
      <c r="E16" s="11" t="s">
        <v>5</v>
      </c>
      <c r="F16" s="11" t="s">
        <v>5</v>
      </c>
      <c r="G16" s="21" t="s">
        <v>5</v>
      </c>
      <c r="H16" s="21" t="s">
        <v>5</v>
      </c>
      <c r="I16" s="26">
        <v>0</v>
      </c>
      <c r="J16" s="26">
        <v>0</v>
      </c>
      <c r="K16" s="26">
        <v>0</v>
      </c>
      <c r="L16" s="21" t="s">
        <v>5</v>
      </c>
      <c r="M16" s="26">
        <v>0</v>
      </c>
      <c r="N16" s="11" t="s">
        <v>5</v>
      </c>
    </row>
    <row r="17" spans="1:14" ht="12.75">
      <c r="A17" s="4" t="s">
        <v>17</v>
      </c>
      <c r="B17" s="4"/>
      <c r="C17" s="4" t="s">
        <v>48</v>
      </c>
      <c r="D17" s="4" t="s">
        <v>91</v>
      </c>
      <c r="E17" s="4" t="s">
        <v>123</v>
      </c>
      <c r="F17" s="4" t="s">
        <v>27</v>
      </c>
      <c r="G17" s="13">
        <v>7.48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4"/>
    </row>
    <row r="18" spans="1:14" ht="12.75">
      <c r="A18" s="4" t="s">
        <v>18</v>
      </c>
      <c r="B18" s="4"/>
      <c r="C18" s="4" t="s">
        <v>49</v>
      </c>
      <c r="D18" s="4" t="s">
        <v>92</v>
      </c>
      <c r="E18" s="4" t="s">
        <v>123</v>
      </c>
      <c r="F18" s="4" t="s">
        <v>27</v>
      </c>
      <c r="G18" s="13">
        <v>35.98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4"/>
    </row>
    <row r="19" spans="1:14" ht="12.75">
      <c r="A19" s="11" t="s">
        <v>5</v>
      </c>
      <c r="B19" s="11" t="s">
        <v>5</v>
      </c>
      <c r="C19" s="11" t="s">
        <v>50</v>
      </c>
      <c r="D19" s="11" t="s">
        <v>93</v>
      </c>
      <c r="E19" s="11" t="s">
        <v>5</v>
      </c>
      <c r="F19" s="11" t="s">
        <v>5</v>
      </c>
      <c r="G19" s="21" t="s">
        <v>5</v>
      </c>
      <c r="H19" s="21" t="s">
        <v>5</v>
      </c>
      <c r="I19" s="26">
        <v>0</v>
      </c>
      <c r="J19" s="26">
        <v>0</v>
      </c>
      <c r="K19" s="26">
        <v>0</v>
      </c>
      <c r="L19" s="21" t="s">
        <v>5</v>
      </c>
      <c r="M19" s="26">
        <v>0</v>
      </c>
      <c r="N19" s="11" t="s">
        <v>5</v>
      </c>
    </row>
    <row r="20" spans="1:14" ht="12.75">
      <c r="A20" s="4" t="s">
        <v>19</v>
      </c>
      <c r="B20" s="4"/>
      <c r="C20" s="4" t="s">
        <v>51</v>
      </c>
      <c r="D20" s="4" t="s">
        <v>94</v>
      </c>
      <c r="E20" s="4" t="s">
        <v>121</v>
      </c>
      <c r="F20" s="4" t="s">
        <v>27</v>
      </c>
      <c r="G20" s="13">
        <v>48</v>
      </c>
      <c r="H20" s="13">
        <v>0</v>
      </c>
      <c r="I20" s="13">
        <v>0</v>
      </c>
      <c r="J20" s="13">
        <v>0</v>
      </c>
      <c r="K20" s="13">
        <v>0</v>
      </c>
      <c r="L20" s="13">
        <v>0.00019</v>
      </c>
      <c r="M20" s="13">
        <v>0</v>
      </c>
      <c r="N20" s="4"/>
    </row>
    <row r="21" spans="1:14" ht="12.75">
      <c r="A21" s="4" t="s">
        <v>20</v>
      </c>
      <c r="B21" s="4"/>
      <c r="C21" s="4" t="s">
        <v>52</v>
      </c>
      <c r="D21" s="4" t="s">
        <v>95</v>
      </c>
      <c r="E21" s="4" t="s">
        <v>121</v>
      </c>
      <c r="F21" s="4" t="s">
        <v>27</v>
      </c>
      <c r="G21" s="13">
        <v>61</v>
      </c>
      <c r="H21" s="13">
        <v>0</v>
      </c>
      <c r="I21" s="13">
        <v>0</v>
      </c>
      <c r="J21" s="13">
        <v>0</v>
      </c>
      <c r="K21" s="13">
        <v>0</v>
      </c>
      <c r="L21" s="13">
        <v>0.01712</v>
      </c>
      <c r="M21" s="13">
        <v>0</v>
      </c>
      <c r="N21" s="4"/>
    </row>
    <row r="22" spans="1:14" ht="12.75">
      <c r="A22" s="4" t="s">
        <v>21</v>
      </c>
      <c r="B22" s="4"/>
      <c r="C22" s="4" t="s">
        <v>53</v>
      </c>
      <c r="D22" s="4" t="s">
        <v>96</v>
      </c>
      <c r="E22" s="4" t="s">
        <v>121</v>
      </c>
      <c r="F22" s="4" t="s">
        <v>27</v>
      </c>
      <c r="G22" s="13">
        <v>40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4"/>
    </row>
    <row r="23" spans="1:14" ht="12.75">
      <c r="A23" s="11" t="s">
        <v>5</v>
      </c>
      <c r="B23" s="11" t="s">
        <v>5</v>
      </c>
      <c r="C23" s="11" t="s">
        <v>54</v>
      </c>
      <c r="D23" s="11" t="s">
        <v>97</v>
      </c>
      <c r="E23" s="11" t="s">
        <v>5</v>
      </c>
      <c r="F23" s="11" t="s">
        <v>5</v>
      </c>
      <c r="G23" s="21" t="s">
        <v>5</v>
      </c>
      <c r="H23" s="21" t="s">
        <v>5</v>
      </c>
      <c r="I23" s="26">
        <v>0</v>
      </c>
      <c r="J23" s="26">
        <v>0</v>
      </c>
      <c r="K23" s="26">
        <v>0</v>
      </c>
      <c r="L23" s="21" t="s">
        <v>5</v>
      </c>
      <c r="M23" s="26">
        <v>0</v>
      </c>
      <c r="N23" s="11" t="s">
        <v>5</v>
      </c>
    </row>
    <row r="24" spans="1:14" ht="12.75">
      <c r="A24" s="4" t="s">
        <v>22</v>
      </c>
      <c r="B24" s="4"/>
      <c r="C24" s="4" t="s">
        <v>55</v>
      </c>
      <c r="D24" s="4" t="s">
        <v>98</v>
      </c>
      <c r="E24" s="4" t="s">
        <v>123</v>
      </c>
      <c r="F24" s="4" t="s">
        <v>27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4"/>
    </row>
    <row r="25" spans="1:14" ht="12.75">
      <c r="A25" s="11" t="s">
        <v>5</v>
      </c>
      <c r="B25" s="11" t="s">
        <v>5</v>
      </c>
      <c r="C25" s="11" t="s">
        <v>56</v>
      </c>
      <c r="D25" s="11" t="s">
        <v>99</v>
      </c>
      <c r="E25" s="11" t="s">
        <v>5</v>
      </c>
      <c r="F25" s="11" t="s">
        <v>5</v>
      </c>
      <c r="G25" s="21" t="s">
        <v>5</v>
      </c>
      <c r="H25" s="21" t="s">
        <v>5</v>
      </c>
      <c r="I25" s="26">
        <v>0</v>
      </c>
      <c r="J25" s="26">
        <v>0</v>
      </c>
      <c r="K25" s="26">
        <v>0</v>
      </c>
      <c r="L25" s="21" t="s">
        <v>5</v>
      </c>
      <c r="M25" s="26">
        <v>0</v>
      </c>
      <c r="N25" s="11" t="s">
        <v>5</v>
      </c>
    </row>
    <row r="26" spans="1:14" ht="12.75">
      <c r="A26" s="4" t="s">
        <v>23</v>
      </c>
      <c r="B26" s="4"/>
      <c r="C26" s="4" t="s">
        <v>57</v>
      </c>
      <c r="D26" s="4" t="s">
        <v>100</v>
      </c>
      <c r="E26" s="4" t="s">
        <v>121</v>
      </c>
      <c r="F26" s="4" t="s">
        <v>27</v>
      </c>
      <c r="G26" s="13">
        <v>232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4"/>
    </row>
    <row r="27" spans="1:14" ht="12.75">
      <c r="A27" s="11" t="s">
        <v>5</v>
      </c>
      <c r="B27" s="11" t="s">
        <v>5</v>
      </c>
      <c r="C27" s="11" t="s">
        <v>58</v>
      </c>
      <c r="D27" s="11" t="s">
        <v>101</v>
      </c>
      <c r="E27" s="11" t="s">
        <v>5</v>
      </c>
      <c r="F27" s="11" t="s">
        <v>5</v>
      </c>
      <c r="G27" s="21" t="s">
        <v>5</v>
      </c>
      <c r="H27" s="21" t="s">
        <v>5</v>
      </c>
      <c r="I27" s="26">
        <v>0</v>
      </c>
      <c r="J27" s="26">
        <v>0</v>
      </c>
      <c r="K27" s="26">
        <v>0</v>
      </c>
      <c r="L27" s="21" t="s">
        <v>5</v>
      </c>
      <c r="M27" s="26">
        <v>0</v>
      </c>
      <c r="N27" s="11" t="s">
        <v>5</v>
      </c>
    </row>
    <row r="28" spans="1:14" ht="12.75">
      <c r="A28" s="4" t="s">
        <v>24</v>
      </c>
      <c r="B28" s="4"/>
      <c r="C28" s="4" t="s">
        <v>59</v>
      </c>
      <c r="D28" s="4" t="s">
        <v>102</v>
      </c>
      <c r="E28" s="4" t="s">
        <v>121</v>
      </c>
      <c r="F28" s="4" t="s">
        <v>27</v>
      </c>
      <c r="G28" s="13">
        <v>70</v>
      </c>
      <c r="H28" s="13">
        <v>0</v>
      </c>
      <c r="I28" s="13">
        <v>2.8</v>
      </c>
      <c r="J28" s="13">
        <v>0</v>
      </c>
      <c r="K28" s="13">
        <v>0</v>
      </c>
      <c r="L28" s="13">
        <v>0</v>
      </c>
      <c r="M28" s="13">
        <v>0</v>
      </c>
      <c r="N28" s="4"/>
    </row>
    <row r="29" spans="1:14" ht="12.75">
      <c r="A29" s="4" t="s">
        <v>25</v>
      </c>
      <c r="B29" s="4"/>
      <c r="C29" s="4" t="s">
        <v>60</v>
      </c>
      <c r="D29" s="4" t="s">
        <v>103</v>
      </c>
      <c r="E29" s="4" t="s">
        <v>121</v>
      </c>
      <c r="F29" s="4" t="s">
        <v>27</v>
      </c>
      <c r="G29" s="13">
        <v>70</v>
      </c>
      <c r="H29" s="13">
        <v>0</v>
      </c>
      <c r="I29" s="13">
        <v>0</v>
      </c>
      <c r="J29" s="13">
        <v>0</v>
      </c>
      <c r="K29" s="13">
        <v>0</v>
      </c>
      <c r="L29" s="13">
        <v>0.00097</v>
      </c>
      <c r="M29" s="13">
        <v>0.0679</v>
      </c>
      <c r="N29" s="4"/>
    </row>
    <row r="30" spans="1:14" ht="12.75">
      <c r="A30" s="4" t="s">
        <v>26</v>
      </c>
      <c r="B30" s="4"/>
      <c r="C30" s="4" t="s">
        <v>61</v>
      </c>
      <c r="D30" s="4" t="s">
        <v>104</v>
      </c>
      <c r="E30" s="4" t="s">
        <v>121</v>
      </c>
      <c r="F30" s="4" t="s">
        <v>27</v>
      </c>
      <c r="G30" s="13">
        <v>70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4"/>
    </row>
    <row r="31" spans="1:14" ht="12.75">
      <c r="A31" s="11" t="s">
        <v>5</v>
      </c>
      <c r="B31" s="11" t="s">
        <v>5</v>
      </c>
      <c r="C31" s="11" t="s">
        <v>62</v>
      </c>
      <c r="D31" s="11" t="s">
        <v>105</v>
      </c>
      <c r="E31" s="11" t="s">
        <v>5</v>
      </c>
      <c r="F31" s="11" t="s">
        <v>5</v>
      </c>
      <c r="G31" s="21" t="s">
        <v>5</v>
      </c>
      <c r="H31" s="21" t="s">
        <v>5</v>
      </c>
      <c r="I31" s="26">
        <v>0</v>
      </c>
      <c r="J31" s="26">
        <v>0</v>
      </c>
      <c r="K31" s="26">
        <v>0</v>
      </c>
      <c r="L31" s="21" t="s">
        <v>5</v>
      </c>
      <c r="M31" s="26">
        <v>0</v>
      </c>
      <c r="N31" s="11" t="s">
        <v>5</v>
      </c>
    </row>
    <row r="32" spans="1:14" ht="12.75">
      <c r="A32" s="4" t="s">
        <v>27</v>
      </c>
      <c r="B32" s="4"/>
      <c r="C32" s="4" t="s">
        <v>63</v>
      </c>
      <c r="D32" s="4" t="s">
        <v>106</v>
      </c>
      <c r="E32" s="4" t="s">
        <v>124</v>
      </c>
      <c r="F32" s="4" t="s">
        <v>27</v>
      </c>
      <c r="G32" s="13">
        <v>16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4"/>
    </row>
    <row r="33" spans="1:14" ht="12.75">
      <c r="A33" s="11" t="s">
        <v>5</v>
      </c>
      <c r="B33" s="11" t="s">
        <v>5</v>
      </c>
      <c r="C33" s="11" t="s">
        <v>64</v>
      </c>
      <c r="D33" s="11" t="s">
        <v>107</v>
      </c>
      <c r="E33" s="11" t="s">
        <v>5</v>
      </c>
      <c r="F33" s="11" t="s">
        <v>5</v>
      </c>
      <c r="G33" s="21" t="s">
        <v>5</v>
      </c>
      <c r="H33" s="21" t="s">
        <v>5</v>
      </c>
      <c r="I33" s="26">
        <v>0</v>
      </c>
      <c r="J33" s="26">
        <v>0</v>
      </c>
      <c r="K33" s="26">
        <v>0</v>
      </c>
      <c r="L33" s="21" t="s">
        <v>5</v>
      </c>
      <c r="M33" s="26">
        <v>0</v>
      </c>
      <c r="N33" s="11" t="s">
        <v>5</v>
      </c>
    </row>
    <row r="34" spans="1:14" ht="12.75">
      <c r="A34" s="4" t="s">
        <v>28</v>
      </c>
      <c r="B34" s="4"/>
      <c r="C34" s="4" t="s">
        <v>65</v>
      </c>
      <c r="D34" s="4" t="s">
        <v>108</v>
      </c>
      <c r="E34" s="4" t="s">
        <v>125</v>
      </c>
      <c r="F34" s="4" t="s">
        <v>27</v>
      </c>
      <c r="G34" s="13">
        <v>471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4"/>
    </row>
    <row r="35" spans="1:14" ht="12.75">
      <c r="A35" s="11" t="s">
        <v>5</v>
      </c>
      <c r="B35" s="11" t="s">
        <v>5</v>
      </c>
      <c r="C35" s="11" t="s">
        <v>66</v>
      </c>
      <c r="D35" s="11" t="s">
        <v>109</v>
      </c>
      <c r="E35" s="11" t="s">
        <v>5</v>
      </c>
      <c r="F35" s="11" t="s">
        <v>5</v>
      </c>
      <c r="G35" s="21" t="s">
        <v>5</v>
      </c>
      <c r="H35" s="21" t="s">
        <v>5</v>
      </c>
      <c r="I35" s="26">
        <v>0</v>
      </c>
      <c r="J35" s="26">
        <v>0</v>
      </c>
      <c r="K35" s="26">
        <v>0</v>
      </c>
      <c r="L35" s="21" t="s">
        <v>5</v>
      </c>
      <c r="M35" s="26">
        <v>0</v>
      </c>
      <c r="N35" s="11" t="s">
        <v>5</v>
      </c>
    </row>
    <row r="36" spans="1:14" ht="12.75">
      <c r="A36" s="4" t="s">
        <v>29</v>
      </c>
      <c r="B36" s="4"/>
      <c r="C36" s="4" t="s">
        <v>67</v>
      </c>
      <c r="D36" s="4" t="s">
        <v>110</v>
      </c>
      <c r="E36" s="4" t="s">
        <v>125</v>
      </c>
      <c r="F36" s="4" t="s">
        <v>27</v>
      </c>
      <c r="G36" s="13">
        <v>29.1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4"/>
    </row>
    <row r="37" spans="1:14" ht="12.75">
      <c r="A37" s="4" t="s">
        <v>30</v>
      </c>
      <c r="B37" s="4"/>
      <c r="C37" s="4" t="s">
        <v>68</v>
      </c>
      <c r="D37" s="4" t="s">
        <v>111</v>
      </c>
      <c r="E37" s="4" t="s">
        <v>125</v>
      </c>
      <c r="F37" s="4" t="s">
        <v>27</v>
      </c>
      <c r="G37" s="13">
        <v>29.1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4"/>
    </row>
    <row r="38" spans="1:14" ht="12.75">
      <c r="A38" s="4" t="s">
        <v>31</v>
      </c>
      <c r="B38" s="4"/>
      <c r="C38" s="4" t="s">
        <v>69</v>
      </c>
      <c r="D38" s="4" t="s">
        <v>112</v>
      </c>
      <c r="E38" s="4" t="s">
        <v>125</v>
      </c>
      <c r="F38" s="4" t="s">
        <v>27</v>
      </c>
      <c r="G38" s="13">
        <v>29.1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4"/>
    </row>
    <row r="39" spans="1:14" ht="12.75">
      <c r="A39" s="4" t="s">
        <v>32</v>
      </c>
      <c r="B39" s="4"/>
      <c r="C39" s="4" t="s">
        <v>70</v>
      </c>
      <c r="D39" s="4" t="s">
        <v>113</v>
      </c>
      <c r="E39" s="4" t="s">
        <v>125</v>
      </c>
      <c r="F39" s="4" t="s">
        <v>27</v>
      </c>
      <c r="G39" s="13">
        <v>29.1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4"/>
    </row>
    <row r="40" spans="1:14" ht="12.75">
      <c r="A40" s="11" t="s">
        <v>5</v>
      </c>
      <c r="B40" s="11" t="s">
        <v>5</v>
      </c>
      <c r="C40" s="11"/>
      <c r="D40" s="11" t="s">
        <v>114</v>
      </c>
      <c r="E40" s="11" t="s">
        <v>5</v>
      </c>
      <c r="F40" s="11" t="s">
        <v>5</v>
      </c>
      <c r="G40" s="21" t="s">
        <v>5</v>
      </c>
      <c r="H40" s="21" t="s">
        <v>5</v>
      </c>
      <c r="I40" s="26">
        <v>0</v>
      </c>
      <c r="J40" s="26">
        <v>0</v>
      </c>
      <c r="K40" s="26">
        <v>0</v>
      </c>
      <c r="L40" s="21" t="s">
        <v>5</v>
      </c>
      <c r="M40" s="26">
        <v>10.8</v>
      </c>
      <c r="N40" s="11" t="s">
        <v>5</v>
      </c>
    </row>
    <row r="41" spans="1:14" ht="12.75">
      <c r="A41" s="4" t="s">
        <v>33</v>
      </c>
      <c r="B41" s="4"/>
      <c r="C41" s="4" t="s">
        <v>71</v>
      </c>
      <c r="D41" s="4" t="s">
        <v>115</v>
      </c>
      <c r="E41" s="4" t="s">
        <v>126</v>
      </c>
      <c r="F41" s="4" t="s">
        <v>27</v>
      </c>
      <c r="G41" s="13">
        <v>10.8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10.8</v>
      </c>
      <c r="N41" s="4"/>
    </row>
    <row r="43" spans="10:11" ht="12.75">
      <c r="J43" s="30" t="s">
        <v>132</v>
      </c>
      <c r="K43" s="2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68" t="s">
        <v>164</v>
      </c>
      <c r="B1" s="69"/>
      <c r="C1" s="69"/>
      <c r="D1" s="69"/>
      <c r="E1" s="69"/>
      <c r="F1" s="69"/>
      <c r="G1" s="37"/>
    </row>
    <row r="2" spans="1:8" ht="12.75">
      <c r="A2" s="70" t="s">
        <v>1</v>
      </c>
      <c r="B2" s="52" t="s">
        <v>72</v>
      </c>
      <c r="C2" s="53"/>
      <c r="D2" s="59" t="s">
        <v>133</v>
      </c>
      <c r="E2" s="59"/>
      <c r="F2" s="63"/>
      <c r="G2" s="64"/>
      <c r="H2" s="22"/>
    </row>
    <row r="3" spans="1:8" ht="12.75">
      <c r="A3" s="71"/>
      <c r="B3" s="74"/>
      <c r="C3" s="74"/>
      <c r="D3" s="60"/>
      <c r="E3" s="60"/>
      <c r="F3" s="60"/>
      <c r="G3" s="65"/>
      <c r="H3" s="22"/>
    </row>
    <row r="4" spans="1:8" ht="12.75">
      <c r="A4" s="72" t="s">
        <v>2</v>
      </c>
      <c r="B4" s="61" t="s">
        <v>73</v>
      </c>
      <c r="C4" s="60"/>
      <c r="D4" s="61" t="s">
        <v>134</v>
      </c>
      <c r="E4" s="61"/>
      <c r="F4" s="60"/>
      <c r="G4" s="65"/>
      <c r="H4" s="22"/>
    </row>
    <row r="5" spans="1:8" ht="12.75">
      <c r="A5" s="71"/>
      <c r="B5" s="60"/>
      <c r="C5" s="60"/>
      <c r="D5" s="60"/>
      <c r="E5" s="60"/>
      <c r="F5" s="60"/>
      <c r="G5" s="65"/>
      <c r="H5" s="22"/>
    </row>
    <row r="6" spans="1:8" ht="12.75">
      <c r="A6" s="72" t="s">
        <v>3</v>
      </c>
      <c r="B6" s="61" t="s">
        <v>74</v>
      </c>
      <c r="C6" s="60"/>
      <c r="D6" s="61" t="s">
        <v>135</v>
      </c>
      <c r="E6" s="61"/>
      <c r="F6" s="60"/>
      <c r="G6" s="65"/>
      <c r="H6" s="22"/>
    </row>
    <row r="7" spans="1:8" ht="12.75">
      <c r="A7" s="71"/>
      <c r="B7" s="60"/>
      <c r="C7" s="60"/>
      <c r="D7" s="60"/>
      <c r="E7" s="60"/>
      <c r="F7" s="60"/>
      <c r="G7" s="65"/>
      <c r="H7" s="22"/>
    </row>
    <row r="8" spans="1:8" ht="12.75">
      <c r="A8" s="72" t="s">
        <v>136</v>
      </c>
      <c r="B8" s="61" t="s">
        <v>138</v>
      </c>
      <c r="C8" s="60"/>
      <c r="D8" s="61" t="s">
        <v>119</v>
      </c>
      <c r="E8" s="67">
        <v>43618</v>
      </c>
      <c r="F8" s="60"/>
      <c r="G8" s="65"/>
      <c r="H8" s="22"/>
    </row>
    <row r="9" spans="1:8" ht="12.75">
      <c r="A9" s="73"/>
      <c r="B9" s="62"/>
      <c r="C9" s="62"/>
      <c r="D9" s="62"/>
      <c r="E9" s="62"/>
      <c r="F9" s="62"/>
      <c r="G9" s="66"/>
      <c r="H9" s="22"/>
    </row>
    <row r="10" spans="1:8" ht="12.75">
      <c r="A10" s="32" t="s">
        <v>34</v>
      </c>
      <c r="B10" s="31" t="s">
        <v>35</v>
      </c>
      <c r="C10" s="34" t="s">
        <v>75</v>
      </c>
      <c r="D10" s="35" t="s">
        <v>165</v>
      </c>
      <c r="E10" s="35" t="s">
        <v>166</v>
      </c>
      <c r="F10" s="35" t="s">
        <v>167</v>
      </c>
      <c r="G10" s="38" t="s">
        <v>168</v>
      </c>
      <c r="H10" s="23"/>
    </row>
    <row r="11" spans="1:9" ht="12.75">
      <c r="A11" s="33"/>
      <c r="B11" s="33" t="s">
        <v>17</v>
      </c>
      <c r="C11" s="33" t="s">
        <v>76</v>
      </c>
      <c r="D11" s="36">
        <v>0</v>
      </c>
      <c r="E11" s="36">
        <v>0</v>
      </c>
      <c r="F11" s="36">
        <f aca="true" t="shared" si="0" ref="F11:F23">D11+E11</f>
        <v>0</v>
      </c>
      <c r="G11" s="36">
        <v>0.00015</v>
      </c>
      <c r="H11" s="13" t="s">
        <v>169</v>
      </c>
      <c r="I11" s="13">
        <f aca="true" t="shared" si="1" ref="I11:I23">IF(H11="T",0,F11)</f>
        <v>0</v>
      </c>
    </row>
    <row r="12" spans="1:9" ht="12.75">
      <c r="A12" s="4"/>
      <c r="B12" s="4" t="s">
        <v>18</v>
      </c>
      <c r="C12" s="4" t="s">
        <v>81</v>
      </c>
      <c r="D12" s="13">
        <v>0</v>
      </c>
      <c r="E12" s="13">
        <v>0</v>
      </c>
      <c r="F12" s="13">
        <f t="shared" si="0"/>
        <v>0</v>
      </c>
      <c r="G12" s="13">
        <v>0</v>
      </c>
      <c r="H12" s="13" t="s">
        <v>169</v>
      </c>
      <c r="I12" s="13">
        <f t="shared" si="1"/>
        <v>0</v>
      </c>
    </row>
    <row r="13" spans="1:9" ht="12.75">
      <c r="A13" s="4"/>
      <c r="B13" s="4" t="s">
        <v>21</v>
      </c>
      <c r="C13" s="4" t="s">
        <v>83</v>
      </c>
      <c r="D13" s="13">
        <v>0</v>
      </c>
      <c r="E13" s="13">
        <v>0</v>
      </c>
      <c r="F13" s="13">
        <f t="shared" si="0"/>
        <v>0</v>
      </c>
      <c r="G13" s="13">
        <v>0</v>
      </c>
      <c r="H13" s="13" t="s">
        <v>169</v>
      </c>
      <c r="I13" s="13">
        <f t="shared" si="1"/>
        <v>0</v>
      </c>
    </row>
    <row r="14" spans="1:9" ht="12.75">
      <c r="A14" s="4"/>
      <c r="B14" s="4" t="s">
        <v>43</v>
      </c>
      <c r="C14" s="4" t="s">
        <v>86</v>
      </c>
      <c r="D14" s="13">
        <v>0</v>
      </c>
      <c r="E14" s="13">
        <v>0</v>
      </c>
      <c r="F14" s="13">
        <f t="shared" si="0"/>
        <v>0</v>
      </c>
      <c r="G14" s="13">
        <v>0</v>
      </c>
      <c r="H14" s="13" t="s">
        <v>169</v>
      </c>
      <c r="I14" s="13">
        <f t="shared" si="1"/>
        <v>0</v>
      </c>
    </row>
    <row r="15" spans="1:9" ht="12.75">
      <c r="A15" s="4"/>
      <c r="B15" s="4" t="s">
        <v>47</v>
      </c>
      <c r="C15" s="4" t="s">
        <v>90</v>
      </c>
      <c r="D15" s="13">
        <v>0</v>
      </c>
      <c r="E15" s="13">
        <v>0</v>
      </c>
      <c r="F15" s="13">
        <f t="shared" si="0"/>
        <v>0</v>
      </c>
      <c r="G15" s="13">
        <v>0</v>
      </c>
      <c r="H15" s="13" t="s">
        <v>169</v>
      </c>
      <c r="I15" s="13">
        <f t="shared" si="1"/>
        <v>0</v>
      </c>
    </row>
    <row r="16" spans="1:9" ht="12.75">
      <c r="A16" s="4"/>
      <c r="B16" s="4" t="s">
        <v>50</v>
      </c>
      <c r="C16" s="4" t="s">
        <v>93</v>
      </c>
      <c r="D16" s="13">
        <v>0</v>
      </c>
      <c r="E16" s="13">
        <v>0</v>
      </c>
      <c r="F16" s="13">
        <f t="shared" si="0"/>
        <v>0</v>
      </c>
      <c r="G16" s="13">
        <v>0</v>
      </c>
      <c r="H16" s="13" t="s">
        <v>169</v>
      </c>
      <c r="I16" s="13">
        <f t="shared" si="1"/>
        <v>0</v>
      </c>
    </row>
    <row r="17" spans="1:9" ht="12.75">
      <c r="A17" s="4"/>
      <c r="B17" s="4" t="s">
        <v>54</v>
      </c>
      <c r="C17" s="4" t="s">
        <v>97</v>
      </c>
      <c r="D17" s="13">
        <v>0</v>
      </c>
      <c r="E17" s="13">
        <v>0</v>
      </c>
      <c r="F17" s="13">
        <f t="shared" si="0"/>
        <v>0</v>
      </c>
      <c r="G17" s="13">
        <v>0</v>
      </c>
      <c r="H17" s="13" t="s">
        <v>169</v>
      </c>
      <c r="I17" s="13">
        <f t="shared" si="1"/>
        <v>0</v>
      </c>
    </row>
    <row r="18" spans="1:9" ht="12.75">
      <c r="A18" s="4"/>
      <c r="B18" s="4" t="s">
        <v>56</v>
      </c>
      <c r="C18" s="4" t="s">
        <v>99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 t="s">
        <v>169</v>
      </c>
      <c r="I18" s="13">
        <f t="shared" si="1"/>
        <v>0</v>
      </c>
    </row>
    <row r="19" spans="1:9" ht="12.75">
      <c r="A19" s="4"/>
      <c r="B19" s="4" t="s">
        <v>58</v>
      </c>
      <c r="C19" s="4" t="s">
        <v>101</v>
      </c>
      <c r="D19" s="13">
        <v>0</v>
      </c>
      <c r="E19" s="13">
        <v>0</v>
      </c>
      <c r="F19" s="13">
        <f t="shared" si="0"/>
        <v>0</v>
      </c>
      <c r="G19" s="13">
        <v>0</v>
      </c>
      <c r="H19" s="13" t="s">
        <v>169</v>
      </c>
      <c r="I19" s="13">
        <f t="shared" si="1"/>
        <v>0</v>
      </c>
    </row>
    <row r="20" spans="1:9" ht="12.75">
      <c r="A20" s="4"/>
      <c r="B20" s="4" t="s">
        <v>62</v>
      </c>
      <c r="C20" s="4" t="s">
        <v>105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 t="s">
        <v>169</v>
      </c>
      <c r="I20" s="13">
        <f t="shared" si="1"/>
        <v>0</v>
      </c>
    </row>
    <row r="21" spans="1:9" ht="12.75">
      <c r="A21" s="4"/>
      <c r="B21" s="4" t="s">
        <v>64</v>
      </c>
      <c r="C21" s="4" t="s">
        <v>107</v>
      </c>
      <c r="D21" s="13">
        <v>0</v>
      </c>
      <c r="E21" s="13">
        <v>0</v>
      </c>
      <c r="F21" s="13">
        <f t="shared" si="0"/>
        <v>0</v>
      </c>
      <c r="G21" s="13">
        <v>0</v>
      </c>
      <c r="H21" s="13" t="s">
        <v>169</v>
      </c>
      <c r="I21" s="13">
        <f t="shared" si="1"/>
        <v>0</v>
      </c>
    </row>
    <row r="22" spans="1:9" ht="12.75">
      <c r="A22" s="4"/>
      <c r="B22" s="4" t="s">
        <v>66</v>
      </c>
      <c r="C22" s="4" t="s">
        <v>109</v>
      </c>
      <c r="D22" s="13">
        <v>0</v>
      </c>
      <c r="E22" s="13">
        <v>0</v>
      </c>
      <c r="F22" s="13">
        <f t="shared" si="0"/>
        <v>0</v>
      </c>
      <c r="G22" s="13">
        <v>0</v>
      </c>
      <c r="H22" s="13" t="s">
        <v>169</v>
      </c>
      <c r="I22" s="13">
        <f t="shared" si="1"/>
        <v>0</v>
      </c>
    </row>
    <row r="23" spans="1:9" ht="12.75">
      <c r="A23" s="4"/>
      <c r="B23" s="4"/>
      <c r="C23" s="4" t="s">
        <v>114</v>
      </c>
      <c r="D23" s="13">
        <v>0</v>
      </c>
      <c r="E23" s="13">
        <v>0</v>
      </c>
      <c r="F23" s="13">
        <f t="shared" si="0"/>
        <v>0</v>
      </c>
      <c r="G23" s="13">
        <v>0</v>
      </c>
      <c r="H23" s="13" t="s">
        <v>169</v>
      </c>
      <c r="I23" s="13">
        <f t="shared" si="1"/>
        <v>0</v>
      </c>
    </row>
    <row r="25" spans="5:6" ht="12.75">
      <c r="E25" s="30" t="s">
        <v>132</v>
      </c>
      <c r="F25" s="28">
        <f>SUM(I11:I23)</f>
        <v>0</v>
      </c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G3"/>
    <mergeCell ref="E4:G5"/>
    <mergeCell ref="E6:G7"/>
    <mergeCell ref="E8:G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9" t="s">
        <v>170</v>
      </c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70" t="s">
        <v>1</v>
      </c>
      <c r="B2" s="63"/>
      <c r="C2" s="52" t="s">
        <v>72</v>
      </c>
      <c r="D2" s="53"/>
      <c r="E2" s="59" t="s">
        <v>133</v>
      </c>
      <c r="F2" s="59"/>
      <c r="G2" s="63"/>
      <c r="H2" s="59" t="s">
        <v>205</v>
      </c>
      <c r="I2" s="92"/>
      <c r="J2" s="22"/>
    </row>
    <row r="3" spans="1:10" ht="12.75">
      <c r="A3" s="71"/>
      <c r="B3" s="60"/>
      <c r="C3" s="74"/>
      <c r="D3" s="74"/>
      <c r="E3" s="60"/>
      <c r="F3" s="60"/>
      <c r="G3" s="60"/>
      <c r="H3" s="60"/>
      <c r="I3" s="65"/>
      <c r="J3" s="22"/>
    </row>
    <row r="4" spans="1:10" ht="12.75">
      <c r="A4" s="72" t="s">
        <v>2</v>
      </c>
      <c r="B4" s="60"/>
      <c r="C4" s="61" t="s">
        <v>73</v>
      </c>
      <c r="D4" s="60"/>
      <c r="E4" s="61" t="s">
        <v>134</v>
      </c>
      <c r="F4" s="61"/>
      <c r="G4" s="60"/>
      <c r="H4" s="61" t="s">
        <v>205</v>
      </c>
      <c r="I4" s="93"/>
      <c r="J4" s="22"/>
    </row>
    <row r="5" spans="1:10" ht="12.75">
      <c r="A5" s="71"/>
      <c r="B5" s="60"/>
      <c r="C5" s="60"/>
      <c r="D5" s="60"/>
      <c r="E5" s="60"/>
      <c r="F5" s="60"/>
      <c r="G5" s="60"/>
      <c r="H5" s="60"/>
      <c r="I5" s="65"/>
      <c r="J5" s="22"/>
    </row>
    <row r="6" spans="1:10" ht="12.75">
      <c r="A6" s="72" t="s">
        <v>3</v>
      </c>
      <c r="B6" s="60"/>
      <c r="C6" s="61" t="s">
        <v>74</v>
      </c>
      <c r="D6" s="60"/>
      <c r="E6" s="61" t="s">
        <v>135</v>
      </c>
      <c r="F6" s="61"/>
      <c r="G6" s="60"/>
      <c r="H6" s="61" t="s">
        <v>205</v>
      </c>
      <c r="I6" s="93"/>
      <c r="J6" s="22"/>
    </row>
    <row r="7" spans="1:10" ht="12.75">
      <c r="A7" s="71"/>
      <c r="B7" s="60"/>
      <c r="C7" s="60"/>
      <c r="D7" s="60"/>
      <c r="E7" s="60"/>
      <c r="F7" s="60"/>
      <c r="G7" s="60"/>
      <c r="H7" s="60"/>
      <c r="I7" s="65"/>
      <c r="J7" s="22"/>
    </row>
    <row r="8" spans="1:10" ht="12.75">
      <c r="A8" s="72" t="s">
        <v>117</v>
      </c>
      <c r="B8" s="60"/>
      <c r="C8" s="67">
        <v>43618</v>
      </c>
      <c r="D8" s="60"/>
      <c r="E8" s="61" t="s">
        <v>118</v>
      </c>
      <c r="F8" s="60"/>
      <c r="G8" s="60"/>
      <c r="H8" s="61" t="s">
        <v>206</v>
      </c>
      <c r="I8" s="93" t="s">
        <v>33</v>
      </c>
      <c r="J8" s="22"/>
    </row>
    <row r="9" spans="1:10" ht="12.75">
      <c r="A9" s="71"/>
      <c r="B9" s="60"/>
      <c r="C9" s="60"/>
      <c r="D9" s="60"/>
      <c r="E9" s="60"/>
      <c r="F9" s="60"/>
      <c r="G9" s="60"/>
      <c r="H9" s="60"/>
      <c r="I9" s="65"/>
      <c r="J9" s="22"/>
    </row>
    <row r="10" spans="1:10" ht="12.75">
      <c r="A10" s="72" t="s">
        <v>4</v>
      </c>
      <c r="B10" s="60"/>
      <c r="C10" s="61"/>
      <c r="D10" s="60"/>
      <c r="E10" s="61" t="s">
        <v>136</v>
      </c>
      <c r="F10" s="61" t="s">
        <v>138</v>
      </c>
      <c r="G10" s="60"/>
      <c r="H10" s="61" t="s">
        <v>207</v>
      </c>
      <c r="I10" s="94">
        <v>43618</v>
      </c>
      <c r="J10" s="22"/>
    </row>
    <row r="11" spans="1:10" ht="12.75">
      <c r="A11" s="101"/>
      <c r="B11" s="98"/>
      <c r="C11" s="98"/>
      <c r="D11" s="98"/>
      <c r="E11" s="98"/>
      <c r="F11" s="98"/>
      <c r="G11" s="98"/>
      <c r="H11" s="98"/>
      <c r="I11" s="95"/>
      <c r="J11" s="22"/>
    </row>
    <row r="12" spans="1:9" ht="23.25" customHeight="1">
      <c r="A12" s="96" t="s">
        <v>171</v>
      </c>
      <c r="B12" s="97"/>
      <c r="C12" s="97"/>
      <c r="D12" s="97"/>
      <c r="E12" s="97"/>
      <c r="F12" s="97"/>
      <c r="G12" s="97"/>
      <c r="H12" s="97"/>
      <c r="I12" s="97"/>
    </row>
    <row r="13" spans="1:10" ht="26.25" customHeight="1">
      <c r="A13" s="39" t="s">
        <v>172</v>
      </c>
      <c r="B13" s="90" t="s">
        <v>183</v>
      </c>
      <c r="C13" s="91"/>
      <c r="D13" s="39" t="s">
        <v>185</v>
      </c>
      <c r="E13" s="90" t="s">
        <v>193</v>
      </c>
      <c r="F13" s="91"/>
      <c r="G13" s="39" t="s">
        <v>194</v>
      </c>
      <c r="H13" s="90" t="s">
        <v>208</v>
      </c>
      <c r="I13" s="91"/>
      <c r="J13" s="22"/>
    </row>
    <row r="14" spans="1:10" ht="15" customHeight="1">
      <c r="A14" s="40" t="s">
        <v>173</v>
      </c>
      <c r="B14" s="45" t="s">
        <v>184</v>
      </c>
      <c r="C14" s="47">
        <f>SUM('Stavební rozpočet'!R12:R51)</f>
        <v>0</v>
      </c>
      <c r="D14" s="86" t="s">
        <v>186</v>
      </c>
      <c r="E14" s="87"/>
      <c r="F14" s="47">
        <v>0</v>
      </c>
      <c r="G14" s="86" t="s">
        <v>195</v>
      </c>
      <c r="H14" s="87"/>
      <c r="I14" s="47">
        <f>ROUND(C22*(2/100),2)</f>
        <v>0</v>
      </c>
      <c r="J14" s="22"/>
    </row>
    <row r="15" spans="1:10" ht="15" customHeight="1">
      <c r="A15" s="41"/>
      <c r="B15" s="45" t="s">
        <v>137</v>
      </c>
      <c r="C15" s="47">
        <f>SUM('Stavební rozpočet'!S12:S51)</f>
        <v>0</v>
      </c>
      <c r="D15" s="86" t="s">
        <v>187</v>
      </c>
      <c r="E15" s="87"/>
      <c r="F15" s="47">
        <v>0</v>
      </c>
      <c r="G15" s="86" t="s">
        <v>196</v>
      </c>
      <c r="H15" s="87"/>
      <c r="I15" s="47">
        <v>0</v>
      </c>
      <c r="J15" s="22"/>
    </row>
    <row r="16" spans="1:10" ht="15" customHeight="1">
      <c r="A16" s="40" t="s">
        <v>174</v>
      </c>
      <c r="B16" s="45" t="s">
        <v>184</v>
      </c>
      <c r="C16" s="47">
        <f>SUM('Stavební rozpočet'!T12:T51)</f>
        <v>0</v>
      </c>
      <c r="D16" s="86" t="s">
        <v>188</v>
      </c>
      <c r="E16" s="87"/>
      <c r="F16" s="47">
        <v>0</v>
      </c>
      <c r="G16" s="86" t="s">
        <v>197</v>
      </c>
      <c r="H16" s="87"/>
      <c r="I16" s="47">
        <v>0</v>
      </c>
      <c r="J16" s="22"/>
    </row>
    <row r="17" spans="1:10" ht="15" customHeight="1">
      <c r="A17" s="41"/>
      <c r="B17" s="45" t="s">
        <v>137</v>
      </c>
      <c r="C17" s="47">
        <f>SUM('Stavební rozpočet'!U12:U51)</f>
        <v>0</v>
      </c>
      <c r="D17" s="86"/>
      <c r="E17" s="87"/>
      <c r="F17" s="48"/>
      <c r="G17" s="86" t="s">
        <v>198</v>
      </c>
      <c r="H17" s="87"/>
      <c r="I17" s="47">
        <v>0</v>
      </c>
      <c r="J17" s="22"/>
    </row>
    <row r="18" spans="1:10" ht="15" customHeight="1">
      <c r="A18" s="40" t="s">
        <v>175</v>
      </c>
      <c r="B18" s="45" t="s">
        <v>184</v>
      </c>
      <c r="C18" s="47">
        <f>SUM('Stavební rozpočet'!V12:V51)</f>
        <v>0</v>
      </c>
      <c r="D18" s="86"/>
      <c r="E18" s="87"/>
      <c r="F18" s="48"/>
      <c r="G18" s="86" t="s">
        <v>199</v>
      </c>
      <c r="H18" s="87"/>
      <c r="I18" s="47">
        <v>0</v>
      </c>
      <c r="J18" s="22"/>
    </row>
    <row r="19" spans="1:10" ht="15" customHeight="1">
      <c r="A19" s="41"/>
      <c r="B19" s="45" t="s">
        <v>137</v>
      </c>
      <c r="C19" s="47">
        <f>SUM('Stavební rozpočet'!W12:W51)</f>
        <v>0</v>
      </c>
      <c r="D19" s="86"/>
      <c r="E19" s="87"/>
      <c r="F19" s="48"/>
      <c r="G19" s="86" t="s">
        <v>200</v>
      </c>
      <c r="H19" s="87"/>
      <c r="I19" s="47">
        <v>0</v>
      </c>
      <c r="J19" s="22"/>
    </row>
    <row r="20" spans="1:10" ht="15" customHeight="1">
      <c r="A20" s="88" t="s">
        <v>114</v>
      </c>
      <c r="B20" s="89"/>
      <c r="C20" s="47">
        <f>SUM('Stavební rozpočet'!X12:X51)</f>
        <v>0</v>
      </c>
      <c r="D20" s="86"/>
      <c r="E20" s="87"/>
      <c r="F20" s="48"/>
      <c r="G20" s="86"/>
      <c r="H20" s="87"/>
      <c r="I20" s="48"/>
      <c r="J20" s="22"/>
    </row>
    <row r="21" spans="1:10" ht="15" customHeight="1">
      <c r="A21" s="88" t="s">
        <v>176</v>
      </c>
      <c r="B21" s="89"/>
      <c r="C21" s="47">
        <f>SUM('Stavební rozpočet'!P12:P51)</f>
        <v>0</v>
      </c>
      <c r="D21" s="86"/>
      <c r="E21" s="87"/>
      <c r="F21" s="48"/>
      <c r="G21" s="86"/>
      <c r="H21" s="87"/>
      <c r="I21" s="48"/>
      <c r="J21" s="22"/>
    </row>
    <row r="22" spans="1:10" ht="16.5" customHeight="1">
      <c r="A22" s="88" t="s">
        <v>177</v>
      </c>
      <c r="B22" s="89"/>
      <c r="C22" s="47">
        <f>SUM(C14:C21)</f>
        <v>0</v>
      </c>
      <c r="D22" s="88" t="s">
        <v>189</v>
      </c>
      <c r="E22" s="89"/>
      <c r="F22" s="47">
        <f>SUM(F14:F21)</f>
        <v>0</v>
      </c>
      <c r="G22" s="88" t="s">
        <v>201</v>
      </c>
      <c r="H22" s="89"/>
      <c r="I22" s="47">
        <f>SUM(I14:I21)</f>
        <v>0</v>
      </c>
      <c r="J22" s="22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5" customHeight="1">
      <c r="A24" s="84" t="s">
        <v>178</v>
      </c>
      <c r="B24" s="85"/>
      <c r="C24" s="49">
        <f>SUM('Stavební rozpočet'!Z12:Z51)</f>
        <v>0</v>
      </c>
      <c r="D24" s="46"/>
      <c r="E24" s="37"/>
      <c r="F24" s="37"/>
      <c r="G24" s="37"/>
      <c r="H24" s="37"/>
      <c r="I24" s="37"/>
    </row>
    <row r="25" spans="1:10" ht="15" customHeight="1">
      <c r="A25" s="84" t="s">
        <v>179</v>
      </c>
      <c r="B25" s="85"/>
      <c r="C25" s="49">
        <f>SUM('Stavební rozpočet'!AA12:AA51)</f>
        <v>0</v>
      </c>
      <c r="D25" s="84" t="s">
        <v>190</v>
      </c>
      <c r="E25" s="85"/>
      <c r="F25" s="49">
        <f>ROUND(C25*(15/100),2)</f>
        <v>0</v>
      </c>
      <c r="G25" s="84" t="s">
        <v>202</v>
      </c>
      <c r="H25" s="85"/>
      <c r="I25" s="49">
        <f>SUM(C24:C26)</f>
        <v>0</v>
      </c>
      <c r="J25" s="22"/>
    </row>
    <row r="26" spans="1:10" ht="15" customHeight="1">
      <c r="A26" s="84" t="s">
        <v>180</v>
      </c>
      <c r="B26" s="85"/>
      <c r="C26" s="49">
        <f>SUM('Stavební rozpočet'!AB12:AB51)+(F22+I22)</f>
        <v>0</v>
      </c>
      <c r="D26" s="84" t="s">
        <v>191</v>
      </c>
      <c r="E26" s="85"/>
      <c r="F26" s="49">
        <f>ROUND(C26*(21/100),2)</f>
        <v>0</v>
      </c>
      <c r="G26" s="84" t="s">
        <v>203</v>
      </c>
      <c r="H26" s="85"/>
      <c r="I26" s="49">
        <f>SUM(F25:F26)+I25</f>
        <v>0</v>
      </c>
      <c r="J26" s="22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4.25" customHeight="1">
      <c r="A28" s="81" t="s">
        <v>181</v>
      </c>
      <c r="B28" s="82"/>
      <c r="C28" s="83"/>
      <c r="D28" s="81" t="s">
        <v>192</v>
      </c>
      <c r="E28" s="82"/>
      <c r="F28" s="83"/>
      <c r="G28" s="81" t="s">
        <v>204</v>
      </c>
      <c r="H28" s="82"/>
      <c r="I28" s="83"/>
      <c r="J28" s="23"/>
    </row>
    <row r="29" spans="1:10" ht="14.25" customHeight="1">
      <c r="A29" s="75"/>
      <c r="B29" s="76"/>
      <c r="C29" s="77"/>
      <c r="D29" s="75"/>
      <c r="E29" s="76"/>
      <c r="F29" s="77"/>
      <c r="G29" s="75"/>
      <c r="H29" s="76"/>
      <c r="I29" s="77"/>
      <c r="J29" s="23"/>
    </row>
    <row r="30" spans="1:10" ht="14.25" customHeight="1">
      <c r="A30" s="75"/>
      <c r="B30" s="76"/>
      <c r="C30" s="77"/>
      <c r="D30" s="75"/>
      <c r="E30" s="76"/>
      <c r="F30" s="77"/>
      <c r="G30" s="75"/>
      <c r="H30" s="76"/>
      <c r="I30" s="77"/>
      <c r="J30" s="23"/>
    </row>
    <row r="31" spans="1:10" ht="14.25" customHeight="1">
      <c r="A31" s="75"/>
      <c r="B31" s="76"/>
      <c r="C31" s="77"/>
      <c r="D31" s="75"/>
      <c r="E31" s="76"/>
      <c r="F31" s="77"/>
      <c r="G31" s="75"/>
      <c r="H31" s="76"/>
      <c r="I31" s="77"/>
      <c r="J31" s="23"/>
    </row>
    <row r="32" spans="1:10" ht="14.25" customHeight="1">
      <c r="A32" s="78" t="s">
        <v>182</v>
      </c>
      <c r="B32" s="79"/>
      <c r="C32" s="80"/>
      <c r="D32" s="78" t="s">
        <v>182</v>
      </c>
      <c r="E32" s="79"/>
      <c r="F32" s="80"/>
      <c r="G32" s="78" t="s">
        <v>182</v>
      </c>
      <c r="H32" s="79"/>
      <c r="I32" s="80"/>
      <c r="J32" s="23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D25:E25"/>
    <mergeCell ref="D26:E26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A30:C30"/>
    <mergeCell ref="A31:C31"/>
    <mergeCell ref="A32:C3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Vincourek</dc:creator>
  <cp:keywords/>
  <dc:description/>
  <cp:lastModifiedBy>Nádeníčková Eva, Ing.</cp:lastModifiedBy>
  <dcterms:created xsi:type="dcterms:W3CDTF">2019-07-01T07:10:34Z</dcterms:created>
  <dcterms:modified xsi:type="dcterms:W3CDTF">2019-07-23T10:34:42Z</dcterms:modified>
  <cp:category/>
  <cp:version/>
  <cp:contentType/>
  <cp:contentStatus/>
</cp:coreProperties>
</file>