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cburgerova\Desktop\Revitalizace městských bytů v Šumperku\E_Rozpočet\"/>
    </mc:Choice>
  </mc:AlternateContent>
  <xr:revisionPtr revIDLastSave="0" documentId="13_ncr:1_{4F1EF620-4774-47AF-B665-EC901259F448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Krycí list rozpočtu" sheetId="3" r:id="rId1"/>
    <sheet name="Stavební rozpočet" sheetId="1" r:id="rId2"/>
    <sheet name="Výkaz výměr" sheetId="2" r:id="rId3"/>
    <sheet name="Výpis materiálu elektro" sheetId="5" r:id="rId4"/>
    <sheet name="VORN" sheetId="4" state="hidden" r:id="rId5"/>
  </sheets>
  <definedNames>
    <definedName name="vorn_sum">VORN!$I$36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4" l="1"/>
  <c r="I36" i="4" s="1"/>
  <c r="I24" i="3" s="1"/>
  <c r="I26" i="4"/>
  <c r="I25" i="4"/>
  <c r="I24" i="4"/>
  <c r="I23" i="4"/>
  <c r="I22" i="4"/>
  <c r="I21" i="4"/>
  <c r="I14" i="3" s="1"/>
  <c r="I18" i="4"/>
  <c r="I17" i="4"/>
  <c r="I16" i="4"/>
  <c r="I15" i="4"/>
  <c r="I10" i="4"/>
  <c r="F10" i="4"/>
  <c r="C10" i="4"/>
  <c r="F8" i="4"/>
  <c r="C8" i="4"/>
  <c r="F6" i="4"/>
  <c r="C6" i="4"/>
  <c r="F4" i="4"/>
  <c r="C4" i="4"/>
  <c r="F2" i="4"/>
  <c r="C2" i="4"/>
  <c r="F22" i="3"/>
  <c r="I19" i="3"/>
  <c r="I18" i="3"/>
  <c r="I17" i="3"/>
  <c r="I16" i="3"/>
  <c r="F16" i="3"/>
  <c r="I15" i="3"/>
  <c r="F15" i="3"/>
  <c r="F14" i="3"/>
  <c r="I10" i="3"/>
  <c r="F10" i="3"/>
  <c r="C10" i="3"/>
  <c r="F8" i="3"/>
  <c r="C8" i="3"/>
  <c r="F6" i="3"/>
  <c r="C6" i="3"/>
  <c r="F4" i="3"/>
  <c r="C4" i="3"/>
  <c r="F2" i="3"/>
  <c r="C2" i="3"/>
  <c r="F8" i="2"/>
  <c r="C8" i="2"/>
  <c r="F6" i="2"/>
  <c r="C6" i="2"/>
  <c r="F4" i="2"/>
  <c r="C4" i="2"/>
  <c r="F2" i="2"/>
  <c r="C2" i="2"/>
  <c r="BJ306" i="1"/>
  <c r="BH306" i="1"/>
  <c r="BF306" i="1"/>
  <c r="BD306" i="1"/>
  <c r="AP306" i="1"/>
  <c r="AO306" i="1"/>
  <c r="H306" i="1" s="1"/>
  <c r="AL306" i="1"/>
  <c r="AJ306" i="1"/>
  <c r="AH306" i="1"/>
  <c r="AG306" i="1"/>
  <c r="AF306" i="1"/>
  <c r="AE306" i="1"/>
  <c r="AD306" i="1"/>
  <c r="AC306" i="1"/>
  <c r="AB306" i="1"/>
  <c r="Z306" i="1"/>
  <c r="J306" i="1"/>
  <c r="AK306" i="1" s="1"/>
  <c r="BJ304" i="1"/>
  <c r="BI304" i="1"/>
  <c r="AG304" i="1" s="1"/>
  <c r="BF304" i="1"/>
  <c r="BD304" i="1"/>
  <c r="AW304" i="1"/>
  <c r="AP304" i="1"/>
  <c r="I304" i="1" s="1"/>
  <c r="AO304" i="1"/>
  <c r="H304" i="1" s="1"/>
  <c r="AL304" i="1"/>
  <c r="AJ304" i="1"/>
  <c r="AH304" i="1"/>
  <c r="AE304" i="1"/>
  <c r="AD304" i="1"/>
  <c r="AC304" i="1"/>
  <c r="AB304" i="1"/>
  <c r="Z304" i="1"/>
  <c r="J304" i="1"/>
  <c r="AK304" i="1" s="1"/>
  <c r="BJ302" i="1"/>
  <c r="BH302" i="1"/>
  <c r="BF302" i="1"/>
  <c r="BD302" i="1"/>
  <c r="AX302" i="1"/>
  <c r="AW302" i="1"/>
  <c r="AP302" i="1"/>
  <c r="I302" i="1" s="1"/>
  <c r="AO302" i="1"/>
  <c r="AL302" i="1"/>
  <c r="AK302" i="1"/>
  <c r="AJ302" i="1"/>
  <c r="AH302" i="1"/>
  <c r="AF302" i="1"/>
  <c r="AE302" i="1"/>
  <c r="AD302" i="1"/>
  <c r="AC302" i="1"/>
  <c r="AB302" i="1"/>
  <c r="Z302" i="1"/>
  <c r="J302" i="1"/>
  <c r="H302" i="1"/>
  <c r="BJ300" i="1"/>
  <c r="BI300" i="1"/>
  <c r="BH300" i="1"/>
  <c r="AF300" i="1" s="1"/>
  <c r="BF300" i="1"/>
  <c r="BD300" i="1"/>
  <c r="AX300" i="1"/>
  <c r="AV300" i="1" s="1"/>
  <c r="AW300" i="1"/>
  <c r="AP300" i="1"/>
  <c r="AO300" i="1"/>
  <c r="AL300" i="1"/>
  <c r="AK300" i="1"/>
  <c r="AJ300" i="1"/>
  <c r="AH300" i="1"/>
  <c r="AG300" i="1"/>
  <c r="AE300" i="1"/>
  <c r="AD300" i="1"/>
  <c r="AC300" i="1"/>
  <c r="AB300" i="1"/>
  <c r="Z300" i="1"/>
  <c r="J300" i="1"/>
  <c r="I300" i="1"/>
  <c r="H300" i="1"/>
  <c r="BJ298" i="1"/>
  <c r="BI298" i="1"/>
  <c r="AG298" i="1" s="1"/>
  <c r="BF298" i="1"/>
  <c r="BD298" i="1"/>
  <c r="AX298" i="1"/>
  <c r="AP298" i="1"/>
  <c r="AO298" i="1"/>
  <c r="AW298" i="1" s="1"/>
  <c r="AV298" i="1" s="1"/>
  <c r="AL298" i="1"/>
  <c r="AJ298" i="1"/>
  <c r="AH298" i="1"/>
  <c r="AE298" i="1"/>
  <c r="AD298" i="1"/>
  <c r="AC298" i="1"/>
  <c r="AB298" i="1"/>
  <c r="Z298" i="1"/>
  <c r="J298" i="1"/>
  <c r="AK298" i="1" s="1"/>
  <c r="I298" i="1"/>
  <c r="BJ296" i="1"/>
  <c r="BF296" i="1"/>
  <c r="BD296" i="1"/>
  <c r="AP296" i="1"/>
  <c r="AX296" i="1" s="1"/>
  <c r="AO296" i="1"/>
  <c r="AW296" i="1" s="1"/>
  <c r="AL296" i="1"/>
  <c r="AK296" i="1"/>
  <c r="AJ296" i="1"/>
  <c r="AH296" i="1"/>
  <c r="AE296" i="1"/>
  <c r="AD296" i="1"/>
  <c r="AC296" i="1"/>
  <c r="AB296" i="1"/>
  <c r="Z296" i="1"/>
  <c r="J296" i="1"/>
  <c r="H296" i="1"/>
  <c r="BJ294" i="1"/>
  <c r="BH294" i="1"/>
  <c r="AF294" i="1" s="1"/>
  <c r="BF294" i="1"/>
  <c r="BD294" i="1"/>
  <c r="AP294" i="1"/>
  <c r="AX294" i="1" s="1"/>
  <c r="AO294" i="1"/>
  <c r="AW294" i="1" s="1"/>
  <c r="AL294" i="1"/>
  <c r="AK294" i="1"/>
  <c r="AJ294" i="1"/>
  <c r="AH294" i="1"/>
  <c r="AE294" i="1"/>
  <c r="AD294" i="1"/>
  <c r="AC294" i="1"/>
  <c r="AB294" i="1"/>
  <c r="Z294" i="1"/>
  <c r="J294" i="1"/>
  <c r="I294" i="1"/>
  <c r="H294" i="1"/>
  <c r="BJ292" i="1"/>
  <c r="BI292" i="1"/>
  <c r="AG292" i="1" s="1"/>
  <c r="BH292" i="1"/>
  <c r="AF292" i="1" s="1"/>
  <c r="BF292" i="1"/>
  <c r="BD292" i="1"/>
  <c r="AW292" i="1"/>
  <c r="BC292" i="1" s="1"/>
  <c r="AP292" i="1"/>
  <c r="AX292" i="1" s="1"/>
  <c r="AO292" i="1"/>
  <c r="H292" i="1" s="1"/>
  <c r="AL292" i="1"/>
  <c r="AJ292" i="1"/>
  <c r="AH292" i="1"/>
  <c r="AE292" i="1"/>
  <c r="AD292" i="1"/>
  <c r="AC292" i="1"/>
  <c r="AB292" i="1"/>
  <c r="Z292" i="1"/>
  <c r="J292" i="1"/>
  <c r="AK292" i="1" s="1"/>
  <c r="I292" i="1"/>
  <c r="BJ290" i="1"/>
  <c r="BI290" i="1"/>
  <c r="AG290" i="1" s="1"/>
  <c r="BF290" i="1"/>
  <c r="BD290" i="1"/>
  <c r="AX290" i="1"/>
  <c r="AP290" i="1"/>
  <c r="I290" i="1" s="1"/>
  <c r="AO290" i="1"/>
  <c r="BH290" i="1" s="1"/>
  <c r="AF290" i="1" s="1"/>
  <c r="AL290" i="1"/>
  <c r="AK290" i="1"/>
  <c r="AJ290" i="1"/>
  <c r="AH290" i="1"/>
  <c r="AE290" i="1"/>
  <c r="AD290" i="1"/>
  <c r="AC290" i="1"/>
  <c r="AB290" i="1"/>
  <c r="Z290" i="1"/>
  <c r="J290" i="1"/>
  <c r="H290" i="1"/>
  <c r="BJ288" i="1"/>
  <c r="BH288" i="1"/>
  <c r="AF288" i="1" s="1"/>
  <c r="BF288" i="1"/>
  <c r="BD288" i="1"/>
  <c r="AW288" i="1"/>
  <c r="AP288" i="1"/>
  <c r="BI288" i="1" s="1"/>
  <c r="AG288" i="1" s="1"/>
  <c r="AO288" i="1"/>
  <c r="AL288" i="1"/>
  <c r="AK288" i="1"/>
  <c r="AJ288" i="1"/>
  <c r="AH288" i="1"/>
  <c r="AE288" i="1"/>
  <c r="AD288" i="1"/>
  <c r="AC288" i="1"/>
  <c r="AB288" i="1"/>
  <c r="Z288" i="1"/>
  <c r="J288" i="1"/>
  <c r="I288" i="1"/>
  <c r="H288" i="1"/>
  <c r="BJ286" i="1"/>
  <c r="BI286" i="1"/>
  <c r="AG286" i="1" s="1"/>
  <c r="BF286" i="1"/>
  <c r="BD286" i="1"/>
  <c r="AX286" i="1"/>
  <c r="AP286" i="1"/>
  <c r="AO286" i="1"/>
  <c r="AL286" i="1"/>
  <c r="AU285" i="1" s="1"/>
  <c r="AJ286" i="1"/>
  <c r="AS285" i="1" s="1"/>
  <c r="AH286" i="1"/>
  <c r="AE286" i="1"/>
  <c r="AD286" i="1"/>
  <c r="AC286" i="1"/>
  <c r="AB286" i="1"/>
  <c r="Z286" i="1"/>
  <c r="J286" i="1"/>
  <c r="I286" i="1"/>
  <c r="BJ284" i="1"/>
  <c r="BF284" i="1"/>
  <c r="BD284" i="1"/>
  <c r="AP284" i="1"/>
  <c r="AX284" i="1" s="1"/>
  <c r="AO284" i="1"/>
  <c r="AW284" i="1" s="1"/>
  <c r="AL284" i="1"/>
  <c r="AJ284" i="1"/>
  <c r="AH284" i="1"/>
  <c r="AG284" i="1"/>
  <c r="AF284" i="1"/>
  <c r="AE284" i="1"/>
  <c r="AD284" i="1"/>
  <c r="AC284" i="1"/>
  <c r="AB284" i="1"/>
  <c r="Z284" i="1"/>
  <c r="J284" i="1"/>
  <c r="AK284" i="1" s="1"/>
  <c r="H284" i="1"/>
  <c r="BJ283" i="1"/>
  <c r="BH283" i="1"/>
  <c r="AF283" i="1" s="1"/>
  <c r="BF283" i="1"/>
  <c r="BD283" i="1"/>
  <c r="AP283" i="1"/>
  <c r="AX283" i="1" s="1"/>
  <c r="AO283" i="1"/>
  <c r="AW283" i="1" s="1"/>
  <c r="AL283" i="1"/>
  <c r="AK283" i="1"/>
  <c r="AJ283" i="1"/>
  <c r="AH283" i="1"/>
  <c r="AE283" i="1"/>
  <c r="AD283" i="1"/>
  <c r="AC283" i="1"/>
  <c r="AB283" i="1"/>
  <c r="Z283" i="1"/>
  <c r="J283" i="1"/>
  <c r="I283" i="1"/>
  <c r="H283" i="1"/>
  <c r="BJ282" i="1"/>
  <c r="BI282" i="1"/>
  <c r="AC282" i="1" s="1"/>
  <c r="BH282" i="1"/>
  <c r="AB282" i="1" s="1"/>
  <c r="BF282" i="1"/>
  <c r="BD282" i="1"/>
  <c r="AW282" i="1"/>
  <c r="BC282" i="1" s="1"/>
  <c r="AP282" i="1"/>
  <c r="AX282" i="1" s="1"/>
  <c r="AO282" i="1"/>
  <c r="H282" i="1" s="1"/>
  <c r="AL282" i="1"/>
  <c r="AJ282" i="1"/>
  <c r="AH282" i="1"/>
  <c r="AG282" i="1"/>
  <c r="AF282" i="1"/>
  <c r="AE282" i="1"/>
  <c r="AD282" i="1"/>
  <c r="Z282" i="1"/>
  <c r="J282" i="1"/>
  <c r="AK282" i="1" s="1"/>
  <c r="I282" i="1"/>
  <c r="BJ281" i="1"/>
  <c r="BI281" i="1"/>
  <c r="AC281" i="1" s="1"/>
  <c r="BF281" i="1"/>
  <c r="BD281" i="1"/>
  <c r="AX281" i="1"/>
  <c r="AW281" i="1"/>
  <c r="BC281" i="1" s="1"/>
  <c r="AP281" i="1"/>
  <c r="I281" i="1" s="1"/>
  <c r="AO281" i="1"/>
  <c r="BH281" i="1" s="1"/>
  <c r="AB281" i="1" s="1"/>
  <c r="AL281" i="1"/>
  <c r="AK281" i="1"/>
  <c r="AJ281" i="1"/>
  <c r="AH281" i="1"/>
  <c r="AG281" i="1"/>
  <c r="AF281" i="1"/>
  <c r="AE281" i="1"/>
  <c r="AD281" i="1"/>
  <c r="Z281" i="1"/>
  <c r="J281" i="1"/>
  <c r="H281" i="1"/>
  <c r="BJ280" i="1"/>
  <c r="BH280" i="1"/>
  <c r="AB280" i="1" s="1"/>
  <c r="BF280" i="1"/>
  <c r="BD280" i="1"/>
  <c r="BC280" i="1"/>
  <c r="AX280" i="1"/>
  <c r="AV280" i="1" s="1"/>
  <c r="AW280" i="1"/>
  <c r="AP280" i="1"/>
  <c r="BI280" i="1" s="1"/>
  <c r="AC280" i="1" s="1"/>
  <c r="AO280" i="1"/>
  <c r="AL280" i="1"/>
  <c r="AK280" i="1"/>
  <c r="AJ280" i="1"/>
  <c r="AH280" i="1"/>
  <c r="AG280" i="1"/>
  <c r="AF280" i="1"/>
  <c r="AE280" i="1"/>
  <c r="AD280" i="1"/>
  <c r="Z280" i="1"/>
  <c r="J280" i="1"/>
  <c r="I280" i="1"/>
  <c r="H280" i="1"/>
  <c r="BJ279" i="1"/>
  <c r="BI279" i="1"/>
  <c r="AC279" i="1" s="1"/>
  <c r="BF279" i="1"/>
  <c r="BD279" i="1"/>
  <c r="AX279" i="1"/>
  <c r="AP279" i="1"/>
  <c r="AO279" i="1"/>
  <c r="AL279" i="1"/>
  <c r="AJ279" i="1"/>
  <c r="AH279" i="1"/>
  <c r="AG279" i="1"/>
  <c r="AF279" i="1"/>
  <c r="AE279" i="1"/>
  <c r="AD279" i="1"/>
  <c r="Z279" i="1"/>
  <c r="J279" i="1"/>
  <c r="AK279" i="1" s="1"/>
  <c r="I279" i="1"/>
  <c r="BJ278" i="1"/>
  <c r="BF278" i="1"/>
  <c r="BD278" i="1"/>
  <c r="AP278" i="1"/>
  <c r="AO278" i="1"/>
  <c r="AL278" i="1"/>
  <c r="AJ278" i="1"/>
  <c r="AH278" i="1"/>
  <c r="AE278" i="1"/>
  <c r="AD278" i="1"/>
  <c r="AC278" i="1"/>
  <c r="AB278" i="1"/>
  <c r="Z278" i="1"/>
  <c r="J278" i="1"/>
  <c r="AK278" i="1" s="1"/>
  <c r="BJ277" i="1"/>
  <c r="BH277" i="1"/>
  <c r="BF277" i="1"/>
  <c r="BD277" i="1"/>
  <c r="AP277" i="1"/>
  <c r="AO277" i="1"/>
  <c r="H277" i="1" s="1"/>
  <c r="AL277" i="1"/>
  <c r="AJ277" i="1"/>
  <c r="AH277" i="1"/>
  <c r="AG277" i="1"/>
  <c r="AF277" i="1"/>
  <c r="AE277" i="1"/>
  <c r="AD277" i="1"/>
  <c r="AB277" i="1"/>
  <c r="Z277" i="1"/>
  <c r="J277" i="1"/>
  <c r="AK277" i="1" s="1"/>
  <c r="BJ276" i="1"/>
  <c r="BI276" i="1"/>
  <c r="AG276" i="1" s="1"/>
  <c r="BF276" i="1"/>
  <c r="BD276" i="1"/>
  <c r="AW276" i="1"/>
  <c r="AP276" i="1"/>
  <c r="I276" i="1" s="1"/>
  <c r="AO276" i="1"/>
  <c r="H276" i="1" s="1"/>
  <c r="AL276" i="1"/>
  <c r="AJ276" i="1"/>
  <c r="AH276" i="1"/>
  <c r="AE276" i="1"/>
  <c r="AD276" i="1"/>
  <c r="AC276" i="1"/>
  <c r="AB276" i="1"/>
  <c r="Z276" i="1"/>
  <c r="J276" i="1"/>
  <c r="AK276" i="1" s="1"/>
  <c r="BJ275" i="1"/>
  <c r="BH275" i="1"/>
  <c r="AB275" i="1" s="1"/>
  <c r="BF275" i="1"/>
  <c r="BD275" i="1"/>
  <c r="AX275" i="1"/>
  <c r="AW275" i="1"/>
  <c r="AP275" i="1"/>
  <c r="I275" i="1" s="1"/>
  <c r="AO275" i="1"/>
  <c r="AL275" i="1"/>
  <c r="AK275" i="1"/>
  <c r="AJ275" i="1"/>
  <c r="AH275" i="1"/>
  <c r="AG275" i="1"/>
  <c r="AF275" i="1"/>
  <c r="AE275" i="1"/>
  <c r="AD275" i="1"/>
  <c r="Z275" i="1"/>
  <c r="J275" i="1"/>
  <c r="H275" i="1"/>
  <c r="BJ274" i="1"/>
  <c r="BI274" i="1"/>
  <c r="AC274" i="1" s="1"/>
  <c r="BH274" i="1"/>
  <c r="BF274" i="1"/>
  <c r="BD274" i="1"/>
  <c r="AX274" i="1"/>
  <c r="AW274" i="1"/>
  <c r="AP274" i="1"/>
  <c r="AO274" i="1"/>
  <c r="AL274" i="1"/>
  <c r="AK274" i="1"/>
  <c r="AJ274" i="1"/>
  <c r="AH274" i="1"/>
  <c r="AG274" i="1"/>
  <c r="AF274" i="1"/>
  <c r="AE274" i="1"/>
  <c r="AD274" i="1"/>
  <c r="AB274" i="1"/>
  <c r="Z274" i="1"/>
  <c r="J274" i="1"/>
  <c r="I274" i="1"/>
  <c r="H274" i="1"/>
  <c r="BJ273" i="1"/>
  <c r="BI273" i="1"/>
  <c r="BF273" i="1"/>
  <c r="BD273" i="1"/>
  <c r="BC273" i="1"/>
  <c r="AX273" i="1"/>
  <c r="AW273" i="1"/>
  <c r="AV273" i="1" s="1"/>
  <c r="AP273" i="1"/>
  <c r="AO273" i="1"/>
  <c r="H273" i="1" s="1"/>
  <c r="AL273" i="1"/>
  <c r="AJ273" i="1"/>
  <c r="AH273" i="1"/>
  <c r="AG273" i="1"/>
  <c r="AF273" i="1"/>
  <c r="AE273" i="1"/>
  <c r="AD273" i="1"/>
  <c r="AC273" i="1"/>
  <c r="Z273" i="1"/>
  <c r="J273" i="1"/>
  <c r="AK273" i="1" s="1"/>
  <c r="I273" i="1"/>
  <c r="BJ272" i="1"/>
  <c r="BF272" i="1"/>
  <c r="BD272" i="1"/>
  <c r="AP272" i="1"/>
  <c r="AX272" i="1" s="1"/>
  <c r="AO272" i="1"/>
  <c r="AW272" i="1" s="1"/>
  <c r="AL272" i="1"/>
  <c r="AJ272" i="1"/>
  <c r="AH272" i="1"/>
  <c r="AG272" i="1"/>
  <c r="AF272" i="1"/>
  <c r="AE272" i="1"/>
  <c r="AD272" i="1"/>
  <c r="Z272" i="1"/>
  <c r="J272" i="1"/>
  <c r="AK272" i="1" s="1"/>
  <c r="H272" i="1"/>
  <c r="BJ271" i="1"/>
  <c r="BH271" i="1"/>
  <c r="AB271" i="1" s="1"/>
  <c r="BF271" i="1"/>
  <c r="BD271" i="1"/>
  <c r="AP271" i="1"/>
  <c r="AX271" i="1" s="1"/>
  <c r="AO271" i="1"/>
  <c r="AW271" i="1" s="1"/>
  <c r="AL271" i="1"/>
  <c r="AJ271" i="1"/>
  <c r="AH271" i="1"/>
  <c r="AG271" i="1"/>
  <c r="AF271" i="1"/>
  <c r="AE271" i="1"/>
  <c r="AD271" i="1"/>
  <c r="Z271" i="1"/>
  <c r="J271" i="1"/>
  <c r="AK271" i="1" s="1"/>
  <c r="I271" i="1"/>
  <c r="BJ270" i="1"/>
  <c r="BI270" i="1"/>
  <c r="AG270" i="1" s="1"/>
  <c r="BH270" i="1"/>
  <c r="AF270" i="1" s="1"/>
  <c r="BF270" i="1"/>
  <c r="BD270" i="1"/>
  <c r="AW270" i="1"/>
  <c r="AP270" i="1"/>
  <c r="AX270" i="1" s="1"/>
  <c r="AO270" i="1"/>
  <c r="H270" i="1" s="1"/>
  <c r="AL270" i="1"/>
  <c r="AJ270" i="1"/>
  <c r="AH270" i="1"/>
  <c r="AE270" i="1"/>
  <c r="AD270" i="1"/>
  <c r="AC270" i="1"/>
  <c r="AB270" i="1"/>
  <c r="Z270" i="1"/>
  <c r="J270" i="1"/>
  <c r="AK270" i="1" s="1"/>
  <c r="BJ269" i="1"/>
  <c r="BI269" i="1"/>
  <c r="AC269" i="1" s="1"/>
  <c r="BF269" i="1"/>
  <c r="BD269" i="1"/>
  <c r="AX269" i="1"/>
  <c r="AW269" i="1"/>
  <c r="BC269" i="1" s="1"/>
  <c r="AP269" i="1"/>
  <c r="I269" i="1" s="1"/>
  <c r="AO269" i="1"/>
  <c r="BH269" i="1" s="1"/>
  <c r="AB269" i="1" s="1"/>
  <c r="AL269" i="1"/>
  <c r="AK269" i="1"/>
  <c r="AJ269" i="1"/>
  <c r="AH269" i="1"/>
  <c r="AG269" i="1"/>
  <c r="AF269" i="1"/>
  <c r="AE269" i="1"/>
  <c r="AD269" i="1"/>
  <c r="Z269" i="1"/>
  <c r="J269" i="1"/>
  <c r="H269" i="1"/>
  <c r="BJ268" i="1"/>
  <c r="BH268" i="1"/>
  <c r="AF268" i="1" s="1"/>
  <c r="BF268" i="1"/>
  <c r="BD268" i="1"/>
  <c r="AX268" i="1"/>
  <c r="BC268" i="1" s="1"/>
  <c r="AW268" i="1"/>
  <c r="AP268" i="1"/>
  <c r="BI268" i="1" s="1"/>
  <c r="AG268" i="1" s="1"/>
  <c r="AO268" i="1"/>
  <c r="AL268" i="1"/>
  <c r="AK268" i="1"/>
  <c r="AJ268" i="1"/>
  <c r="AH268" i="1"/>
  <c r="AE268" i="1"/>
  <c r="AD268" i="1"/>
  <c r="AC268" i="1"/>
  <c r="AB268" i="1"/>
  <c r="Z268" i="1"/>
  <c r="J268" i="1"/>
  <c r="I268" i="1"/>
  <c r="H268" i="1"/>
  <c r="BJ266" i="1"/>
  <c r="BI266" i="1"/>
  <c r="AG266" i="1" s="1"/>
  <c r="BF266" i="1"/>
  <c r="BD266" i="1"/>
  <c r="AX266" i="1"/>
  <c r="AP266" i="1"/>
  <c r="AO266" i="1"/>
  <c r="AL266" i="1"/>
  <c r="AJ266" i="1"/>
  <c r="AH266" i="1"/>
  <c r="AE266" i="1"/>
  <c r="AD266" i="1"/>
  <c r="AC266" i="1"/>
  <c r="AB266" i="1"/>
  <c r="Z266" i="1"/>
  <c r="J266" i="1"/>
  <c r="AK266" i="1" s="1"/>
  <c r="I266" i="1"/>
  <c r="BJ264" i="1"/>
  <c r="BF264" i="1"/>
  <c r="BD264" i="1"/>
  <c r="AP264" i="1"/>
  <c r="AO264" i="1"/>
  <c r="AL264" i="1"/>
  <c r="AJ264" i="1"/>
  <c r="AH264" i="1"/>
  <c r="AE264" i="1"/>
  <c r="AD264" i="1"/>
  <c r="AC264" i="1"/>
  <c r="AB264" i="1"/>
  <c r="Z264" i="1"/>
  <c r="J264" i="1"/>
  <c r="AK264" i="1" s="1"/>
  <c r="BJ262" i="1"/>
  <c r="BH262" i="1"/>
  <c r="AF262" i="1" s="1"/>
  <c r="BF262" i="1"/>
  <c r="BD262" i="1"/>
  <c r="AP262" i="1"/>
  <c r="AO262" i="1"/>
  <c r="AW262" i="1" s="1"/>
  <c r="AL262" i="1"/>
  <c r="AK262" i="1"/>
  <c r="AJ262" i="1"/>
  <c r="AH262" i="1"/>
  <c r="AE262" i="1"/>
  <c r="AD262" i="1"/>
  <c r="AC262" i="1"/>
  <c r="AB262" i="1"/>
  <c r="Z262" i="1"/>
  <c r="J262" i="1"/>
  <c r="H262" i="1"/>
  <c r="BJ260" i="1"/>
  <c r="BI260" i="1"/>
  <c r="AG260" i="1" s="1"/>
  <c r="BH260" i="1"/>
  <c r="AF260" i="1" s="1"/>
  <c r="BF260" i="1"/>
  <c r="BD260" i="1"/>
  <c r="AW260" i="1"/>
  <c r="AP260" i="1"/>
  <c r="AX260" i="1" s="1"/>
  <c r="AO260" i="1"/>
  <c r="H260" i="1" s="1"/>
  <c r="AL260" i="1"/>
  <c r="AJ260" i="1"/>
  <c r="AH260" i="1"/>
  <c r="AE260" i="1"/>
  <c r="AD260" i="1"/>
  <c r="AC260" i="1"/>
  <c r="AB260" i="1"/>
  <c r="Z260" i="1"/>
  <c r="J260" i="1"/>
  <c r="AK260" i="1" s="1"/>
  <c r="I260" i="1"/>
  <c r="BJ259" i="1"/>
  <c r="BI259" i="1"/>
  <c r="BH259" i="1"/>
  <c r="AB259" i="1" s="1"/>
  <c r="BF259" i="1"/>
  <c r="BD259" i="1"/>
  <c r="AX259" i="1"/>
  <c r="AW259" i="1"/>
  <c r="AP259" i="1"/>
  <c r="I259" i="1" s="1"/>
  <c r="AO259" i="1"/>
  <c r="AL259" i="1"/>
  <c r="AK259" i="1"/>
  <c r="AJ259" i="1"/>
  <c r="AH259" i="1"/>
  <c r="AG259" i="1"/>
  <c r="AF259" i="1"/>
  <c r="AE259" i="1"/>
  <c r="AD259" i="1"/>
  <c r="AC259" i="1"/>
  <c r="Z259" i="1"/>
  <c r="J259" i="1"/>
  <c r="H259" i="1"/>
  <c r="BJ258" i="1"/>
  <c r="BI258" i="1"/>
  <c r="AC258" i="1" s="1"/>
  <c r="BH258" i="1"/>
  <c r="BF258" i="1"/>
  <c r="BD258" i="1"/>
  <c r="BC258" i="1"/>
  <c r="AX258" i="1"/>
  <c r="AV258" i="1" s="1"/>
  <c r="AW258" i="1"/>
  <c r="AP258" i="1"/>
  <c r="AO258" i="1"/>
  <c r="AL258" i="1"/>
  <c r="AK258" i="1"/>
  <c r="AJ258" i="1"/>
  <c r="AH258" i="1"/>
  <c r="AG258" i="1"/>
  <c r="AF258" i="1"/>
  <c r="AE258" i="1"/>
  <c r="AD258" i="1"/>
  <c r="AB258" i="1"/>
  <c r="Z258" i="1"/>
  <c r="J258" i="1"/>
  <c r="I258" i="1"/>
  <c r="H258" i="1"/>
  <c r="BJ257" i="1"/>
  <c r="BI257" i="1"/>
  <c r="BF257" i="1"/>
  <c r="BD257" i="1"/>
  <c r="BC257" i="1"/>
  <c r="AX257" i="1"/>
  <c r="AP257" i="1"/>
  <c r="AO257" i="1"/>
  <c r="AW257" i="1" s="1"/>
  <c r="AV257" i="1" s="1"/>
  <c r="AL257" i="1"/>
  <c r="AJ257" i="1"/>
  <c r="AH257" i="1"/>
  <c r="AG257" i="1"/>
  <c r="AF257" i="1"/>
  <c r="AE257" i="1"/>
  <c r="AD257" i="1"/>
  <c r="AC257" i="1"/>
  <c r="Z257" i="1"/>
  <c r="J257" i="1"/>
  <c r="AK257" i="1" s="1"/>
  <c r="I257" i="1"/>
  <c r="H257" i="1"/>
  <c r="BJ256" i="1"/>
  <c r="BF256" i="1"/>
  <c r="BD256" i="1"/>
  <c r="AP256" i="1"/>
  <c r="AX256" i="1" s="1"/>
  <c r="AO256" i="1"/>
  <c r="AW256" i="1" s="1"/>
  <c r="AL256" i="1"/>
  <c r="AJ256" i="1"/>
  <c r="AH256" i="1"/>
  <c r="AE256" i="1"/>
  <c r="AD256" i="1"/>
  <c r="AC256" i="1"/>
  <c r="AB256" i="1"/>
  <c r="Z256" i="1"/>
  <c r="J256" i="1"/>
  <c r="AK256" i="1" s="1"/>
  <c r="I256" i="1"/>
  <c r="BJ255" i="1"/>
  <c r="BH255" i="1"/>
  <c r="AB255" i="1" s="1"/>
  <c r="BF255" i="1"/>
  <c r="BD255" i="1"/>
  <c r="AP255" i="1"/>
  <c r="AX255" i="1" s="1"/>
  <c r="AO255" i="1"/>
  <c r="AW255" i="1" s="1"/>
  <c r="AL255" i="1"/>
  <c r="AJ255" i="1"/>
  <c r="AH255" i="1"/>
  <c r="AG255" i="1"/>
  <c r="AF255" i="1"/>
  <c r="AE255" i="1"/>
  <c r="AD255" i="1"/>
  <c r="Z255" i="1"/>
  <c r="J255" i="1"/>
  <c r="AK255" i="1" s="1"/>
  <c r="BJ254" i="1"/>
  <c r="BI254" i="1"/>
  <c r="AG254" i="1" s="1"/>
  <c r="BH254" i="1"/>
  <c r="AF254" i="1" s="1"/>
  <c r="BF254" i="1"/>
  <c r="BD254" i="1"/>
  <c r="AP254" i="1"/>
  <c r="AX254" i="1" s="1"/>
  <c r="AO254" i="1"/>
  <c r="AW254" i="1" s="1"/>
  <c r="AL254" i="1"/>
  <c r="AJ254" i="1"/>
  <c r="AH254" i="1"/>
  <c r="AE254" i="1"/>
  <c r="AD254" i="1"/>
  <c r="AC254" i="1"/>
  <c r="AB254" i="1"/>
  <c r="Z254" i="1"/>
  <c r="J254" i="1"/>
  <c r="AK254" i="1" s="1"/>
  <c r="BJ253" i="1"/>
  <c r="BI253" i="1"/>
  <c r="AC253" i="1" s="1"/>
  <c r="BH253" i="1"/>
  <c r="BF253" i="1"/>
  <c r="BD253" i="1"/>
  <c r="AX253" i="1"/>
  <c r="AW253" i="1"/>
  <c r="BC253" i="1" s="1"/>
  <c r="AP253" i="1"/>
  <c r="I253" i="1" s="1"/>
  <c r="AO253" i="1"/>
  <c r="AL253" i="1"/>
  <c r="AK253" i="1"/>
  <c r="AJ253" i="1"/>
  <c r="AS248" i="1" s="1"/>
  <c r="AH253" i="1"/>
  <c r="AG253" i="1"/>
  <c r="AF253" i="1"/>
  <c r="AE253" i="1"/>
  <c r="AD253" i="1"/>
  <c r="AB253" i="1"/>
  <c r="Z253" i="1"/>
  <c r="J253" i="1"/>
  <c r="H253" i="1"/>
  <c r="BJ252" i="1"/>
  <c r="BI252" i="1"/>
  <c r="BH252" i="1"/>
  <c r="AF252" i="1" s="1"/>
  <c r="BF252" i="1"/>
  <c r="BD252" i="1"/>
  <c r="AX252" i="1"/>
  <c r="AW252" i="1"/>
  <c r="BC252" i="1" s="1"/>
  <c r="AP252" i="1"/>
  <c r="AO252" i="1"/>
  <c r="AL252" i="1"/>
  <c r="AK252" i="1"/>
  <c r="AJ252" i="1"/>
  <c r="AH252" i="1"/>
  <c r="AG252" i="1"/>
  <c r="AE252" i="1"/>
  <c r="AD252" i="1"/>
  <c r="AC252" i="1"/>
  <c r="AB252" i="1"/>
  <c r="Z252" i="1"/>
  <c r="J252" i="1"/>
  <c r="I252" i="1"/>
  <c r="H252" i="1"/>
  <c r="BJ251" i="1"/>
  <c r="BI251" i="1"/>
  <c r="BF251" i="1"/>
  <c r="BD251" i="1"/>
  <c r="AX251" i="1"/>
  <c r="AP251" i="1"/>
  <c r="AO251" i="1"/>
  <c r="AL251" i="1"/>
  <c r="AJ251" i="1"/>
  <c r="AH251" i="1"/>
  <c r="AG251" i="1"/>
  <c r="AF251" i="1"/>
  <c r="AE251" i="1"/>
  <c r="AD251" i="1"/>
  <c r="AC251" i="1"/>
  <c r="Z251" i="1"/>
  <c r="J251" i="1"/>
  <c r="AK251" i="1" s="1"/>
  <c r="I251" i="1"/>
  <c r="BJ250" i="1"/>
  <c r="BF250" i="1"/>
  <c r="BD250" i="1"/>
  <c r="AP250" i="1"/>
  <c r="AO250" i="1"/>
  <c r="AL250" i="1"/>
  <c r="AJ250" i="1"/>
  <c r="AH250" i="1"/>
  <c r="AE250" i="1"/>
  <c r="AD250" i="1"/>
  <c r="AC250" i="1"/>
  <c r="AB250" i="1"/>
  <c r="Z250" i="1"/>
  <c r="J250" i="1"/>
  <c r="BJ249" i="1"/>
  <c r="BH249" i="1"/>
  <c r="BF249" i="1"/>
  <c r="BD249" i="1"/>
  <c r="AP249" i="1"/>
  <c r="AO249" i="1"/>
  <c r="AW249" i="1" s="1"/>
  <c r="AL249" i="1"/>
  <c r="AJ249" i="1"/>
  <c r="AH249" i="1"/>
  <c r="AF249" i="1"/>
  <c r="AE249" i="1"/>
  <c r="AD249" i="1"/>
  <c r="AC249" i="1"/>
  <c r="AB249" i="1"/>
  <c r="Z249" i="1"/>
  <c r="J249" i="1"/>
  <c r="AK249" i="1" s="1"/>
  <c r="H249" i="1"/>
  <c r="BJ247" i="1"/>
  <c r="BI247" i="1"/>
  <c r="AG247" i="1" s="1"/>
  <c r="BH247" i="1"/>
  <c r="AF247" i="1" s="1"/>
  <c r="BF247" i="1"/>
  <c r="BD247" i="1"/>
  <c r="AP247" i="1"/>
  <c r="AX247" i="1" s="1"/>
  <c r="AO247" i="1"/>
  <c r="AW247" i="1" s="1"/>
  <c r="AL247" i="1"/>
  <c r="AJ247" i="1"/>
  <c r="AH247" i="1"/>
  <c r="AE247" i="1"/>
  <c r="AD247" i="1"/>
  <c r="AC247" i="1"/>
  <c r="AB247" i="1"/>
  <c r="Z247" i="1"/>
  <c r="J247" i="1"/>
  <c r="AK247" i="1" s="1"/>
  <c r="BJ246" i="1"/>
  <c r="BI246" i="1"/>
  <c r="AC246" i="1" s="1"/>
  <c r="BH246" i="1"/>
  <c r="BF246" i="1"/>
  <c r="BD246" i="1"/>
  <c r="AW246" i="1"/>
  <c r="BC246" i="1" s="1"/>
  <c r="AP246" i="1"/>
  <c r="AX246" i="1" s="1"/>
  <c r="AO246" i="1"/>
  <c r="AL246" i="1"/>
  <c r="AK246" i="1"/>
  <c r="AJ246" i="1"/>
  <c r="AH246" i="1"/>
  <c r="AG246" i="1"/>
  <c r="AF246" i="1"/>
  <c r="AE246" i="1"/>
  <c r="AD246" i="1"/>
  <c r="AB246" i="1"/>
  <c r="Z246" i="1"/>
  <c r="J246" i="1"/>
  <c r="H246" i="1"/>
  <c r="BJ245" i="1"/>
  <c r="BI245" i="1"/>
  <c r="BH245" i="1"/>
  <c r="BF245" i="1"/>
  <c r="BD245" i="1"/>
  <c r="AX245" i="1"/>
  <c r="AW245" i="1"/>
  <c r="BC245" i="1" s="1"/>
  <c r="AP245" i="1"/>
  <c r="AO245" i="1"/>
  <c r="AL245" i="1"/>
  <c r="AK245" i="1"/>
  <c r="AJ245" i="1"/>
  <c r="AH245" i="1"/>
  <c r="AG245" i="1"/>
  <c r="AF245" i="1"/>
  <c r="AE245" i="1"/>
  <c r="AD245" i="1"/>
  <c r="AC245" i="1"/>
  <c r="AB245" i="1"/>
  <c r="Z245" i="1"/>
  <c r="J245" i="1"/>
  <c r="I245" i="1"/>
  <c r="H245" i="1"/>
  <c r="BJ244" i="1"/>
  <c r="BI244" i="1"/>
  <c r="BF244" i="1"/>
  <c r="BD244" i="1"/>
  <c r="AX244" i="1"/>
  <c r="AP244" i="1"/>
  <c r="AO244" i="1"/>
  <c r="AL244" i="1"/>
  <c r="AJ244" i="1"/>
  <c r="AH244" i="1"/>
  <c r="AG244" i="1"/>
  <c r="AF244" i="1"/>
  <c r="AE244" i="1"/>
  <c r="AD244" i="1"/>
  <c r="AC244" i="1"/>
  <c r="Z244" i="1"/>
  <c r="J244" i="1"/>
  <c r="I244" i="1"/>
  <c r="BJ242" i="1"/>
  <c r="BF242" i="1"/>
  <c r="BD242" i="1"/>
  <c r="AP242" i="1"/>
  <c r="AX242" i="1" s="1"/>
  <c r="AO242" i="1"/>
  <c r="AW242" i="1" s="1"/>
  <c r="AL242" i="1"/>
  <c r="AJ242" i="1"/>
  <c r="AH242" i="1"/>
  <c r="AG242" i="1"/>
  <c r="AF242" i="1"/>
  <c r="AC242" i="1"/>
  <c r="AB242" i="1"/>
  <c r="Z242" i="1"/>
  <c r="J242" i="1"/>
  <c r="AK242" i="1" s="1"/>
  <c r="I242" i="1"/>
  <c r="BJ240" i="1"/>
  <c r="BH240" i="1"/>
  <c r="AD240" i="1" s="1"/>
  <c r="BF240" i="1"/>
  <c r="BD240" i="1"/>
  <c r="AP240" i="1"/>
  <c r="AX240" i="1" s="1"/>
  <c r="AO240" i="1"/>
  <c r="AW240" i="1" s="1"/>
  <c r="AL240" i="1"/>
  <c r="AU239" i="1" s="1"/>
  <c r="AJ240" i="1"/>
  <c r="AH240" i="1"/>
  <c r="AG240" i="1"/>
  <c r="AF240" i="1"/>
  <c r="AC240" i="1"/>
  <c r="AB240" i="1"/>
  <c r="Z240" i="1"/>
  <c r="J240" i="1"/>
  <c r="J239" i="1" s="1"/>
  <c r="AS239" i="1"/>
  <c r="BJ238" i="1"/>
  <c r="BI238" i="1"/>
  <c r="AE238" i="1" s="1"/>
  <c r="BH238" i="1"/>
  <c r="AD238" i="1" s="1"/>
  <c r="BF238" i="1"/>
  <c r="BD238" i="1"/>
  <c r="AW238" i="1"/>
  <c r="AP238" i="1"/>
  <c r="I238" i="1" s="1"/>
  <c r="AO238" i="1"/>
  <c r="H238" i="1" s="1"/>
  <c r="AL238" i="1"/>
  <c r="AJ238" i="1"/>
  <c r="AH238" i="1"/>
  <c r="AG238" i="1"/>
  <c r="AF238" i="1"/>
  <c r="AC238" i="1"/>
  <c r="AB238" i="1"/>
  <c r="Z238" i="1"/>
  <c r="J238" i="1"/>
  <c r="AK238" i="1" s="1"/>
  <c r="BJ236" i="1"/>
  <c r="BI236" i="1"/>
  <c r="AE236" i="1" s="1"/>
  <c r="BH236" i="1"/>
  <c r="BF236" i="1"/>
  <c r="BD236" i="1"/>
  <c r="AX236" i="1"/>
  <c r="AW236" i="1"/>
  <c r="AP236" i="1"/>
  <c r="I236" i="1" s="1"/>
  <c r="I232" i="1" s="1"/>
  <c r="AO236" i="1"/>
  <c r="AL236" i="1"/>
  <c r="AK236" i="1"/>
  <c r="AJ236" i="1"/>
  <c r="AH236" i="1"/>
  <c r="AG236" i="1"/>
  <c r="AF236" i="1"/>
  <c r="AD236" i="1"/>
  <c r="AC236" i="1"/>
  <c r="AB236" i="1"/>
  <c r="Z236" i="1"/>
  <c r="J236" i="1"/>
  <c r="H236" i="1"/>
  <c r="BJ235" i="1"/>
  <c r="BI235" i="1"/>
  <c r="BH235" i="1"/>
  <c r="BF235" i="1"/>
  <c r="BD235" i="1"/>
  <c r="BC235" i="1"/>
  <c r="AX235" i="1"/>
  <c r="AV235" i="1" s="1"/>
  <c r="AW235" i="1"/>
  <c r="AP235" i="1"/>
  <c r="AO235" i="1"/>
  <c r="AL235" i="1"/>
  <c r="AK235" i="1"/>
  <c r="AJ235" i="1"/>
  <c r="AH235" i="1"/>
  <c r="AG235" i="1"/>
  <c r="AF235" i="1"/>
  <c r="AE235" i="1"/>
  <c r="AD235" i="1"/>
  <c r="AC235" i="1"/>
  <c r="AB235" i="1"/>
  <c r="Z235" i="1"/>
  <c r="J235" i="1"/>
  <c r="I235" i="1"/>
  <c r="H235" i="1"/>
  <c r="BJ233" i="1"/>
  <c r="BI233" i="1"/>
  <c r="BF233" i="1"/>
  <c r="BD233" i="1"/>
  <c r="BC233" i="1"/>
  <c r="AX233" i="1"/>
  <c r="AW233" i="1"/>
  <c r="AV233" i="1" s="1"/>
  <c r="AP233" i="1"/>
  <c r="AO233" i="1"/>
  <c r="BH233" i="1" s="1"/>
  <c r="AD233" i="1" s="1"/>
  <c r="AL233" i="1"/>
  <c r="AK233" i="1"/>
  <c r="AT232" i="1" s="1"/>
  <c r="AJ233" i="1"/>
  <c r="AS232" i="1" s="1"/>
  <c r="AH233" i="1"/>
  <c r="AG233" i="1"/>
  <c r="AF233" i="1"/>
  <c r="AE233" i="1"/>
  <c r="AC233" i="1"/>
  <c r="AB233" i="1"/>
  <c r="Z233" i="1"/>
  <c r="J233" i="1"/>
  <c r="I233" i="1"/>
  <c r="H233" i="1"/>
  <c r="AU232" i="1"/>
  <c r="J232" i="1"/>
  <c r="BJ231" i="1"/>
  <c r="BF231" i="1"/>
  <c r="BD231" i="1"/>
  <c r="AP231" i="1"/>
  <c r="AO231" i="1"/>
  <c r="AL231" i="1"/>
  <c r="AJ231" i="1"/>
  <c r="AH231" i="1"/>
  <c r="AG231" i="1"/>
  <c r="AF231" i="1"/>
  <c r="AE231" i="1"/>
  <c r="AD231" i="1"/>
  <c r="AC231" i="1"/>
  <c r="AB231" i="1"/>
  <c r="Z231" i="1"/>
  <c r="J231" i="1"/>
  <c r="AK231" i="1" s="1"/>
  <c r="BJ230" i="1"/>
  <c r="BH230" i="1"/>
  <c r="AD230" i="1" s="1"/>
  <c r="BF230" i="1"/>
  <c r="BD230" i="1"/>
  <c r="AP230" i="1"/>
  <c r="AO230" i="1"/>
  <c r="H230" i="1" s="1"/>
  <c r="AL230" i="1"/>
  <c r="AJ230" i="1"/>
  <c r="AH230" i="1"/>
  <c r="AG230" i="1"/>
  <c r="AF230" i="1"/>
  <c r="AC230" i="1"/>
  <c r="AB230" i="1"/>
  <c r="Z230" i="1"/>
  <c r="J230" i="1"/>
  <c r="AK230" i="1" s="1"/>
  <c r="BJ229" i="1"/>
  <c r="BI229" i="1"/>
  <c r="AE229" i="1" s="1"/>
  <c r="BH229" i="1"/>
  <c r="AD229" i="1" s="1"/>
  <c r="BF229" i="1"/>
  <c r="BD229" i="1"/>
  <c r="AW229" i="1"/>
  <c r="AP229" i="1"/>
  <c r="I229" i="1" s="1"/>
  <c r="AO229" i="1"/>
  <c r="H229" i="1" s="1"/>
  <c r="AL229" i="1"/>
  <c r="AJ229" i="1"/>
  <c r="AH229" i="1"/>
  <c r="AG229" i="1"/>
  <c r="AF229" i="1"/>
  <c r="AC229" i="1"/>
  <c r="AB229" i="1"/>
  <c r="Z229" i="1"/>
  <c r="J229" i="1"/>
  <c r="AK229" i="1" s="1"/>
  <c r="BJ228" i="1"/>
  <c r="BI228" i="1"/>
  <c r="AE228" i="1" s="1"/>
  <c r="BH228" i="1"/>
  <c r="BF228" i="1"/>
  <c r="BD228" i="1"/>
  <c r="AX228" i="1"/>
  <c r="AW228" i="1"/>
  <c r="AP228" i="1"/>
  <c r="I228" i="1" s="1"/>
  <c r="AO228" i="1"/>
  <c r="AL228" i="1"/>
  <c r="AK228" i="1"/>
  <c r="AJ228" i="1"/>
  <c r="AH228" i="1"/>
  <c r="AG228" i="1"/>
  <c r="AF228" i="1"/>
  <c r="AD228" i="1"/>
  <c r="AC228" i="1"/>
  <c r="AB228" i="1"/>
  <c r="Z228" i="1"/>
  <c r="J228" i="1"/>
  <c r="H228" i="1"/>
  <c r="BJ227" i="1"/>
  <c r="BI227" i="1"/>
  <c r="BH227" i="1"/>
  <c r="BF227" i="1"/>
  <c r="BD227" i="1"/>
  <c r="BC227" i="1"/>
  <c r="AX227" i="1"/>
  <c r="AV227" i="1" s="1"/>
  <c r="AW227" i="1"/>
  <c r="AP227" i="1"/>
  <c r="AO227" i="1"/>
  <c r="AL227" i="1"/>
  <c r="AK227" i="1"/>
  <c r="AJ227" i="1"/>
  <c r="AH227" i="1"/>
  <c r="AG227" i="1"/>
  <c r="AF227" i="1"/>
  <c r="AE227" i="1"/>
  <c r="AD227" i="1"/>
  <c r="AC227" i="1"/>
  <c r="AB227" i="1"/>
  <c r="Z227" i="1"/>
  <c r="J227" i="1"/>
  <c r="I227" i="1"/>
  <c r="H227" i="1"/>
  <c r="BJ226" i="1"/>
  <c r="BI226" i="1"/>
  <c r="BF226" i="1"/>
  <c r="BD226" i="1"/>
  <c r="BC226" i="1"/>
  <c r="AX226" i="1"/>
  <c r="AW226" i="1"/>
  <c r="AV226" i="1" s="1"/>
  <c r="AP226" i="1"/>
  <c r="AO226" i="1"/>
  <c r="BH226" i="1" s="1"/>
  <c r="AD226" i="1" s="1"/>
  <c r="AL226" i="1"/>
  <c r="AK226" i="1"/>
  <c r="AJ226" i="1"/>
  <c r="AH226" i="1"/>
  <c r="AG226" i="1"/>
  <c r="AF226" i="1"/>
  <c r="AE226" i="1"/>
  <c r="AC226" i="1"/>
  <c r="AB226" i="1"/>
  <c r="Z226" i="1"/>
  <c r="J226" i="1"/>
  <c r="I226" i="1"/>
  <c r="H226" i="1"/>
  <c r="BJ225" i="1"/>
  <c r="Z225" i="1" s="1"/>
  <c r="BF225" i="1"/>
  <c r="BD225" i="1"/>
  <c r="AX225" i="1"/>
  <c r="AP225" i="1"/>
  <c r="BI225" i="1" s="1"/>
  <c r="AO225" i="1"/>
  <c r="AW225" i="1" s="1"/>
  <c r="AL225" i="1"/>
  <c r="AJ225" i="1"/>
  <c r="AH225" i="1"/>
  <c r="AG225" i="1"/>
  <c r="AF225" i="1"/>
  <c r="AE225" i="1"/>
  <c r="AD225" i="1"/>
  <c r="AC225" i="1"/>
  <c r="AB225" i="1"/>
  <c r="J225" i="1"/>
  <c r="AK225" i="1" s="1"/>
  <c r="I225" i="1"/>
  <c r="H225" i="1"/>
  <c r="BJ224" i="1"/>
  <c r="BH224" i="1"/>
  <c r="BF224" i="1"/>
  <c r="BD224" i="1"/>
  <c r="AP224" i="1"/>
  <c r="AX224" i="1" s="1"/>
  <c r="AO224" i="1"/>
  <c r="AW224" i="1" s="1"/>
  <c r="AL224" i="1"/>
  <c r="AJ224" i="1"/>
  <c r="AH224" i="1"/>
  <c r="AG224" i="1"/>
  <c r="AF224" i="1"/>
  <c r="AE224" i="1"/>
  <c r="AD224" i="1"/>
  <c r="AC224" i="1"/>
  <c r="AB224" i="1"/>
  <c r="Z224" i="1"/>
  <c r="J224" i="1"/>
  <c r="AK224" i="1" s="1"/>
  <c r="I224" i="1"/>
  <c r="BJ223" i="1"/>
  <c r="BI223" i="1"/>
  <c r="AE223" i="1" s="1"/>
  <c r="BH223" i="1"/>
  <c r="AD223" i="1" s="1"/>
  <c r="BF223" i="1"/>
  <c r="BD223" i="1"/>
  <c r="AP223" i="1"/>
  <c r="AX223" i="1" s="1"/>
  <c r="AO223" i="1"/>
  <c r="AW223" i="1" s="1"/>
  <c r="AL223" i="1"/>
  <c r="AJ223" i="1"/>
  <c r="AH223" i="1"/>
  <c r="AG223" i="1"/>
  <c r="AF223" i="1"/>
  <c r="AC223" i="1"/>
  <c r="AB223" i="1"/>
  <c r="Z223" i="1"/>
  <c r="J223" i="1"/>
  <c r="J219" i="1" s="1"/>
  <c r="BJ221" i="1"/>
  <c r="BI221" i="1"/>
  <c r="AE221" i="1" s="1"/>
  <c r="BH221" i="1"/>
  <c r="BF221" i="1"/>
  <c r="BD221" i="1"/>
  <c r="AW221" i="1"/>
  <c r="BC221" i="1" s="1"/>
  <c r="AP221" i="1"/>
  <c r="AX221" i="1" s="1"/>
  <c r="AO221" i="1"/>
  <c r="AL221" i="1"/>
  <c r="AK221" i="1"/>
  <c r="AJ221" i="1"/>
  <c r="AS219" i="1" s="1"/>
  <c r="AH221" i="1"/>
  <c r="AG221" i="1"/>
  <c r="AF221" i="1"/>
  <c r="AD221" i="1"/>
  <c r="AC221" i="1"/>
  <c r="AB221" i="1"/>
  <c r="Z221" i="1"/>
  <c r="J221" i="1"/>
  <c r="H221" i="1"/>
  <c r="BJ220" i="1"/>
  <c r="BI220" i="1"/>
  <c r="BH220" i="1"/>
  <c r="BF220" i="1"/>
  <c r="BD220" i="1"/>
  <c r="AX220" i="1"/>
  <c r="AV220" i="1" s="1"/>
  <c r="AW220" i="1"/>
  <c r="BC220" i="1" s="1"/>
  <c r="AP220" i="1"/>
  <c r="AO220" i="1"/>
  <c r="AL220" i="1"/>
  <c r="AU219" i="1" s="1"/>
  <c r="AK220" i="1"/>
  <c r="AJ220" i="1"/>
  <c r="AH220" i="1"/>
  <c r="AG220" i="1"/>
  <c r="AF220" i="1"/>
  <c r="AE220" i="1"/>
  <c r="AD220" i="1"/>
  <c r="AC220" i="1"/>
  <c r="AB220" i="1"/>
  <c r="Z220" i="1"/>
  <c r="J220" i="1"/>
  <c r="I220" i="1"/>
  <c r="H220" i="1"/>
  <c r="BJ218" i="1"/>
  <c r="BI218" i="1"/>
  <c r="BF218" i="1"/>
  <c r="BD218" i="1"/>
  <c r="AP218" i="1"/>
  <c r="AX218" i="1" s="1"/>
  <c r="AO218" i="1"/>
  <c r="AW218" i="1" s="1"/>
  <c r="AV218" i="1" s="1"/>
  <c r="AL218" i="1"/>
  <c r="AJ218" i="1"/>
  <c r="AH218" i="1"/>
  <c r="AG218" i="1"/>
  <c r="AF218" i="1"/>
  <c r="AE218" i="1"/>
  <c r="AD218" i="1"/>
  <c r="AC218" i="1"/>
  <c r="AB218" i="1"/>
  <c r="Z218" i="1"/>
  <c r="J218" i="1"/>
  <c r="AK218" i="1" s="1"/>
  <c r="I218" i="1"/>
  <c r="H218" i="1"/>
  <c r="BJ217" i="1"/>
  <c r="BF217" i="1"/>
  <c r="BD217" i="1"/>
  <c r="AP217" i="1"/>
  <c r="AX217" i="1" s="1"/>
  <c r="AO217" i="1"/>
  <c r="AW217" i="1" s="1"/>
  <c r="AL217" i="1"/>
  <c r="AJ217" i="1"/>
  <c r="AH217" i="1"/>
  <c r="AG217" i="1"/>
  <c r="AF217" i="1"/>
  <c r="AC217" i="1"/>
  <c r="AB217" i="1"/>
  <c r="Z217" i="1"/>
  <c r="J217" i="1"/>
  <c r="AK217" i="1" s="1"/>
  <c r="I217" i="1"/>
  <c r="H217" i="1"/>
  <c r="BJ216" i="1"/>
  <c r="BH216" i="1"/>
  <c r="AD216" i="1" s="1"/>
  <c r="BF216" i="1"/>
  <c r="BD216" i="1"/>
  <c r="AW216" i="1"/>
  <c r="AP216" i="1"/>
  <c r="AX216" i="1" s="1"/>
  <c r="AO216" i="1"/>
  <c r="AL216" i="1"/>
  <c r="AJ216" i="1"/>
  <c r="AH216" i="1"/>
  <c r="AG216" i="1"/>
  <c r="AF216" i="1"/>
  <c r="AC216" i="1"/>
  <c r="AB216" i="1"/>
  <c r="Z216" i="1"/>
  <c r="J216" i="1"/>
  <c r="AK216" i="1" s="1"/>
  <c r="I216" i="1"/>
  <c r="H216" i="1"/>
  <c r="BJ215" i="1"/>
  <c r="BI215" i="1"/>
  <c r="AE215" i="1" s="1"/>
  <c r="BH215" i="1"/>
  <c r="AD215" i="1" s="1"/>
  <c r="BF215" i="1"/>
  <c r="BD215" i="1"/>
  <c r="AX215" i="1"/>
  <c r="AP215" i="1"/>
  <c r="AO215" i="1"/>
  <c r="AW215" i="1" s="1"/>
  <c r="AL215" i="1"/>
  <c r="AJ215" i="1"/>
  <c r="AH215" i="1"/>
  <c r="AG215" i="1"/>
  <c r="AF215" i="1"/>
  <c r="AC215" i="1"/>
  <c r="AB215" i="1"/>
  <c r="Z215" i="1"/>
  <c r="J215" i="1"/>
  <c r="AK215" i="1" s="1"/>
  <c r="I215" i="1"/>
  <c r="H215" i="1"/>
  <c r="BJ214" i="1"/>
  <c r="BI214" i="1"/>
  <c r="AE214" i="1" s="1"/>
  <c r="BH214" i="1"/>
  <c r="BF214" i="1"/>
  <c r="BD214" i="1"/>
  <c r="BC214" i="1"/>
  <c r="AX214" i="1"/>
  <c r="AW214" i="1"/>
  <c r="AV214" i="1" s="1"/>
  <c r="AP214" i="1"/>
  <c r="AO214" i="1"/>
  <c r="AL214" i="1"/>
  <c r="AK214" i="1"/>
  <c r="AJ214" i="1"/>
  <c r="AH214" i="1"/>
  <c r="AG214" i="1"/>
  <c r="AF214" i="1"/>
  <c r="AD214" i="1"/>
  <c r="AC214" i="1"/>
  <c r="AB214" i="1"/>
  <c r="Z214" i="1"/>
  <c r="J214" i="1"/>
  <c r="I214" i="1"/>
  <c r="H214" i="1"/>
  <c r="BJ213" i="1"/>
  <c r="BI213" i="1"/>
  <c r="BF213" i="1"/>
  <c r="BD213" i="1"/>
  <c r="AX213" i="1"/>
  <c r="AP213" i="1"/>
  <c r="AO213" i="1"/>
  <c r="BH213" i="1" s="1"/>
  <c r="AD213" i="1" s="1"/>
  <c r="AL213" i="1"/>
  <c r="AK213" i="1"/>
  <c r="AJ213" i="1"/>
  <c r="AH213" i="1"/>
  <c r="AG213" i="1"/>
  <c r="AF213" i="1"/>
  <c r="AE213" i="1"/>
  <c r="AC213" i="1"/>
  <c r="AB213" i="1"/>
  <c r="Z213" i="1"/>
  <c r="J213" i="1"/>
  <c r="I213" i="1"/>
  <c r="H213" i="1"/>
  <c r="BJ212" i="1"/>
  <c r="BI212" i="1"/>
  <c r="BF212" i="1"/>
  <c r="BD212" i="1"/>
  <c r="AX212" i="1"/>
  <c r="AP212" i="1"/>
  <c r="AO212" i="1"/>
  <c r="AL212" i="1"/>
  <c r="AJ212" i="1"/>
  <c r="AH212" i="1"/>
  <c r="AG212" i="1"/>
  <c r="AF212" i="1"/>
  <c r="AE212" i="1"/>
  <c r="AC212" i="1"/>
  <c r="AB212" i="1"/>
  <c r="Z212" i="1"/>
  <c r="J212" i="1"/>
  <c r="AK212" i="1" s="1"/>
  <c r="I212" i="1"/>
  <c r="BJ211" i="1"/>
  <c r="BF211" i="1"/>
  <c r="BD211" i="1"/>
  <c r="AP211" i="1"/>
  <c r="AO211" i="1"/>
  <c r="AL211" i="1"/>
  <c r="AJ211" i="1"/>
  <c r="AH211" i="1"/>
  <c r="AG211" i="1"/>
  <c r="AF211" i="1"/>
  <c r="AC211" i="1"/>
  <c r="AB211" i="1"/>
  <c r="Z211" i="1"/>
  <c r="J211" i="1"/>
  <c r="AK211" i="1" s="1"/>
  <c r="BJ210" i="1"/>
  <c r="BF210" i="1"/>
  <c r="BD210" i="1"/>
  <c r="AP210" i="1"/>
  <c r="AO210" i="1"/>
  <c r="BH210" i="1" s="1"/>
  <c r="AD210" i="1" s="1"/>
  <c r="AL210" i="1"/>
  <c r="AJ210" i="1"/>
  <c r="AH210" i="1"/>
  <c r="AG210" i="1"/>
  <c r="AF210" i="1"/>
  <c r="AC210" i="1"/>
  <c r="AB210" i="1"/>
  <c r="Z210" i="1"/>
  <c r="J210" i="1"/>
  <c r="AK210" i="1" s="1"/>
  <c r="H210" i="1"/>
  <c r="BJ209" i="1"/>
  <c r="BF209" i="1"/>
  <c r="BD209" i="1"/>
  <c r="AW209" i="1"/>
  <c r="AP209" i="1"/>
  <c r="I209" i="1" s="1"/>
  <c r="AO209" i="1"/>
  <c r="BH209" i="1" s="1"/>
  <c r="AD209" i="1" s="1"/>
  <c r="AL209" i="1"/>
  <c r="AJ209" i="1"/>
  <c r="AH209" i="1"/>
  <c r="AG209" i="1"/>
  <c r="AF209" i="1"/>
  <c r="AC209" i="1"/>
  <c r="AB209" i="1"/>
  <c r="Z209" i="1"/>
  <c r="J209" i="1"/>
  <c r="AK209" i="1" s="1"/>
  <c r="H209" i="1"/>
  <c r="BJ207" i="1"/>
  <c r="BI207" i="1"/>
  <c r="BF207" i="1"/>
  <c r="BD207" i="1"/>
  <c r="AX207" i="1"/>
  <c r="AW207" i="1"/>
  <c r="AP207" i="1"/>
  <c r="AO207" i="1"/>
  <c r="BH207" i="1" s="1"/>
  <c r="AD207" i="1" s="1"/>
  <c r="AL207" i="1"/>
  <c r="AJ207" i="1"/>
  <c r="AH207" i="1"/>
  <c r="AG207" i="1"/>
  <c r="AF207" i="1"/>
  <c r="AE207" i="1"/>
  <c r="AC207" i="1"/>
  <c r="AB207" i="1"/>
  <c r="Z207" i="1"/>
  <c r="J207" i="1"/>
  <c r="AK207" i="1" s="1"/>
  <c r="I207" i="1"/>
  <c r="H207" i="1"/>
  <c r="BJ206" i="1"/>
  <c r="BF206" i="1"/>
  <c r="BD206" i="1"/>
  <c r="AX206" i="1"/>
  <c r="AP206" i="1"/>
  <c r="BI206" i="1" s="1"/>
  <c r="AO206" i="1"/>
  <c r="AW206" i="1" s="1"/>
  <c r="AV206" i="1" s="1"/>
  <c r="AL206" i="1"/>
  <c r="AJ206" i="1"/>
  <c r="AH206" i="1"/>
  <c r="AG206" i="1"/>
  <c r="AF206" i="1"/>
  <c r="AE206" i="1"/>
  <c r="AC206" i="1"/>
  <c r="AB206" i="1"/>
  <c r="Z206" i="1"/>
  <c r="J206" i="1"/>
  <c r="AK206" i="1" s="1"/>
  <c r="I206" i="1"/>
  <c r="H206" i="1"/>
  <c r="BJ205" i="1"/>
  <c r="BF205" i="1"/>
  <c r="BD205" i="1"/>
  <c r="AP205" i="1"/>
  <c r="AX205" i="1" s="1"/>
  <c r="AO205" i="1"/>
  <c r="AW205" i="1" s="1"/>
  <c r="AL205" i="1"/>
  <c r="AJ205" i="1"/>
  <c r="AH205" i="1"/>
  <c r="AG205" i="1"/>
  <c r="AF205" i="1"/>
  <c r="AC205" i="1"/>
  <c r="AB205" i="1"/>
  <c r="Z205" i="1"/>
  <c r="J205" i="1"/>
  <c r="AK205" i="1" s="1"/>
  <c r="I205" i="1"/>
  <c r="H205" i="1"/>
  <c r="BJ204" i="1"/>
  <c r="BH204" i="1"/>
  <c r="BF204" i="1"/>
  <c r="BD204" i="1"/>
  <c r="AW204" i="1"/>
  <c r="AP204" i="1"/>
  <c r="AX204" i="1" s="1"/>
  <c r="AO204" i="1"/>
  <c r="AL204" i="1"/>
  <c r="AJ204" i="1"/>
  <c r="AH204" i="1"/>
  <c r="AG204" i="1"/>
  <c r="AF204" i="1"/>
  <c r="AD204" i="1"/>
  <c r="AC204" i="1"/>
  <c r="AB204" i="1"/>
  <c r="Z204" i="1"/>
  <c r="J204" i="1"/>
  <c r="AK204" i="1" s="1"/>
  <c r="I204" i="1"/>
  <c r="H204" i="1"/>
  <c r="BJ202" i="1"/>
  <c r="BH202" i="1"/>
  <c r="AD202" i="1" s="1"/>
  <c r="BF202" i="1"/>
  <c r="BD202" i="1"/>
  <c r="AX202" i="1"/>
  <c r="AP202" i="1"/>
  <c r="BI202" i="1" s="1"/>
  <c r="AE202" i="1" s="1"/>
  <c r="AO202" i="1"/>
  <c r="AW202" i="1" s="1"/>
  <c r="AL202" i="1"/>
  <c r="AJ202" i="1"/>
  <c r="AH202" i="1"/>
  <c r="AG202" i="1"/>
  <c r="AF202" i="1"/>
  <c r="AC202" i="1"/>
  <c r="AB202" i="1"/>
  <c r="Z202" i="1"/>
  <c r="J202" i="1"/>
  <c r="AK202" i="1" s="1"/>
  <c r="I202" i="1"/>
  <c r="H202" i="1"/>
  <c r="BJ201" i="1"/>
  <c r="BI201" i="1"/>
  <c r="BH201" i="1"/>
  <c r="BF201" i="1"/>
  <c r="BD201" i="1"/>
  <c r="AP201" i="1"/>
  <c r="AX201" i="1" s="1"/>
  <c r="AO201" i="1"/>
  <c r="AW201" i="1" s="1"/>
  <c r="AL201" i="1"/>
  <c r="AJ201" i="1"/>
  <c r="AH201" i="1"/>
  <c r="AG201" i="1"/>
  <c r="AF201" i="1"/>
  <c r="AE201" i="1"/>
  <c r="AD201" i="1"/>
  <c r="AC201" i="1"/>
  <c r="AB201" i="1"/>
  <c r="Z201" i="1"/>
  <c r="J201" i="1"/>
  <c r="AK201" i="1" s="1"/>
  <c r="I201" i="1"/>
  <c r="H201" i="1"/>
  <c r="BJ200" i="1"/>
  <c r="Z200" i="1" s="1"/>
  <c r="BI200" i="1"/>
  <c r="BF200" i="1"/>
  <c r="BD200" i="1"/>
  <c r="AP200" i="1"/>
  <c r="AX200" i="1" s="1"/>
  <c r="AO200" i="1"/>
  <c r="BH200" i="1" s="1"/>
  <c r="AL200" i="1"/>
  <c r="AK200" i="1"/>
  <c r="AJ200" i="1"/>
  <c r="AS196" i="1" s="1"/>
  <c r="AH200" i="1"/>
  <c r="AG200" i="1"/>
  <c r="AF200" i="1"/>
  <c r="AE200" i="1"/>
  <c r="AD200" i="1"/>
  <c r="AC200" i="1"/>
  <c r="AB200" i="1"/>
  <c r="J200" i="1"/>
  <c r="I200" i="1"/>
  <c r="H200" i="1"/>
  <c r="BJ199" i="1"/>
  <c r="Z199" i="1" s="1"/>
  <c r="BH199" i="1"/>
  <c r="BF199" i="1"/>
  <c r="BD199" i="1"/>
  <c r="AW199" i="1"/>
  <c r="AP199" i="1"/>
  <c r="BI199" i="1" s="1"/>
  <c r="AO199" i="1"/>
  <c r="AL199" i="1"/>
  <c r="AK199" i="1"/>
  <c r="AJ199" i="1"/>
  <c r="AH199" i="1"/>
  <c r="AG199" i="1"/>
  <c r="AF199" i="1"/>
  <c r="AE199" i="1"/>
  <c r="AD199" i="1"/>
  <c r="AC199" i="1"/>
  <c r="AB199" i="1"/>
  <c r="J199" i="1"/>
  <c r="I199" i="1"/>
  <c r="H199" i="1"/>
  <c r="BJ198" i="1"/>
  <c r="BI198" i="1"/>
  <c r="BF198" i="1"/>
  <c r="BD198" i="1"/>
  <c r="AX198" i="1"/>
  <c r="AP198" i="1"/>
  <c r="AO198" i="1"/>
  <c r="AL198" i="1"/>
  <c r="AU196" i="1" s="1"/>
  <c r="AJ198" i="1"/>
  <c r="AH198" i="1"/>
  <c r="AG198" i="1"/>
  <c r="AF198" i="1"/>
  <c r="AE198" i="1"/>
  <c r="AC198" i="1"/>
  <c r="AB198" i="1"/>
  <c r="Z198" i="1"/>
  <c r="J198" i="1"/>
  <c r="AK198" i="1" s="1"/>
  <c r="I198" i="1"/>
  <c r="BJ197" i="1"/>
  <c r="BF197" i="1"/>
  <c r="BD197" i="1"/>
  <c r="AP197" i="1"/>
  <c r="AO197" i="1"/>
  <c r="AL197" i="1"/>
  <c r="AJ197" i="1"/>
  <c r="AH197" i="1"/>
  <c r="AG197" i="1"/>
  <c r="AF197" i="1"/>
  <c r="AC197" i="1"/>
  <c r="AB197" i="1"/>
  <c r="Z197" i="1"/>
  <c r="J197" i="1"/>
  <c r="BJ195" i="1"/>
  <c r="BH195" i="1"/>
  <c r="BF195" i="1"/>
  <c r="BD195" i="1"/>
  <c r="AP195" i="1"/>
  <c r="AX195" i="1" s="1"/>
  <c r="AO195" i="1"/>
  <c r="AW195" i="1" s="1"/>
  <c r="AL195" i="1"/>
  <c r="AJ195" i="1"/>
  <c r="AH195" i="1"/>
  <c r="AG195" i="1"/>
  <c r="AF195" i="1"/>
  <c r="AE195" i="1"/>
  <c r="AD195" i="1"/>
  <c r="AC195" i="1"/>
  <c r="AB195" i="1"/>
  <c r="Z195" i="1"/>
  <c r="J195" i="1"/>
  <c r="AK195" i="1" s="1"/>
  <c r="I195" i="1"/>
  <c r="H195" i="1"/>
  <c r="BJ194" i="1"/>
  <c r="BI194" i="1"/>
  <c r="AE194" i="1" s="1"/>
  <c r="BH194" i="1"/>
  <c r="AD194" i="1" s="1"/>
  <c r="BF194" i="1"/>
  <c r="BD194" i="1"/>
  <c r="AP194" i="1"/>
  <c r="AX194" i="1" s="1"/>
  <c r="AO194" i="1"/>
  <c r="AW194" i="1" s="1"/>
  <c r="AL194" i="1"/>
  <c r="AJ194" i="1"/>
  <c r="AH194" i="1"/>
  <c r="AG194" i="1"/>
  <c r="AF194" i="1"/>
  <c r="AC194" i="1"/>
  <c r="AB194" i="1"/>
  <c r="Z194" i="1"/>
  <c r="J194" i="1"/>
  <c r="AK194" i="1" s="1"/>
  <c r="I194" i="1"/>
  <c r="BJ193" i="1"/>
  <c r="BI193" i="1"/>
  <c r="AE193" i="1" s="1"/>
  <c r="BF193" i="1"/>
  <c r="BD193" i="1"/>
  <c r="AW193" i="1"/>
  <c r="BC193" i="1" s="1"/>
  <c r="AP193" i="1"/>
  <c r="AX193" i="1" s="1"/>
  <c r="AO193" i="1"/>
  <c r="BH193" i="1" s="1"/>
  <c r="AD193" i="1" s="1"/>
  <c r="AL193" i="1"/>
  <c r="AK193" i="1"/>
  <c r="AJ193" i="1"/>
  <c r="AS188" i="1" s="1"/>
  <c r="AH193" i="1"/>
  <c r="AG193" i="1"/>
  <c r="AF193" i="1"/>
  <c r="AC193" i="1"/>
  <c r="AB193" i="1"/>
  <c r="Z193" i="1"/>
  <c r="J193" i="1"/>
  <c r="H193" i="1"/>
  <c r="BJ192" i="1"/>
  <c r="BH192" i="1"/>
  <c r="BF192" i="1"/>
  <c r="BD192" i="1"/>
  <c r="AX192" i="1"/>
  <c r="AW192" i="1"/>
  <c r="BC192" i="1" s="1"/>
  <c r="AP192" i="1"/>
  <c r="BI192" i="1" s="1"/>
  <c r="AE192" i="1" s="1"/>
  <c r="AO192" i="1"/>
  <c r="AL192" i="1"/>
  <c r="AK192" i="1"/>
  <c r="AJ192" i="1"/>
  <c r="AH192" i="1"/>
  <c r="AG192" i="1"/>
  <c r="AF192" i="1"/>
  <c r="AD192" i="1"/>
  <c r="AC192" i="1"/>
  <c r="AB192" i="1"/>
  <c r="Z192" i="1"/>
  <c r="J192" i="1"/>
  <c r="I192" i="1"/>
  <c r="H192" i="1"/>
  <c r="BJ190" i="1"/>
  <c r="BI190" i="1"/>
  <c r="BF190" i="1"/>
  <c r="BD190" i="1"/>
  <c r="AX190" i="1"/>
  <c r="AP190" i="1"/>
  <c r="AO190" i="1"/>
  <c r="AL190" i="1"/>
  <c r="AJ190" i="1"/>
  <c r="AH190" i="1"/>
  <c r="AG190" i="1"/>
  <c r="AF190" i="1"/>
  <c r="AE190" i="1"/>
  <c r="AC190" i="1"/>
  <c r="AB190" i="1"/>
  <c r="Z190" i="1"/>
  <c r="J190" i="1"/>
  <c r="AK190" i="1" s="1"/>
  <c r="I190" i="1"/>
  <c r="BJ189" i="1"/>
  <c r="BF189" i="1"/>
  <c r="BD189" i="1"/>
  <c r="AP189" i="1"/>
  <c r="AO189" i="1"/>
  <c r="AL189" i="1"/>
  <c r="AJ189" i="1"/>
  <c r="AH189" i="1"/>
  <c r="AG189" i="1"/>
  <c r="AF189" i="1"/>
  <c r="AC189" i="1"/>
  <c r="AB189" i="1"/>
  <c r="Z189" i="1"/>
  <c r="J189" i="1"/>
  <c r="AK189" i="1" s="1"/>
  <c r="BJ187" i="1"/>
  <c r="BH187" i="1"/>
  <c r="BF187" i="1"/>
  <c r="BD187" i="1"/>
  <c r="AP187" i="1"/>
  <c r="AO187" i="1"/>
  <c r="AL187" i="1"/>
  <c r="AJ187" i="1"/>
  <c r="AH187" i="1"/>
  <c r="AG187" i="1"/>
  <c r="AF187" i="1"/>
  <c r="AE187" i="1"/>
  <c r="AD187" i="1"/>
  <c r="AC187" i="1"/>
  <c r="AB187" i="1"/>
  <c r="Z187" i="1"/>
  <c r="J187" i="1"/>
  <c r="AK187" i="1" s="1"/>
  <c r="I187" i="1"/>
  <c r="BJ185" i="1"/>
  <c r="BI185" i="1"/>
  <c r="AE185" i="1" s="1"/>
  <c r="BH185" i="1"/>
  <c r="BF185" i="1"/>
  <c r="BD185" i="1"/>
  <c r="AW185" i="1"/>
  <c r="AV185" i="1" s="1"/>
  <c r="AP185" i="1"/>
  <c r="AX185" i="1" s="1"/>
  <c r="AO185" i="1"/>
  <c r="H185" i="1" s="1"/>
  <c r="AL185" i="1"/>
  <c r="AJ185" i="1"/>
  <c r="AH185" i="1"/>
  <c r="AG185" i="1"/>
  <c r="AF185" i="1"/>
  <c r="AD185" i="1"/>
  <c r="AC185" i="1"/>
  <c r="AB185" i="1"/>
  <c r="Z185" i="1"/>
  <c r="J185" i="1"/>
  <c r="AK185" i="1" s="1"/>
  <c r="I185" i="1"/>
  <c r="BJ184" i="1"/>
  <c r="BH184" i="1"/>
  <c r="BF184" i="1"/>
  <c r="BD184" i="1"/>
  <c r="AX184" i="1"/>
  <c r="AP184" i="1"/>
  <c r="BI184" i="1" s="1"/>
  <c r="AE184" i="1" s="1"/>
  <c r="AO184" i="1"/>
  <c r="H184" i="1" s="1"/>
  <c r="AL184" i="1"/>
  <c r="AJ184" i="1"/>
  <c r="AH184" i="1"/>
  <c r="AG184" i="1"/>
  <c r="AF184" i="1"/>
  <c r="AD184" i="1"/>
  <c r="AC184" i="1"/>
  <c r="AB184" i="1"/>
  <c r="Z184" i="1"/>
  <c r="J184" i="1"/>
  <c r="AK184" i="1" s="1"/>
  <c r="AT183" i="1" s="1"/>
  <c r="I184" i="1"/>
  <c r="I183" i="1" s="1"/>
  <c r="AU183" i="1"/>
  <c r="AS183" i="1"/>
  <c r="J183" i="1"/>
  <c r="BJ182" i="1"/>
  <c r="BI182" i="1"/>
  <c r="BF182" i="1"/>
  <c r="BD182" i="1"/>
  <c r="AW182" i="1"/>
  <c r="AP182" i="1"/>
  <c r="AX182" i="1" s="1"/>
  <c r="AO182" i="1"/>
  <c r="BH182" i="1" s="1"/>
  <c r="AL182" i="1"/>
  <c r="AJ182" i="1"/>
  <c r="AS178" i="1" s="1"/>
  <c r="AH182" i="1"/>
  <c r="AG182" i="1"/>
  <c r="AF182" i="1"/>
  <c r="AE182" i="1"/>
  <c r="AD182" i="1"/>
  <c r="AC182" i="1"/>
  <c r="AB182" i="1"/>
  <c r="Z182" i="1"/>
  <c r="J182" i="1"/>
  <c r="AK182" i="1" s="1"/>
  <c r="I182" i="1"/>
  <c r="H182" i="1"/>
  <c r="BJ181" i="1"/>
  <c r="BI181" i="1"/>
  <c r="BF181" i="1"/>
  <c r="BD181" i="1"/>
  <c r="AX181" i="1"/>
  <c r="AP181" i="1"/>
  <c r="AO181" i="1"/>
  <c r="AL181" i="1"/>
  <c r="AK181" i="1"/>
  <c r="AJ181" i="1"/>
  <c r="AH181" i="1"/>
  <c r="AG181" i="1"/>
  <c r="AF181" i="1"/>
  <c r="AE181" i="1"/>
  <c r="AC181" i="1"/>
  <c r="AB181" i="1"/>
  <c r="Z181" i="1"/>
  <c r="J181" i="1"/>
  <c r="J178" i="1" s="1"/>
  <c r="I181" i="1"/>
  <c r="H181" i="1"/>
  <c r="H178" i="1" s="1"/>
  <c r="BJ179" i="1"/>
  <c r="BH179" i="1"/>
  <c r="BF179" i="1"/>
  <c r="BD179" i="1"/>
  <c r="AW179" i="1"/>
  <c r="AP179" i="1"/>
  <c r="AO179" i="1"/>
  <c r="AL179" i="1"/>
  <c r="AK179" i="1"/>
  <c r="AJ179" i="1"/>
  <c r="AH179" i="1"/>
  <c r="AG179" i="1"/>
  <c r="AF179" i="1"/>
  <c r="AD179" i="1"/>
  <c r="AC179" i="1"/>
  <c r="AB179" i="1"/>
  <c r="Z179" i="1"/>
  <c r="J179" i="1"/>
  <c r="I179" i="1"/>
  <c r="H179" i="1"/>
  <c r="BJ177" i="1"/>
  <c r="BH177" i="1"/>
  <c r="BF177" i="1"/>
  <c r="BD177" i="1"/>
  <c r="AP177" i="1"/>
  <c r="AX177" i="1" s="1"/>
  <c r="AO177" i="1"/>
  <c r="AW177" i="1" s="1"/>
  <c r="AL177" i="1"/>
  <c r="AJ177" i="1"/>
  <c r="AH177" i="1"/>
  <c r="AG177" i="1"/>
  <c r="AF177" i="1"/>
  <c r="AE177" i="1"/>
  <c r="AD177" i="1"/>
  <c r="AC177" i="1"/>
  <c r="AB177" i="1"/>
  <c r="Z177" i="1"/>
  <c r="J177" i="1"/>
  <c r="AK177" i="1" s="1"/>
  <c r="BJ176" i="1"/>
  <c r="BI176" i="1"/>
  <c r="AE176" i="1" s="1"/>
  <c r="BF176" i="1"/>
  <c r="BD176" i="1"/>
  <c r="AW176" i="1"/>
  <c r="AP176" i="1"/>
  <c r="AX176" i="1" s="1"/>
  <c r="AV176" i="1" s="1"/>
  <c r="AO176" i="1"/>
  <c r="BH176" i="1" s="1"/>
  <c r="AD176" i="1" s="1"/>
  <c r="AL176" i="1"/>
  <c r="AJ176" i="1"/>
  <c r="AH176" i="1"/>
  <c r="AG176" i="1"/>
  <c r="AF176" i="1"/>
  <c r="AC176" i="1"/>
  <c r="AB176" i="1"/>
  <c r="Z176" i="1"/>
  <c r="J176" i="1"/>
  <c r="AK176" i="1" s="1"/>
  <c r="H176" i="1"/>
  <c r="BJ175" i="1"/>
  <c r="BH175" i="1"/>
  <c r="AD175" i="1" s="1"/>
  <c r="BF175" i="1"/>
  <c r="BD175" i="1"/>
  <c r="AX175" i="1"/>
  <c r="AW175" i="1"/>
  <c r="BC175" i="1" s="1"/>
  <c r="AP175" i="1"/>
  <c r="BI175" i="1" s="1"/>
  <c r="AE175" i="1" s="1"/>
  <c r="AO175" i="1"/>
  <c r="AL175" i="1"/>
  <c r="AK175" i="1"/>
  <c r="AJ175" i="1"/>
  <c r="AH175" i="1"/>
  <c r="AG175" i="1"/>
  <c r="AF175" i="1"/>
  <c r="AC175" i="1"/>
  <c r="AB175" i="1"/>
  <c r="Z175" i="1"/>
  <c r="J175" i="1"/>
  <c r="I175" i="1"/>
  <c r="H175" i="1"/>
  <c r="BJ174" i="1"/>
  <c r="BI174" i="1"/>
  <c r="AE174" i="1" s="1"/>
  <c r="BH174" i="1"/>
  <c r="BF174" i="1"/>
  <c r="BD174" i="1"/>
  <c r="AX174" i="1"/>
  <c r="AW174" i="1"/>
  <c r="BC174" i="1" s="1"/>
  <c r="AP174" i="1"/>
  <c r="AO174" i="1"/>
  <c r="AL174" i="1"/>
  <c r="AK174" i="1"/>
  <c r="AJ174" i="1"/>
  <c r="AS168" i="1" s="1"/>
  <c r="AH174" i="1"/>
  <c r="AG174" i="1"/>
  <c r="AF174" i="1"/>
  <c r="AD174" i="1"/>
  <c r="AC174" i="1"/>
  <c r="AB174" i="1"/>
  <c r="Z174" i="1"/>
  <c r="J174" i="1"/>
  <c r="I174" i="1"/>
  <c r="H174" i="1"/>
  <c r="BJ173" i="1"/>
  <c r="BI173" i="1"/>
  <c r="BF173" i="1"/>
  <c r="BD173" i="1"/>
  <c r="AX173" i="1"/>
  <c r="AP173" i="1"/>
  <c r="AO173" i="1"/>
  <c r="AL173" i="1"/>
  <c r="AK173" i="1"/>
  <c r="AJ173" i="1"/>
  <c r="AH173" i="1"/>
  <c r="AG173" i="1"/>
  <c r="AF173" i="1"/>
  <c r="AE173" i="1"/>
  <c r="AC173" i="1"/>
  <c r="AB173" i="1"/>
  <c r="Z173" i="1"/>
  <c r="J173" i="1"/>
  <c r="I173" i="1"/>
  <c r="H173" i="1"/>
  <c r="BJ172" i="1"/>
  <c r="BF172" i="1"/>
  <c r="BD172" i="1"/>
  <c r="AP172" i="1"/>
  <c r="AO172" i="1"/>
  <c r="BH172" i="1" s="1"/>
  <c r="AD172" i="1" s="1"/>
  <c r="AL172" i="1"/>
  <c r="AU168" i="1" s="1"/>
  <c r="AK172" i="1"/>
  <c r="AJ172" i="1"/>
  <c r="AH172" i="1"/>
  <c r="AG172" i="1"/>
  <c r="AF172" i="1"/>
  <c r="AC172" i="1"/>
  <c r="AB172" i="1"/>
  <c r="Z172" i="1"/>
  <c r="J172" i="1"/>
  <c r="I172" i="1"/>
  <c r="H172" i="1"/>
  <c r="BJ171" i="1"/>
  <c r="BF171" i="1"/>
  <c r="BD171" i="1"/>
  <c r="AP171" i="1"/>
  <c r="BI171" i="1" s="1"/>
  <c r="AE171" i="1" s="1"/>
  <c r="AO171" i="1"/>
  <c r="AL171" i="1"/>
  <c r="AJ171" i="1"/>
  <c r="AH171" i="1"/>
  <c r="AG171" i="1"/>
  <c r="AF171" i="1"/>
  <c r="AC171" i="1"/>
  <c r="AB171" i="1"/>
  <c r="Z171" i="1"/>
  <c r="J171" i="1"/>
  <c r="I171" i="1"/>
  <c r="BJ169" i="1"/>
  <c r="BH169" i="1"/>
  <c r="AD169" i="1" s="1"/>
  <c r="BF169" i="1"/>
  <c r="BD169" i="1"/>
  <c r="AW169" i="1"/>
  <c r="AP169" i="1"/>
  <c r="AO169" i="1"/>
  <c r="AL169" i="1"/>
  <c r="AJ169" i="1"/>
  <c r="AH169" i="1"/>
  <c r="AG169" i="1"/>
  <c r="AF169" i="1"/>
  <c r="AC169" i="1"/>
  <c r="AB169" i="1"/>
  <c r="Z169" i="1"/>
  <c r="J169" i="1"/>
  <c r="AK169" i="1" s="1"/>
  <c r="H169" i="1"/>
  <c r="BJ167" i="1"/>
  <c r="Z167" i="1" s="1"/>
  <c r="BH167" i="1"/>
  <c r="BF167" i="1"/>
  <c r="BD167" i="1"/>
  <c r="AW167" i="1"/>
  <c r="AP167" i="1"/>
  <c r="AX167" i="1" s="1"/>
  <c r="AV167" i="1" s="1"/>
  <c r="AO167" i="1"/>
  <c r="AL167" i="1"/>
  <c r="AK167" i="1"/>
  <c r="AJ167" i="1"/>
  <c r="AH167" i="1"/>
  <c r="AG167" i="1"/>
  <c r="AF167" i="1"/>
  <c r="AE167" i="1"/>
  <c r="AD167" i="1"/>
  <c r="AC167" i="1"/>
  <c r="AB167" i="1"/>
  <c r="J167" i="1"/>
  <c r="H167" i="1"/>
  <c r="BJ166" i="1"/>
  <c r="BI166" i="1"/>
  <c r="AE166" i="1" s="1"/>
  <c r="BF166" i="1"/>
  <c r="BD166" i="1"/>
  <c r="AX166" i="1"/>
  <c r="AW166" i="1"/>
  <c r="BC166" i="1" s="1"/>
  <c r="AP166" i="1"/>
  <c r="AO166" i="1"/>
  <c r="BH166" i="1" s="1"/>
  <c r="AD166" i="1" s="1"/>
  <c r="AL166" i="1"/>
  <c r="AJ166" i="1"/>
  <c r="AS159" i="1" s="1"/>
  <c r="AH166" i="1"/>
  <c r="AG166" i="1"/>
  <c r="AF166" i="1"/>
  <c r="AC166" i="1"/>
  <c r="AB166" i="1"/>
  <c r="Z166" i="1"/>
  <c r="J166" i="1"/>
  <c r="AK166" i="1" s="1"/>
  <c r="I166" i="1"/>
  <c r="H166" i="1"/>
  <c r="BJ164" i="1"/>
  <c r="BF164" i="1"/>
  <c r="BD164" i="1"/>
  <c r="AX164" i="1"/>
  <c r="AP164" i="1"/>
  <c r="BI164" i="1" s="1"/>
  <c r="AE164" i="1" s="1"/>
  <c r="AO164" i="1"/>
  <c r="AL164" i="1"/>
  <c r="AJ164" i="1"/>
  <c r="AH164" i="1"/>
  <c r="AG164" i="1"/>
  <c r="AF164" i="1"/>
  <c r="AC164" i="1"/>
  <c r="AB164" i="1"/>
  <c r="Z164" i="1"/>
  <c r="J164" i="1"/>
  <c r="AK164" i="1" s="1"/>
  <c r="I164" i="1"/>
  <c r="H164" i="1"/>
  <c r="BJ162" i="1"/>
  <c r="BH162" i="1"/>
  <c r="BF162" i="1"/>
  <c r="BD162" i="1"/>
  <c r="AW162" i="1"/>
  <c r="AP162" i="1"/>
  <c r="AO162" i="1"/>
  <c r="AL162" i="1"/>
  <c r="AJ162" i="1"/>
  <c r="AH162" i="1"/>
  <c r="AG162" i="1"/>
  <c r="AF162" i="1"/>
  <c r="AD162" i="1"/>
  <c r="AC162" i="1"/>
  <c r="AB162" i="1"/>
  <c r="Z162" i="1"/>
  <c r="J162" i="1"/>
  <c r="AK162" i="1" s="1"/>
  <c r="I162" i="1"/>
  <c r="H162" i="1"/>
  <c r="BJ161" i="1"/>
  <c r="BI161" i="1"/>
  <c r="BF161" i="1"/>
  <c r="BD161" i="1"/>
  <c r="AX161" i="1"/>
  <c r="AP161" i="1"/>
  <c r="AO161" i="1"/>
  <c r="AL161" i="1"/>
  <c r="AJ161" i="1"/>
  <c r="AH161" i="1"/>
  <c r="AG161" i="1"/>
  <c r="AF161" i="1"/>
  <c r="AE161" i="1"/>
  <c r="AC161" i="1"/>
  <c r="AB161" i="1"/>
  <c r="Z161" i="1"/>
  <c r="J161" i="1"/>
  <c r="I161" i="1"/>
  <c r="BJ160" i="1"/>
  <c r="BH160" i="1"/>
  <c r="AD160" i="1" s="1"/>
  <c r="BF160" i="1"/>
  <c r="BD160" i="1"/>
  <c r="AW160" i="1"/>
  <c r="AP160" i="1"/>
  <c r="AO160" i="1"/>
  <c r="AL160" i="1"/>
  <c r="AK160" i="1"/>
  <c r="AJ160" i="1"/>
  <c r="AH160" i="1"/>
  <c r="AG160" i="1"/>
  <c r="AF160" i="1"/>
  <c r="AC160" i="1"/>
  <c r="AB160" i="1"/>
  <c r="Z160" i="1"/>
  <c r="J160" i="1"/>
  <c r="H160" i="1"/>
  <c r="BJ158" i="1"/>
  <c r="BH158" i="1"/>
  <c r="AD158" i="1" s="1"/>
  <c r="BF158" i="1"/>
  <c r="BD158" i="1"/>
  <c r="AP158" i="1"/>
  <c r="AX158" i="1" s="1"/>
  <c r="AO158" i="1"/>
  <c r="AW158" i="1" s="1"/>
  <c r="AL158" i="1"/>
  <c r="AU157" i="1" s="1"/>
  <c r="AK158" i="1"/>
  <c r="AJ158" i="1"/>
  <c r="AH158" i="1"/>
  <c r="AG158" i="1"/>
  <c r="AF158" i="1"/>
  <c r="AC158" i="1"/>
  <c r="AB158" i="1"/>
  <c r="Z158" i="1"/>
  <c r="J158" i="1"/>
  <c r="J157" i="1" s="1"/>
  <c r="H158" i="1"/>
  <c r="H157" i="1" s="1"/>
  <c r="AT157" i="1"/>
  <c r="AS157" i="1"/>
  <c r="BJ156" i="1"/>
  <c r="Z156" i="1" s="1"/>
  <c r="BI156" i="1"/>
  <c r="BH156" i="1"/>
  <c r="BF156" i="1"/>
  <c r="BD156" i="1"/>
  <c r="AW156" i="1"/>
  <c r="AV156" i="1" s="1"/>
  <c r="AP156" i="1"/>
  <c r="AX156" i="1" s="1"/>
  <c r="AO156" i="1"/>
  <c r="AL156" i="1"/>
  <c r="AK156" i="1"/>
  <c r="AJ156" i="1"/>
  <c r="AH156" i="1"/>
  <c r="AG156" i="1"/>
  <c r="AF156" i="1"/>
  <c r="AE156" i="1"/>
  <c r="AD156" i="1"/>
  <c r="AC156" i="1"/>
  <c r="AB156" i="1"/>
  <c r="J156" i="1"/>
  <c r="I156" i="1"/>
  <c r="H156" i="1"/>
  <c r="BJ155" i="1"/>
  <c r="BI155" i="1"/>
  <c r="BF155" i="1"/>
  <c r="BD155" i="1"/>
  <c r="AX155" i="1"/>
  <c r="AP155" i="1"/>
  <c r="AO155" i="1"/>
  <c r="AW155" i="1" s="1"/>
  <c r="AL155" i="1"/>
  <c r="AK155" i="1"/>
  <c r="AJ155" i="1"/>
  <c r="AH155" i="1"/>
  <c r="AG155" i="1"/>
  <c r="AF155" i="1"/>
  <c r="AE155" i="1"/>
  <c r="AC155" i="1"/>
  <c r="AB155" i="1"/>
  <c r="Z155" i="1"/>
  <c r="J155" i="1"/>
  <c r="I155" i="1"/>
  <c r="H155" i="1"/>
  <c r="BJ154" i="1"/>
  <c r="BF154" i="1"/>
  <c r="BD154" i="1"/>
  <c r="BC154" i="1"/>
  <c r="AP154" i="1"/>
  <c r="AX154" i="1" s="1"/>
  <c r="AO154" i="1"/>
  <c r="AW154" i="1" s="1"/>
  <c r="AL154" i="1"/>
  <c r="AJ154" i="1"/>
  <c r="AH154" i="1"/>
  <c r="AG154" i="1"/>
  <c r="AF154" i="1"/>
  <c r="AC154" i="1"/>
  <c r="AB154" i="1"/>
  <c r="Z154" i="1"/>
  <c r="J154" i="1"/>
  <c r="AK154" i="1" s="1"/>
  <c r="I154" i="1"/>
  <c r="BJ153" i="1"/>
  <c r="BH153" i="1"/>
  <c r="AD153" i="1" s="1"/>
  <c r="BF153" i="1"/>
  <c r="BD153" i="1"/>
  <c r="AP153" i="1"/>
  <c r="AX153" i="1" s="1"/>
  <c r="AO153" i="1"/>
  <c r="AW153" i="1" s="1"/>
  <c r="AL153" i="1"/>
  <c r="AJ153" i="1"/>
  <c r="AH153" i="1"/>
  <c r="AG153" i="1"/>
  <c r="AF153" i="1"/>
  <c r="AC153" i="1"/>
  <c r="AB153" i="1"/>
  <c r="Z153" i="1"/>
  <c r="J153" i="1"/>
  <c r="AK153" i="1" s="1"/>
  <c r="BJ152" i="1"/>
  <c r="BI152" i="1"/>
  <c r="AE152" i="1" s="1"/>
  <c r="BF152" i="1"/>
  <c r="BD152" i="1"/>
  <c r="AW152" i="1"/>
  <c r="AP152" i="1"/>
  <c r="AX152" i="1" s="1"/>
  <c r="AV152" i="1" s="1"/>
  <c r="AO152" i="1"/>
  <c r="BH152" i="1" s="1"/>
  <c r="AD152" i="1" s="1"/>
  <c r="AL152" i="1"/>
  <c r="AJ152" i="1"/>
  <c r="AH152" i="1"/>
  <c r="AG152" i="1"/>
  <c r="AF152" i="1"/>
  <c r="AC152" i="1"/>
  <c r="AB152" i="1"/>
  <c r="Z152" i="1"/>
  <c r="J152" i="1"/>
  <c r="AK152" i="1" s="1"/>
  <c r="H152" i="1"/>
  <c r="BJ151" i="1"/>
  <c r="BH151" i="1"/>
  <c r="AD151" i="1" s="1"/>
  <c r="BF151" i="1"/>
  <c r="BD151" i="1"/>
  <c r="AX151" i="1"/>
  <c r="AW151" i="1"/>
  <c r="BC151" i="1" s="1"/>
  <c r="AP151" i="1"/>
  <c r="BI151" i="1" s="1"/>
  <c r="AE151" i="1" s="1"/>
  <c r="AO151" i="1"/>
  <c r="AL151" i="1"/>
  <c r="AK151" i="1"/>
  <c r="AJ151" i="1"/>
  <c r="AH151" i="1"/>
  <c r="AG151" i="1"/>
  <c r="AF151" i="1"/>
  <c r="AC151" i="1"/>
  <c r="AB151" i="1"/>
  <c r="Z151" i="1"/>
  <c r="J151" i="1"/>
  <c r="I151" i="1"/>
  <c r="H151" i="1"/>
  <c r="BJ150" i="1"/>
  <c r="BI150" i="1"/>
  <c r="AE150" i="1" s="1"/>
  <c r="BF150" i="1"/>
  <c r="BD150" i="1"/>
  <c r="AX150" i="1"/>
  <c r="AW150" i="1"/>
  <c r="BC150" i="1" s="1"/>
  <c r="AP150" i="1"/>
  <c r="AO150" i="1"/>
  <c r="BH150" i="1" s="1"/>
  <c r="AD150" i="1" s="1"/>
  <c r="AL150" i="1"/>
  <c r="AU148" i="1" s="1"/>
  <c r="AJ150" i="1"/>
  <c r="AH150" i="1"/>
  <c r="AG150" i="1"/>
  <c r="AF150" i="1"/>
  <c r="AC150" i="1"/>
  <c r="AB150" i="1"/>
  <c r="Z150" i="1"/>
  <c r="J150" i="1"/>
  <c r="AK150" i="1" s="1"/>
  <c r="I150" i="1"/>
  <c r="H150" i="1"/>
  <c r="BJ149" i="1"/>
  <c r="BI149" i="1"/>
  <c r="BF149" i="1"/>
  <c r="BD149" i="1"/>
  <c r="AX149" i="1"/>
  <c r="AP149" i="1"/>
  <c r="AO149" i="1"/>
  <c r="AL149" i="1"/>
  <c r="AJ149" i="1"/>
  <c r="AH149" i="1"/>
  <c r="AG149" i="1"/>
  <c r="AF149" i="1"/>
  <c r="AE149" i="1"/>
  <c r="AC149" i="1"/>
  <c r="AB149" i="1"/>
  <c r="Z149" i="1"/>
  <c r="J149" i="1"/>
  <c r="J148" i="1" s="1"/>
  <c r="I149" i="1"/>
  <c r="H149" i="1"/>
  <c r="BJ147" i="1"/>
  <c r="BF147" i="1"/>
  <c r="BD147" i="1"/>
  <c r="BC147" i="1"/>
  <c r="AP147" i="1"/>
  <c r="AX147" i="1" s="1"/>
  <c r="AO147" i="1"/>
  <c r="AW147" i="1" s="1"/>
  <c r="AL147" i="1"/>
  <c r="AJ147" i="1"/>
  <c r="AH147" i="1"/>
  <c r="AG147" i="1"/>
  <c r="AF147" i="1"/>
  <c r="AE147" i="1"/>
  <c r="AD147" i="1"/>
  <c r="AC147" i="1"/>
  <c r="AB147" i="1"/>
  <c r="Z147" i="1"/>
  <c r="J147" i="1"/>
  <c r="AK147" i="1" s="1"/>
  <c r="I147" i="1"/>
  <c r="BJ146" i="1"/>
  <c r="BH146" i="1"/>
  <c r="AD146" i="1" s="1"/>
  <c r="BF146" i="1"/>
  <c r="BD146" i="1"/>
  <c r="AP146" i="1"/>
  <c r="AX146" i="1" s="1"/>
  <c r="AO146" i="1"/>
  <c r="AW146" i="1" s="1"/>
  <c r="AL146" i="1"/>
  <c r="AJ146" i="1"/>
  <c r="AH146" i="1"/>
  <c r="AG146" i="1"/>
  <c r="AF146" i="1"/>
  <c r="AC146" i="1"/>
  <c r="AB146" i="1"/>
  <c r="Z146" i="1"/>
  <c r="J146" i="1"/>
  <c r="AK146" i="1" s="1"/>
  <c r="H146" i="1"/>
  <c r="BJ145" i="1"/>
  <c r="BI145" i="1"/>
  <c r="AE145" i="1" s="1"/>
  <c r="BF145" i="1"/>
  <c r="BD145" i="1"/>
  <c r="AP145" i="1"/>
  <c r="AX145" i="1" s="1"/>
  <c r="AO145" i="1"/>
  <c r="AW145" i="1" s="1"/>
  <c r="AL145" i="1"/>
  <c r="AJ145" i="1"/>
  <c r="AH145" i="1"/>
  <c r="AG145" i="1"/>
  <c r="AF145" i="1"/>
  <c r="AC145" i="1"/>
  <c r="AB145" i="1"/>
  <c r="Z145" i="1"/>
  <c r="J145" i="1"/>
  <c r="AK145" i="1" s="1"/>
  <c r="I145" i="1"/>
  <c r="H145" i="1"/>
  <c r="BJ144" i="1"/>
  <c r="BH144" i="1"/>
  <c r="AD144" i="1" s="1"/>
  <c r="BF144" i="1"/>
  <c r="BD144" i="1"/>
  <c r="AW144" i="1"/>
  <c r="BC144" i="1" s="1"/>
  <c r="AP144" i="1"/>
  <c r="AX144" i="1" s="1"/>
  <c r="AO144" i="1"/>
  <c r="AL144" i="1"/>
  <c r="AK144" i="1"/>
  <c r="AJ144" i="1"/>
  <c r="AH144" i="1"/>
  <c r="AG144" i="1"/>
  <c r="AF144" i="1"/>
  <c r="AC144" i="1"/>
  <c r="AB144" i="1"/>
  <c r="Z144" i="1"/>
  <c r="J144" i="1"/>
  <c r="I144" i="1"/>
  <c r="H144" i="1"/>
  <c r="BJ143" i="1"/>
  <c r="BI143" i="1"/>
  <c r="AE143" i="1" s="1"/>
  <c r="BF143" i="1"/>
  <c r="BD143" i="1"/>
  <c r="AP143" i="1"/>
  <c r="AX143" i="1" s="1"/>
  <c r="AO143" i="1"/>
  <c r="BH143" i="1" s="1"/>
  <c r="AD143" i="1" s="1"/>
  <c r="AL143" i="1"/>
  <c r="AJ143" i="1"/>
  <c r="AS136" i="1" s="1"/>
  <c r="AH143" i="1"/>
  <c r="AG143" i="1"/>
  <c r="AF143" i="1"/>
  <c r="AC143" i="1"/>
  <c r="AB143" i="1"/>
  <c r="Z143" i="1"/>
  <c r="J143" i="1"/>
  <c r="AK143" i="1" s="1"/>
  <c r="I143" i="1"/>
  <c r="H143" i="1"/>
  <c r="BJ142" i="1"/>
  <c r="BF142" i="1"/>
  <c r="BD142" i="1"/>
  <c r="AP142" i="1"/>
  <c r="BI142" i="1" s="1"/>
  <c r="AE142" i="1" s="1"/>
  <c r="AO142" i="1"/>
  <c r="AL142" i="1"/>
  <c r="AK142" i="1"/>
  <c r="AJ142" i="1"/>
  <c r="AH142" i="1"/>
  <c r="AG142" i="1"/>
  <c r="AF142" i="1"/>
  <c r="AC142" i="1"/>
  <c r="AB142" i="1"/>
  <c r="Z142" i="1"/>
  <c r="J142" i="1"/>
  <c r="I142" i="1"/>
  <c r="H142" i="1"/>
  <c r="BJ141" i="1"/>
  <c r="BH141" i="1"/>
  <c r="BF141" i="1"/>
  <c r="BD141" i="1"/>
  <c r="AW141" i="1"/>
  <c r="AP141" i="1"/>
  <c r="AO141" i="1"/>
  <c r="AL141" i="1"/>
  <c r="AU136" i="1" s="1"/>
  <c r="AK141" i="1"/>
  <c r="AJ141" i="1"/>
  <c r="AH141" i="1"/>
  <c r="AG141" i="1"/>
  <c r="AF141" i="1"/>
  <c r="AD141" i="1"/>
  <c r="AC141" i="1"/>
  <c r="AB141" i="1"/>
  <c r="Z141" i="1"/>
  <c r="J141" i="1"/>
  <c r="I141" i="1"/>
  <c r="H141" i="1"/>
  <c r="BJ140" i="1"/>
  <c r="BI140" i="1"/>
  <c r="BF140" i="1"/>
  <c r="BD140" i="1"/>
  <c r="AX140" i="1"/>
  <c r="AP140" i="1"/>
  <c r="AO140" i="1"/>
  <c r="AL140" i="1"/>
  <c r="AJ140" i="1"/>
  <c r="AH140" i="1"/>
  <c r="AG140" i="1"/>
  <c r="AF140" i="1"/>
  <c r="AE140" i="1"/>
  <c r="AC140" i="1"/>
  <c r="AB140" i="1"/>
  <c r="Z140" i="1"/>
  <c r="J140" i="1"/>
  <c r="AK140" i="1" s="1"/>
  <c r="I140" i="1"/>
  <c r="BJ139" i="1"/>
  <c r="BH139" i="1"/>
  <c r="BF139" i="1"/>
  <c r="BD139" i="1"/>
  <c r="AW139" i="1"/>
  <c r="AP139" i="1"/>
  <c r="AO139" i="1"/>
  <c r="AL139" i="1"/>
  <c r="AJ139" i="1"/>
  <c r="AH139" i="1"/>
  <c r="AG139" i="1"/>
  <c r="AF139" i="1"/>
  <c r="AD139" i="1"/>
  <c r="AC139" i="1"/>
  <c r="AB139" i="1"/>
  <c r="Z139" i="1"/>
  <c r="J139" i="1"/>
  <c r="AK139" i="1" s="1"/>
  <c r="H139" i="1"/>
  <c r="BJ138" i="1"/>
  <c r="BI138" i="1"/>
  <c r="BH138" i="1"/>
  <c r="BF138" i="1"/>
  <c r="BD138" i="1"/>
  <c r="AX138" i="1"/>
  <c r="AV138" i="1"/>
  <c r="AP138" i="1"/>
  <c r="AO138" i="1"/>
  <c r="AW138" i="1" s="1"/>
  <c r="AL138" i="1"/>
  <c r="AJ138" i="1"/>
  <c r="AH138" i="1"/>
  <c r="AG138" i="1"/>
  <c r="AF138" i="1"/>
  <c r="AE138" i="1"/>
  <c r="AD138" i="1"/>
  <c r="AC138" i="1"/>
  <c r="AB138" i="1"/>
  <c r="Z138" i="1"/>
  <c r="J138" i="1"/>
  <c r="AK138" i="1" s="1"/>
  <c r="I138" i="1"/>
  <c r="H138" i="1"/>
  <c r="BJ137" i="1"/>
  <c r="BI137" i="1"/>
  <c r="BF137" i="1"/>
  <c r="BD137" i="1"/>
  <c r="AW137" i="1"/>
  <c r="AP137" i="1"/>
  <c r="AX137" i="1" s="1"/>
  <c r="BC137" i="1" s="1"/>
  <c r="AO137" i="1"/>
  <c r="BH137" i="1" s="1"/>
  <c r="AD137" i="1" s="1"/>
  <c r="AL137" i="1"/>
  <c r="AJ137" i="1"/>
  <c r="AH137" i="1"/>
  <c r="AG137" i="1"/>
  <c r="AF137" i="1"/>
  <c r="AE137" i="1"/>
  <c r="AC137" i="1"/>
  <c r="AB137" i="1"/>
  <c r="Z137" i="1"/>
  <c r="J137" i="1"/>
  <c r="AK137" i="1" s="1"/>
  <c r="I137" i="1"/>
  <c r="H137" i="1"/>
  <c r="BJ135" i="1"/>
  <c r="Z135" i="1" s="1"/>
  <c r="BF135" i="1"/>
  <c r="BD135" i="1"/>
  <c r="AX135" i="1"/>
  <c r="AP135" i="1"/>
  <c r="BI135" i="1" s="1"/>
  <c r="AO135" i="1"/>
  <c r="AL135" i="1"/>
  <c r="AK135" i="1"/>
  <c r="AJ135" i="1"/>
  <c r="AH135" i="1"/>
  <c r="AG135" i="1"/>
  <c r="AF135" i="1"/>
  <c r="AE135" i="1"/>
  <c r="AD135" i="1"/>
  <c r="AC135" i="1"/>
  <c r="AB135" i="1"/>
  <c r="J135" i="1"/>
  <c r="H135" i="1"/>
  <c r="BJ134" i="1"/>
  <c r="BH134" i="1"/>
  <c r="BF134" i="1"/>
  <c r="BD134" i="1"/>
  <c r="AW134" i="1"/>
  <c r="AP134" i="1"/>
  <c r="AO134" i="1"/>
  <c r="H134" i="1" s="1"/>
  <c r="AL134" i="1"/>
  <c r="AJ134" i="1"/>
  <c r="AH134" i="1"/>
  <c r="AG134" i="1"/>
  <c r="AF134" i="1"/>
  <c r="AD134" i="1"/>
  <c r="AC134" i="1"/>
  <c r="AB134" i="1"/>
  <c r="Z134" i="1"/>
  <c r="J134" i="1"/>
  <c r="AK134" i="1" s="1"/>
  <c r="I134" i="1"/>
  <c r="BJ132" i="1"/>
  <c r="BI132" i="1"/>
  <c r="BF132" i="1"/>
  <c r="BD132" i="1"/>
  <c r="AX132" i="1"/>
  <c r="AP132" i="1"/>
  <c r="AO132" i="1"/>
  <c r="AL132" i="1"/>
  <c r="AJ132" i="1"/>
  <c r="AH132" i="1"/>
  <c r="AG132" i="1"/>
  <c r="AF132" i="1"/>
  <c r="AE132" i="1"/>
  <c r="AC132" i="1"/>
  <c r="AB132" i="1"/>
  <c r="Z132" i="1"/>
  <c r="J132" i="1"/>
  <c r="AK132" i="1" s="1"/>
  <c r="I132" i="1"/>
  <c r="BJ131" i="1"/>
  <c r="BH131" i="1"/>
  <c r="BF131" i="1"/>
  <c r="BD131" i="1"/>
  <c r="AW131" i="1"/>
  <c r="AP131" i="1"/>
  <c r="AO131" i="1"/>
  <c r="AL131" i="1"/>
  <c r="AJ131" i="1"/>
  <c r="AH131" i="1"/>
  <c r="AG131" i="1"/>
  <c r="AF131" i="1"/>
  <c r="AD131" i="1"/>
  <c r="AC131" i="1"/>
  <c r="AB131" i="1"/>
  <c r="Z131" i="1"/>
  <c r="J131" i="1"/>
  <c r="AK131" i="1" s="1"/>
  <c r="H131" i="1"/>
  <c r="BJ130" i="1"/>
  <c r="BF130" i="1"/>
  <c r="BD130" i="1"/>
  <c r="AX130" i="1"/>
  <c r="AP130" i="1"/>
  <c r="BI130" i="1" s="1"/>
  <c r="AE130" i="1" s="1"/>
  <c r="AO130" i="1"/>
  <c r="BH130" i="1" s="1"/>
  <c r="AD130" i="1" s="1"/>
  <c r="AL130" i="1"/>
  <c r="AK130" i="1"/>
  <c r="AJ130" i="1"/>
  <c r="AH130" i="1"/>
  <c r="AG130" i="1"/>
  <c r="AF130" i="1"/>
  <c r="AC130" i="1"/>
  <c r="AB130" i="1"/>
  <c r="Z130" i="1"/>
  <c r="J130" i="1"/>
  <c r="I130" i="1"/>
  <c r="H130" i="1"/>
  <c r="BJ129" i="1"/>
  <c r="BI129" i="1"/>
  <c r="BF129" i="1"/>
  <c r="BD129" i="1"/>
  <c r="AX129" i="1"/>
  <c r="AW129" i="1"/>
  <c r="AV129" i="1" s="1"/>
  <c r="AP129" i="1"/>
  <c r="AO129" i="1"/>
  <c r="BH129" i="1" s="1"/>
  <c r="AD129" i="1" s="1"/>
  <c r="AL129" i="1"/>
  <c r="AJ129" i="1"/>
  <c r="AH129" i="1"/>
  <c r="AG129" i="1"/>
  <c r="AF129" i="1"/>
  <c r="AE129" i="1"/>
  <c r="AC129" i="1"/>
  <c r="AB129" i="1"/>
  <c r="Z129" i="1"/>
  <c r="J129" i="1"/>
  <c r="AK129" i="1" s="1"/>
  <c r="I129" i="1"/>
  <c r="H129" i="1"/>
  <c r="BJ128" i="1"/>
  <c r="BF128" i="1"/>
  <c r="BD128" i="1"/>
  <c r="AX128" i="1"/>
  <c r="AP128" i="1"/>
  <c r="BI128" i="1" s="1"/>
  <c r="AE128" i="1" s="1"/>
  <c r="AO128" i="1"/>
  <c r="AW128" i="1" s="1"/>
  <c r="AL128" i="1"/>
  <c r="AJ128" i="1"/>
  <c r="AH128" i="1"/>
  <c r="AG128" i="1"/>
  <c r="AF128" i="1"/>
  <c r="AC128" i="1"/>
  <c r="AB128" i="1"/>
  <c r="Z128" i="1"/>
  <c r="J128" i="1"/>
  <c r="AK128" i="1" s="1"/>
  <c r="I128" i="1"/>
  <c r="H128" i="1"/>
  <c r="BJ127" i="1"/>
  <c r="BF127" i="1"/>
  <c r="BD127" i="1"/>
  <c r="BC127" i="1"/>
  <c r="AP127" i="1"/>
  <c r="AX127" i="1" s="1"/>
  <c r="AO127" i="1"/>
  <c r="AW127" i="1" s="1"/>
  <c r="AL127" i="1"/>
  <c r="AJ127" i="1"/>
  <c r="AH127" i="1"/>
  <c r="AG127" i="1"/>
  <c r="AF127" i="1"/>
  <c r="AC127" i="1"/>
  <c r="AB127" i="1"/>
  <c r="Z127" i="1"/>
  <c r="J127" i="1"/>
  <c r="AK127" i="1" s="1"/>
  <c r="H127" i="1"/>
  <c r="BJ126" i="1"/>
  <c r="BH126" i="1"/>
  <c r="AD126" i="1" s="1"/>
  <c r="BF126" i="1"/>
  <c r="BD126" i="1"/>
  <c r="AW126" i="1"/>
  <c r="AP126" i="1"/>
  <c r="AX126" i="1" s="1"/>
  <c r="AO126" i="1"/>
  <c r="AL126" i="1"/>
  <c r="AJ126" i="1"/>
  <c r="AH126" i="1"/>
  <c r="AG126" i="1"/>
  <c r="AF126" i="1"/>
  <c r="AC126" i="1"/>
  <c r="AB126" i="1"/>
  <c r="Z126" i="1"/>
  <c r="J126" i="1"/>
  <c r="AK126" i="1" s="1"/>
  <c r="I126" i="1"/>
  <c r="H126" i="1"/>
  <c r="BJ125" i="1"/>
  <c r="BI125" i="1"/>
  <c r="AE125" i="1" s="1"/>
  <c r="BF125" i="1"/>
  <c r="BD125" i="1"/>
  <c r="AP125" i="1"/>
  <c r="AX125" i="1" s="1"/>
  <c r="AO125" i="1"/>
  <c r="AW125" i="1" s="1"/>
  <c r="AL125" i="1"/>
  <c r="AJ125" i="1"/>
  <c r="AH125" i="1"/>
  <c r="AG125" i="1"/>
  <c r="AF125" i="1"/>
  <c r="AC125" i="1"/>
  <c r="AB125" i="1"/>
  <c r="Z125" i="1"/>
  <c r="J125" i="1"/>
  <c r="AK125" i="1" s="1"/>
  <c r="H125" i="1"/>
  <c r="BJ124" i="1"/>
  <c r="BI124" i="1"/>
  <c r="BH124" i="1"/>
  <c r="AD124" i="1" s="1"/>
  <c r="BF124" i="1"/>
  <c r="BD124" i="1"/>
  <c r="BC124" i="1"/>
  <c r="AX124" i="1"/>
  <c r="AW124" i="1"/>
  <c r="AV124" i="1" s="1"/>
  <c r="AP124" i="1"/>
  <c r="AO124" i="1"/>
  <c r="AL124" i="1"/>
  <c r="AK124" i="1"/>
  <c r="AJ124" i="1"/>
  <c r="AH124" i="1"/>
  <c r="AG124" i="1"/>
  <c r="AF124" i="1"/>
  <c r="AE124" i="1"/>
  <c r="AC124" i="1"/>
  <c r="AB124" i="1"/>
  <c r="Z124" i="1"/>
  <c r="J124" i="1"/>
  <c r="I124" i="1"/>
  <c r="H124" i="1"/>
  <c r="BJ123" i="1"/>
  <c r="BI123" i="1"/>
  <c r="AE123" i="1" s="1"/>
  <c r="BF123" i="1"/>
  <c r="BD123" i="1"/>
  <c r="AP123" i="1"/>
  <c r="AX123" i="1" s="1"/>
  <c r="AO123" i="1"/>
  <c r="BH123" i="1" s="1"/>
  <c r="AD123" i="1" s="1"/>
  <c r="AL123" i="1"/>
  <c r="AJ123" i="1"/>
  <c r="AH123" i="1"/>
  <c r="AG123" i="1"/>
  <c r="AF123" i="1"/>
  <c r="AC123" i="1"/>
  <c r="AB123" i="1"/>
  <c r="Z123" i="1"/>
  <c r="J123" i="1"/>
  <c r="AK123" i="1" s="1"/>
  <c r="I123" i="1"/>
  <c r="H123" i="1"/>
  <c r="BJ122" i="1"/>
  <c r="BF122" i="1"/>
  <c r="BD122" i="1"/>
  <c r="AP122" i="1"/>
  <c r="BI122" i="1" s="1"/>
  <c r="AE122" i="1" s="1"/>
  <c r="AO122" i="1"/>
  <c r="AL122" i="1"/>
  <c r="AJ122" i="1"/>
  <c r="AH122" i="1"/>
  <c r="AG122" i="1"/>
  <c r="AF122" i="1"/>
  <c r="AC122" i="1"/>
  <c r="AB122" i="1"/>
  <c r="Z122" i="1"/>
  <c r="J122" i="1"/>
  <c r="AK122" i="1" s="1"/>
  <c r="I122" i="1"/>
  <c r="H122" i="1"/>
  <c r="BJ121" i="1"/>
  <c r="BF121" i="1"/>
  <c r="BD121" i="1"/>
  <c r="AP121" i="1"/>
  <c r="AO121" i="1"/>
  <c r="BH121" i="1" s="1"/>
  <c r="AD121" i="1" s="1"/>
  <c r="AL121" i="1"/>
  <c r="AJ121" i="1"/>
  <c r="AH121" i="1"/>
  <c r="AG121" i="1"/>
  <c r="AF121" i="1"/>
  <c r="AC121" i="1"/>
  <c r="AB121" i="1"/>
  <c r="Z121" i="1"/>
  <c r="J121" i="1"/>
  <c r="AK121" i="1" s="1"/>
  <c r="H121" i="1"/>
  <c r="BJ120" i="1"/>
  <c r="BF120" i="1"/>
  <c r="BD120" i="1"/>
  <c r="AP120" i="1"/>
  <c r="BI120" i="1" s="1"/>
  <c r="AE120" i="1" s="1"/>
  <c r="AO120" i="1"/>
  <c r="AL120" i="1"/>
  <c r="AJ120" i="1"/>
  <c r="AH120" i="1"/>
  <c r="AG120" i="1"/>
  <c r="AF120" i="1"/>
  <c r="AC120" i="1"/>
  <c r="AB120" i="1"/>
  <c r="Z120" i="1"/>
  <c r="J120" i="1"/>
  <c r="AK120" i="1" s="1"/>
  <c r="I120" i="1"/>
  <c r="BJ119" i="1"/>
  <c r="BH119" i="1"/>
  <c r="BF119" i="1"/>
  <c r="BD119" i="1"/>
  <c r="AW119" i="1"/>
  <c r="AP119" i="1"/>
  <c r="AO119" i="1"/>
  <c r="AL119" i="1"/>
  <c r="AJ119" i="1"/>
  <c r="AH119" i="1"/>
  <c r="AG119" i="1"/>
  <c r="AF119" i="1"/>
  <c r="AD119" i="1"/>
  <c r="AC119" i="1"/>
  <c r="AB119" i="1"/>
  <c r="Z119" i="1"/>
  <c r="J119" i="1"/>
  <c r="AK119" i="1" s="1"/>
  <c r="H119" i="1"/>
  <c r="BJ118" i="1"/>
  <c r="BH118" i="1"/>
  <c r="BF118" i="1"/>
  <c r="BD118" i="1"/>
  <c r="AX118" i="1"/>
  <c r="AP118" i="1"/>
  <c r="BI118" i="1" s="1"/>
  <c r="AE118" i="1" s="1"/>
  <c r="AO118" i="1"/>
  <c r="AW118" i="1" s="1"/>
  <c r="BC118" i="1" s="1"/>
  <c r="AL118" i="1"/>
  <c r="AJ118" i="1"/>
  <c r="AH118" i="1"/>
  <c r="AG118" i="1"/>
  <c r="AF118" i="1"/>
  <c r="AD118" i="1"/>
  <c r="AC118" i="1"/>
  <c r="AB118" i="1"/>
  <c r="Z118" i="1"/>
  <c r="J118" i="1"/>
  <c r="AK118" i="1" s="1"/>
  <c r="I118" i="1"/>
  <c r="H118" i="1"/>
  <c r="BJ117" i="1"/>
  <c r="BF117" i="1"/>
  <c r="BD117" i="1"/>
  <c r="AW117" i="1"/>
  <c r="AP117" i="1"/>
  <c r="BI117" i="1" s="1"/>
  <c r="AE117" i="1" s="1"/>
  <c r="AO117" i="1"/>
  <c r="BH117" i="1" s="1"/>
  <c r="AD117" i="1" s="1"/>
  <c r="AL117" i="1"/>
  <c r="AJ117" i="1"/>
  <c r="AH117" i="1"/>
  <c r="AG117" i="1"/>
  <c r="AF117" i="1"/>
  <c r="AC117" i="1"/>
  <c r="AB117" i="1"/>
  <c r="Z117" i="1"/>
  <c r="J117" i="1"/>
  <c r="AK117" i="1" s="1"/>
  <c r="I117" i="1"/>
  <c r="H117" i="1"/>
  <c r="BJ116" i="1"/>
  <c r="BF116" i="1"/>
  <c r="BD116" i="1"/>
  <c r="AX116" i="1"/>
  <c r="AP116" i="1"/>
  <c r="BI116" i="1" s="1"/>
  <c r="AE116" i="1" s="1"/>
  <c r="AO116" i="1"/>
  <c r="AW116" i="1" s="1"/>
  <c r="AL116" i="1"/>
  <c r="AJ116" i="1"/>
  <c r="AH116" i="1"/>
  <c r="AG116" i="1"/>
  <c r="AF116" i="1"/>
  <c r="AC116" i="1"/>
  <c r="AB116" i="1"/>
  <c r="Z116" i="1"/>
  <c r="J116" i="1"/>
  <c r="AK116" i="1" s="1"/>
  <c r="I116" i="1"/>
  <c r="H116" i="1"/>
  <c r="BJ115" i="1"/>
  <c r="BF115" i="1"/>
  <c r="BD115" i="1"/>
  <c r="AW115" i="1"/>
  <c r="AV115" i="1" s="1"/>
  <c r="AP115" i="1"/>
  <c r="AX115" i="1" s="1"/>
  <c r="BC115" i="1" s="1"/>
  <c r="AO115" i="1"/>
  <c r="BH115" i="1" s="1"/>
  <c r="AD115" i="1" s="1"/>
  <c r="AL115" i="1"/>
  <c r="AJ115" i="1"/>
  <c r="AH115" i="1"/>
  <c r="AG115" i="1"/>
  <c r="AF115" i="1"/>
  <c r="AC115" i="1"/>
  <c r="AB115" i="1"/>
  <c r="Z115" i="1"/>
  <c r="J115" i="1"/>
  <c r="AK115" i="1" s="1"/>
  <c r="I115" i="1"/>
  <c r="H115" i="1"/>
  <c r="BJ114" i="1"/>
  <c r="BH114" i="1"/>
  <c r="AD114" i="1" s="1"/>
  <c r="BF114" i="1"/>
  <c r="BD114" i="1"/>
  <c r="AX114" i="1"/>
  <c r="AP114" i="1"/>
  <c r="BI114" i="1" s="1"/>
  <c r="AE114" i="1" s="1"/>
  <c r="AO114" i="1"/>
  <c r="AW114" i="1" s="1"/>
  <c r="AL114" i="1"/>
  <c r="AJ114" i="1"/>
  <c r="AH114" i="1"/>
  <c r="AG114" i="1"/>
  <c r="AF114" i="1"/>
  <c r="AC114" i="1"/>
  <c r="AB114" i="1"/>
  <c r="Z114" i="1"/>
  <c r="J114" i="1"/>
  <c r="AK114" i="1" s="1"/>
  <c r="I114" i="1"/>
  <c r="H114" i="1"/>
  <c r="BJ113" i="1"/>
  <c r="BI113" i="1"/>
  <c r="AE113" i="1" s="1"/>
  <c r="BF113" i="1"/>
  <c r="BD113" i="1"/>
  <c r="AP113" i="1"/>
  <c r="AX113" i="1" s="1"/>
  <c r="AO113" i="1"/>
  <c r="AW113" i="1" s="1"/>
  <c r="AL113" i="1"/>
  <c r="AJ113" i="1"/>
  <c r="AH113" i="1"/>
  <c r="AG113" i="1"/>
  <c r="AF113" i="1"/>
  <c r="AC113" i="1"/>
  <c r="AB113" i="1"/>
  <c r="Z113" i="1"/>
  <c r="J113" i="1"/>
  <c r="AK113" i="1" s="1"/>
  <c r="I113" i="1"/>
  <c r="H113" i="1"/>
  <c r="BJ112" i="1"/>
  <c r="BH112" i="1"/>
  <c r="AD112" i="1" s="1"/>
  <c r="BF112" i="1"/>
  <c r="BD112" i="1"/>
  <c r="AP112" i="1"/>
  <c r="AX112" i="1" s="1"/>
  <c r="AO112" i="1"/>
  <c r="AW112" i="1" s="1"/>
  <c r="AL112" i="1"/>
  <c r="AK112" i="1"/>
  <c r="AJ112" i="1"/>
  <c r="AH112" i="1"/>
  <c r="AG112" i="1"/>
  <c r="AF112" i="1"/>
  <c r="AC112" i="1"/>
  <c r="AB112" i="1"/>
  <c r="Z112" i="1"/>
  <c r="J112" i="1"/>
  <c r="I112" i="1"/>
  <c r="H112" i="1"/>
  <c r="BJ111" i="1"/>
  <c r="BI111" i="1"/>
  <c r="AE111" i="1" s="1"/>
  <c r="BF111" i="1"/>
  <c r="BD111" i="1"/>
  <c r="AW111" i="1"/>
  <c r="BC111" i="1" s="1"/>
  <c r="AP111" i="1"/>
  <c r="AX111" i="1" s="1"/>
  <c r="AO111" i="1"/>
  <c r="BH111" i="1" s="1"/>
  <c r="AD111" i="1" s="1"/>
  <c r="AL111" i="1"/>
  <c r="AJ111" i="1"/>
  <c r="AH111" i="1"/>
  <c r="AG111" i="1"/>
  <c r="AF111" i="1"/>
  <c r="AC111" i="1"/>
  <c r="AB111" i="1"/>
  <c r="Z111" i="1"/>
  <c r="J111" i="1"/>
  <c r="AK111" i="1" s="1"/>
  <c r="I111" i="1"/>
  <c r="H111" i="1"/>
  <c r="BJ110" i="1"/>
  <c r="BF110" i="1"/>
  <c r="BD110" i="1"/>
  <c r="AX110" i="1"/>
  <c r="AP110" i="1"/>
  <c r="BI110" i="1" s="1"/>
  <c r="AE110" i="1" s="1"/>
  <c r="AO110" i="1"/>
  <c r="AL110" i="1"/>
  <c r="AJ110" i="1"/>
  <c r="AH110" i="1"/>
  <c r="AG110" i="1"/>
  <c r="AF110" i="1"/>
  <c r="AC110" i="1"/>
  <c r="AB110" i="1"/>
  <c r="Z110" i="1"/>
  <c r="J110" i="1"/>
  <c r="AK110" i="1" s="1"/>
  <c r="I110" i="1"/>
  <c r="H110" i="1"/>
  <c r="BJ108" i="1"/>
  <c r="BH108" i="1"/>
  <c r="BF108" i="1"/>
  <c r="BD108" i="1"/>
  <c r="AW108" i="1"/>
  <c r="AP108" i="1"/>
  <c r="AO108" i="1"/>
  <c r="AL108" i="1"/>
  <c r="AJ108" i="1"/>
  <c r="AH108" i="1"/>
  <c r="AG108" i="1"/>
  <c r="AF108" i="1"/>
  <c r="AD108" i="1"/>
  <c r="AC108" i="1"/>
  <c r="AB108" i="1"/>
  <c r="Z108" i="1"/>
  <c r="J108" i="1"/>
  <c r="AK108" i="1" s="1"/>
  <c r="I108" i="1"/>
  <c r="H108" i="1"/>
  <c r="BJ107" i="1"/>
  <c r="BI107" i="1"/>
  <c r="BF107" i="1"/>
  <c r="BD107" i="1"/>
  <c r="AX107" i="1"/>
  <c r="AP107" i="1"/>
  <c r="AO107" i="1"/>
  <c r="AL107" i="1"/>
  <c r="AJ107" i="1"/>
  <c r="AH107" i="1"/>
  <c r="AG107" i="1"/>
  <c r="AF107" i="1"/>
  <c r="AE107" i="1"/>
  <c r="AC107" i="1"/>
  <c r="AB107" i="1"/>
  <c r="Z107" i="1"/>
  <c r="J107" i="1"/>
  <c r="I107" i="1"/>
  <c r="BJ106" i="1"/>
  <c r="BH106" i="1"/>
  <c r="BF106" i="1"/>
  <c r="BD106" i="1"/>
  <c r="AW106" i="1"/>
  <c r="AP106" i="1"/>
  <c r="AO106" i="1"/>
  <c r="AL106" i="1"/>
  <c r="AK106" i="1"/>
  <c r="AJ106" i="1"/>
  <c r="AH106" i="1"/>
  <c r="AG106" i="1"/>
  <c r="AF106" i="1"/>
  <c r="AD106" i="1"/>
  <c r="AC106" i="1"/>
  <c r="AB106" i="1"/>
  <c r="Z106" i="1"/>
  <c r="J106" i="1"/>
  <c r="H106" i="1"/>
  <c r="BJ105" i="1"/>
  <c r="BI105" i="1"/>
  <c r="BH105" i="1"/>
  <c r="BF105" i="1"/>
  <c r="BD105" i="1"/>
  <c r="AX105" i="1"/>
  <c r="AP105" i="1"/>
  <c r="AO105" i="1"/>
  <c r="AW105" i="1" s="1"/>
  <c r="BC105" i="1" s="1"/>
  <c r="AL105" i="1"/>
  <c r="AJ105" i="1"/>
  <c r="AH105" i="1"/>
  <c r="AG105" i="1"/>
  <c r="AF105" i="1"/>
  <c r="AE105" i="1"/>
  <c r="AD105" i="1"/>
  <c r="AC105" i="1"/>
  <c r="AB105" i="1"/>
  <c r="Z105" i="1"/>
  <c r="J105" i="1"/>
  <c r="AK105" i="1" s="1"/>
  <c r="I105" i="1"/>
  <c r="H105" i="1"/>
  <c r="BJ104" i="1"/>
  <c r="BI104" i="1"/>
  <c r="BF104" i="1"/>
  <c r="BD104" i="1"/>
  <c r="AW104" i="1"/>
  <c r="AV104" i="1" s="1"/>
  <c r="AP104" i="1"/>
  <c r="AX104" i="1" s="1"/>
  <c r="AO104" i="1"/>
  <c r="BH104" i="1" s="1"/>
  <c r="AD104" i="1" s="1"/>
  <c r="AL104" i="1"/>
  <c r="AK104" i="1"/>
  <c r="AJ104" i="1"/>
  <c r="AH104" i="1"/>
  <c r="AG104" i="1"/>
  <c r="AF104" i="1"/>
  <c r="AE104" i="1"/>
  <c r="AC104" i="1"/>
  <c r="AB104" i="1"/>
  <c r="Z104" i="1"/>
  <c r="J104" i="1"/>
  <c r="I104" i="1"/>
  <c r="H104" i="1"/>
  <c r="BJ102" i="1"/>
  <c r="Z102" i="1" s="1"/>
  <c r="BF102" i="1"/>
  <c r="BD102" i="1"/>
  <c r="AX102" i="1"/>
  <c r="AP102" i="1"/>
  <c r="BI102" i="1" s="1"/>
  <c r="AO102" i="1"/>
  <c r="AL102" i="1"/>
  <c r="AK102" i="1"/>
  <c r="AJ102" i="1"/>
  <c r="AH102" i="1"/>
  <c r="AG102" i="1"/>
  <c r="AF102" i="1"/>
  <c r="AE102" i="1"/>
  <c r="AD102" i="1"/>
  <c r="AC102" i="1"/>
  <c r="AB102" i="1"/>
  <c r="J102" i="1"/>
  <c r="I102" i="1"/>
  <c r="BJ101" i="1"/>
  <c r="BF101" i="1"/>
  <c r="BD101" i="1"/>
  <c r="AW101" i="1"/>
  <c r="AP101" i="1"/>
  <c r="AO101" i="1"/>
  <c r="H101" i="1" s="1"/>
  <c r="AL101" i="1"/>
  <c r="AU96" i="1" s="1"/>
  <c r="AJ101" i="1"/>
  <c r="AH101" i="1"/>
  <c r="AG101" i="1"/>
  <c r="AF101" i="1"/>
  <c r="AC101" i="1"/>
  <c r="AB101" i="1"/>
  <c r="Z101" i="1"/>
  <c r="J101" i="1"/>
  <c r="AK101" i="1" s="1"/>
  <c r="BJ100" i="1"/>
  <c r="BF100" i="1"/>
  <c r="BD100" i="1"/>
  <c r="AX100" i="1"/>
  <c r="AP100" i="1"/>
  <c r="I100" i="1" s="1"/>
  <c r="AO100" i="1"/>
  <c r="AL100" i="1"/>
  <c r="AJ100" i="1"/>
  <c r="AH100" i="1"/>
  <c r="AG100" i="1"/>
  <c r="AF100" i="1"/>
  <c r="AC100" i="1"/>
  <c r="AB100" i="1"/>
  <c r="Z100" i="1"/>
  <c r="J100" i="1"/>
  <c r="BJ99" i="1"/>
  <c r="BH99" i="1"/>
  <c r="AD99" i="1" s="1"/>
  <c r="BF99" i="1"/>
  <c r="BD99" i="1"/>
  <c r="AW99" i="1"/>
  <c r="AP99" i="1"/>
  <c r="AO99" i="1"/>
  <c r="AL99" i="1"/>
  <c r="AK99" i="1"/>
  <c r="AJ99" i="1"/>
  <c r="AH99" i="1"/>
  <c r="AG99" i="1"/>
  <c r="AF99" i="1"/>
  <c r="AC99" i="1"/>
  <c r="AB99" i="1"/>
  <c r="Z99" i="1"/>
  <c r="J99" i="1"/>
  <c r="H99" i="1"/>
  <c r="BJ98" i="1"/>
  <c r="BI98" i="1"/>
  <c r="BH98" i="1"/>
  <c r="BF98" i="1"/>
  <c r="BD98" i="1"/>
  <c r="AX98" i="1"/>
  <c r="AP98" i="1"/>
  <c r="AO98" i="1"/>
  <c r="AW98" i="1" s="1"/>
  <c r="BC98" i="1" s="1"/>
  <c r="AL98" i="1"/>
  <c r="AK98" i="1"/>
  <c r="AJ98" i="1"/>
  <c r="AH98" i="1"/>
  <c r="AG98" i="1"/>
  <c r="AF98" i="1"/>
  <c r="AE98" i="1"/>
  <c r="AD98" i="1"/>
  <c r="AC98" i="1"/>
  <c r="AB98" i="1"/>
  <c r="Z98" i="1"/>
  <c r="J98" i="1"/>
  <c r="I98" i="1"/>
  <c r="H98" i="1"/>
  <c r="BJ97" i="1"/>
  <c r="BI97" i="1"/>
  <c r="BH97" i="1"/>
  <c r="AD97" i="1" s="1"/>
  <c r="BF97" i="1"/>
  <c r="BD97" i="1"/>
  <c r="AW97" i="1"/>
  <c r="AP97" i="1"/>
  <c r="AX97" i="1" s="1"/>
  <c r="BC97" i="1" s="1"/>
  <c r="AO97" i="1"/>
  <c r="AL97" i="1"/>
  <c r="AK97" i="1"/>
  <c r="AJ97" i="1"/>
  <c r="AH97" i="1"/>
  <c r="AG97" i="1"/>
  <c r="AF97" i="1"/>
  <c r="AE97" i="1"/>
  <c r="AC97" i="1"/>
  <c r="AB97" i="1"/>
  <c r="Z97" i="1"/>
  <c r="J97" i="1"/>
  <c r="I97" i="1"/>
  <c r="H97" i="1"/>
  <c r="AS96" i="1"/>
  <c r="BJ95" i="1"/>
  <c r="Z95" i="1" s="1"/>
  <c r="BF95" i="1"/>
  <c r="BD95" i="1"/>
  <c r="AX95" i="1"/>
  <c r="AP95" i="1"/>
  <c r="BI95" i="1" s="1"/>
  <c r="AO95" i="1"/>
  <c r="AL95" i="1"/>
  <c r="AK95" i="1"/>
  <c r="AJ95" i="1"/>
  <c r="AH95" i="1"/>
  <c r="AG95" i="1"/>
  <c r="AF95" i="1"/>
  <c r="AE95" i="1"/>
  <c r="AD95" i="1"/>
  <c r="AC95" i="1"/>
  <c r="AB95" i="1"/>
  <c r="J95" i="1"/>
  <c r="H95" i="1"/>
  <c r="BJ94" i="1"/>
  <c r="BF94" i="1"/>
  <c r="BD94" i="1"/>
  <c r="AW94" i="1"/>
  <c r="AP94" i="1"/>
  <c r="AO94" i="1"/>
  <c r="H94" i="1" s="1"/>
  <c r="AL94" i="1"/>
  <c r="AJ94" i="1"/>
  <c r="AH94" i="1"/>
  <c r="AG94" i="1"/>
  <c r="AF94" i="1"/>
  <c r="AC94" i="1"/>
  <c r="AB94" i="1"/>
  <c r="Z94" i="1"/>
  <c r="J94" i="1"/>
  <c r="AK94" i="1" s="1"/>
  <c r="I94" i="1"/>
  <c r="BJ93" i="1"/>
  <c r="BF93" i="1"/>
  <c r="BD93" i="1"/>
  <c r="AX93" i="1"/>
  <c r="AP93" i="1"/>
  <c r="I93" i="1" s="1"/>
  <c r="AO93" i="1"/>
  <c r="AL93" i="1"/>
  <c r="AJ93" i="1"/>
  <c r="AH93" i="1"/>
  <c r="AG93" i="1"/>
  <c r="AF93" i="1"/>
  <c r="AC93" i="1"/>
  <c r="AB93" i="1"/>
  <c r="Z93" i="1"/>
  <c r="J93" i="1"/>
  <c r="AK93" i="1" s="1"/>
  <c r="BJ92" i="1"/>
  <c r="BH92" i="1"/>
  <c r="BF92" i="1"/>
  <c r="BD92" i="1"/>
  <c r="AW92" i="1"/>
  <c r="AP92" i="1"/>
  <c r="AO92" i="1"/>
  <c r="AL92" i="1"/>
  <c r="AK92" i="1"/>
  <c r="AJ92" i="1"/>
  <c r="AH92" i="1"/>
  <c r="AG92" i="1"/>
  <c r="AF92" i="1"/>
  <c r="AD92" i="1"/>
  <c r="AC92" i="1"/>
  <c r="AB92" i="1"/>
  <c r="Z92" i="1"/>
  <c r="J92" i="1"/>
  <c r="H92" i="1"/>
  <c r="BJ91" i="1"/>
  <c r="BI91" i="1"/>
  <c r="BH91" i="1"/>
  <c r="BF91" i="1"/>
  <c r="BD91" i="1"/>
  <c r="AX91" i="1"/>
  <c r="AV91" i="1"/>
  <c r="AP91" i="1"/>
  <c r="AO91" i="1"/>
  <c r="AW91" i="1" s="1"/>
  <c r="BC91" i="1" s="1"/>
  <c r="AL91" i="1"/>
  <c r="AK91" i="1"/>
  <c r="AJ91" i="1"/>
  <c r="AH91" i="1"/>
  <c r="AG91" i="1"/>
  <c r="AF91" i="1"/>
  <c r="AE91" i="1"/>
  <c r="AD91" i="1"/>
  <c r="AC91" i="1"/>
  <c r="AB91" i="1"/>
  <c r="Z91" i="1"/>
  <c r="J91" i="1"/>
  <c r="I91" i="1"/>
  <c r="H91" i="1"/>
  <c r="BJ90" i="1"/>
  <c r="BI90" i="1"/>
  <c r="BH90" i="1"/>
  <c r="AD90" i="1" s="1"/>
  <c r="BF90" i="1"/>
  <c r="BD90" i="1"/>
  <c r="AW90" i="1"/>
  <c r="AP90" i="1"/>
  <c r="AX90" i="1" s="1"/>
  <c r="AO90" i="1"/>
  <c r="AL90" i="1"/>
  <c r="AK90" i="1"/>
  <c r="AJ90" i="1"/>
  <c r="AH90" i="1"/>
  <c r="AG90" i="1"/>
  <c r="AF90" i="1"/>
  <c r="AE90" i="1"/>
  <c r="AC90" i="1"/>
  <c r="AB90" i="1"/>
  <c r="Z90" i="1"/>
  <c r="J90" i="1"/>
  <c r="I90" i="1"/>
  <c r="H90" i="1"/>
  <c r="BJ89" i="1"/>
  <c r="BI89" i="1"/>
  <c r="AE89" i="1" s="1"/>
  <c r="BH89" i="1"/>
  <c r="BF89" i="1"/>
  <c r="BD89" i="1"/>
  <c r="AX89" i="1"/>
  <c r="AP89" i="1"/>
  <c r="AO89" i="1"/>
  <c r="AW89" i="1" s="1"/>
  <c r="AL89" i="1"/>
  <c r="AK89" i="1"/>
  <c r="AJ89" i="1"/>
  <c r="AH89" i="1"/>
  <c r="AG89" i="1"/>
  <c r="AF89" i="1"/>
  <c r="AD89" i="1"/>
  <c r="AC89" i="1"/>
  <c r="AB89" i="1"/>
  <c r="Z89" i="1"/>
  <c r="J89" i="1"/>
  <c r="I89" i="1"/>
  <c r="H89" i="1"/>
  <c r="BJ88" i="1"/>
  <c r="BI88" i="1"/>
  <c r="BF88" i="1"/>
  <c r="BD88" i="1"/>
  <c r="AP88" i="1"/>
  <c r="AX88" i="1" s="1"/>
  <c r="AO88" i="1"/>
  <c r="AW88" i="1" s="1"/>
  <c r="AV88" i="1" s="1"/>
  <c r="AL88" i="1"/>
  <c r="AK88" i="1"/>
  <c r="AJ88" i="1"/>
  <c r="AH88" i="1"/>
  <c r="AG88" i="1"/>
  <c r="AF88" i="1"/>
  <c r="AE88" i="1"/>
  <c r="AC88" i="1"/>
  <c r="AB88" i="1"/>
  <c r="Z88" i="1"/>
  <c r="J88" i="1"/>
  <c r="I88" i="1"/>
  <c r="H88" i="1"/>
  <c r="BJ87" i="1"/>
  <c r="BF87" i="1"/>
  <c r="BD87" i="1"/>
  <c r="AP87" i="1"/>
  <c r="AX87" i="1" s="1"/>
  <c r="AO87" i="1"/>
  <c r="AW87" i="1" s="1"/>
  <c r="AL87" i="1"/>
  <c r="AJ87" i="1"/>
  <c r="AH87" i="1"/>
  <c r="AG87" i="1"/>
  <c r="AF87" i="1"/>
  <c r="AC87" i="1"/>
  <c r="AB87" i="1"/>
  <c r="Z87" i="1"/>
  <c r="J87" i="1"/>
  <c r="AK87" i="1" s="1"/>
  <c r="I87" i="1"/>
  <c r="H87" i="1"/>
  <c r="BJ86" i="1"/>
  <c r="BF86" i="1"/>
  <c r="BD86" i="1"/>
  <c r="AP86" i="1"/>
  <c r="AX86" i="1" s="1"/>
  <c r="AO86" i="1"/>
  <c r="AL86" i="1"/>
  <c r="AJ86" i="1"/>
  <c r="AH86" i="1"/>
  <c r="AG86" i="1"/>
  <c r="AF86" i="1"/>
  <c r="AC86" i="1"/>
  <c r="AB86" i="1"/>
  <c r="Z86" i="1"/>
  <c r="J86" i="1"/>
  <c r="AK86" i="1" s="1"/>
  <c r="H86" i="1"/>
  <c r="BJ84" i="1"/>
  <c r="BF84" i="1"/>
  <c r="BD84" i="1"/>
  <c r="AW84" i="1"/>
  <c r="AP84" i="1"/>
  <c r="AO84" i="1"/>
  <c r="BH84" i="1" s="1"/>
  <c r="AD84" i="1" s="1"/>
  <c r="AL84" i="1"/>
  <c r="AJ84" i="1"/>
  <c r="AH84" i="1"/>
  <c r="AG84" i="1"/>
  <c r="AF84" i="1"/>
  <c r="AC84" i="1"/>
  <c r="AB84" i="1"/>
  <c r="Z84" i="1"/>
  <c r="J84" i="1"/>
  <c r="AK84" i="1" s="1"/>
  <c r="I84" i="1"/>
  <c r="H84" i="1"/>
  <c r="BJ82" i="1"/>
  <c r="BH82" i="1"/>
  <c r="AD82" i="1" s="1"/>
  <c r="BF82" i="1"/>
  <c r="BD82" i="1"/>
  <c r="AP82" i="1"/>
  <c r="AX82" i="1" s="1"/>
  <c r="AO82" i="1"/>
  <c r="AW82" i="1" s="1"/>
  <c r="AL82" i="1"/>
  <c r="AK82" i="1"/>
  <c r="AJ82" i="1"/>
  <c r="AH82" i="1"/>
  <c r="AG82" i="1"/>
  <c r="AF82" i="1"/>
  <c r="AC82" i="1"/>
  <c r="AB82" i="1"/>
  <c r="Z82" i="1"/>
  <c r="J82" i="1"/>
  <c r="H82" i="1"/>
  <c r="BJ80" i="1"/>
  <c r="BI80" i="1"/>
  <c r="AE80" i="1" s="1"/>
  <c r="BH80" i="1"/>
  <c r="AD80" i="1" s="1"/>
  <c r="BF80" i="1"/>
  <c r="BD80" i="1"/>
  <c r="AW80" i="1"/>
  <c r="BC80" i="1" s="1"/>
  <c r="AP80" i="1"/>
  <c r="AX80" i="1" s="1"/>
  <c r="AO80" i="1"/>
  <c r="AL80" i="1"/>
  <c r="AK80" i="1"/>
  <c r="AJ80" i="1"/>
  <c r="AH80" i="1"/>
  <c r="AG80" i="1"/>
  <c r="AF80" i="1"/>
  <c r="AC80" i="1"/>
  <c r="AB80" i="1"/>
  <c r="Z80" i="1"/>
  <c r="J80" i="1"/>
  <c r="I80" i="1"/>
  <c r="H80" i="1"/>
  <c r="BJ79" i="1"/>
  <c r="BI79" i="1"/>
  <c r="AE79" i="1" s="1"/>
  <c r="BF79" i="1"/>
  <c r="BD79" i="1"/>
  <c r="AX79" i="1"/>
  <c r="AP79" i="1"/>
  <c r="AO79" i="1"/>
  <c r="BH79" i="1" s="1"/>
  <c r="AD79" i="1" s="1"/>
  <c r="AL79" i="1"/>
  <c r="AK79" i="1"/>
  <c r="AJ79" i="1"/>
  <c r="AH79" i="1"/>
  <c r="AG79" i="1"/>
  <c r="AF79" i="1"/>
  <c r="AC79" i="1"/>
  <c r="AB79" i="1"/>
  <c r="Z79" i="1"/>
  <c r="J79" i="1"/>
  <c r="I79" i="1"/>
  <c r="H79" i="1"/>
  <c r="BJ78" i="1"/>
  <c r="BF78" i="1"/>
  <c r="BD78" i="1"/>
  <c r="AW78" i="1"/>
  <c r="AP78" i="1"/>
  <c r="BI78" i="1" s="1"/>
  <c r="AE78" i="1" s="1"/>
  <c r="AO78" i="1"/>
  <c r="BH78" i="1" s="1"/>
  <c r="AD78" i="1" s="1"/>
  <c r="AL78" i="1"/>
  <c r="AU73" i="1" s="1"/>
  <c r="AK78" i="1"/>
  <c r="AJ78" i="1"/>
  <c r="AH78" i="1"/>
  <c r="AG78" i="1"/>
  <c r="AF78" i="1"/>
  <c r="AC78" i="1"/>
  <c r="AB78" i="1"/>
  <c r="Z78" i="1"/>
  <c r="J78" i="1"/>
  <c r="I78" i="1"/>
  <c r="H78" i="1"/>
  <c r="BJ77" i="1"/>
  <c r="BF77" i="1"/>
  <c r="BD77" i="1"/>
  <c r="AX77" i="1"/>
  <c r="AP77" i="1"/>
  <c r="BI77" i="1" s="1"/>
  <c r="AE77" i="1" s="1"/>
  <c r="AO77" i="1"/>
  <c r="H77" i="1" s="1"/>
  <c r="AL77" i="1"/>
  <c r="AJ77" i="1"/>
  <c r="AH77" i="1"/>
  <c r="AG77" i="1"/>
  <c r="AF77" i="1"/>
  <c r="AC77" i="1"/>
  <c r="AB77" i="1"/>
  <c r="Z77" i="1"/>
  <c r="J77" i="1"/>
  <c r="AK77" i="1" s="1"/>
  <c r="I77" i="1"/>
  <c r="BJ76" i="1"/>
  <c r="BF76" i="1"/>
  <c r="BD76" i="1"/>
  <c r="AW76" i="1"/>
  <c r="AP76" i="1"/>
  <c r="I76" i="1" s="1"/>
  <c r="AO76" i="1"/>
  <c r="H76" i="1" s="1"/>
  <c r="AL76" i="1"/>
  <c r="AJ76" i="1"/>
  <c r="AH76" i="1"/>
  <c r="AG76" i="1"/>
  <c r="AF76" i="1"/>
  <c r="AC76" i="1"/>
  <c r="AB76" i="1"/>
  <c r="Z76" i="1"/>
  <c r="J76" i="1"/>
  <c r="AK76" i="1" s="1"/>
  <c r="BJ75" i="1"/>
  <c r="BH75" i="1"/>
  <c r="BF75" i="1"/>
  <c r="BD75" i="1"/>
  <c r="AX75" i="1"/>
  <c r="AP75" i="1"/>
  <c r="I75" i="1" s="1"/>
  <c r="AO75" i="1"/>
  <c r="H75" i="1" s="1"/>
  <c r="AL75" i="1"/>
  <c r="AJ75" i="1"/>
  <c r="AH75" i="1"/>
  <c r="AG75" i="1"/>
  <c r="AF75" i="1"/>
  <c r="AD75" i="1"/>
  <c r="AC75" i="1"/>
  <c r="AB75" i="1"/>
  <c r="Z75" i="1"/>
  <c r="J75" i="1"/>
  <c r="AK75" i="1" s="1"/>
  <c r="BJ74" i="1"/>
  <c r="BI74" i="1"/>
  <c r="BH74" i="1"/>
  <c r="AD74" i="1" s="1"/>
  <c r="BF74" i="1"/>
  <c r="BD74" i="1"/>
  <c r="AW74" i="1"/>
  <c r="AP74" i="1"/>
  <c r="I74" i="1" s="1"/>
  <c r="AO74" i="1"/>
  <c r="AL74" i="1"/>
  <c r="AK74" i="1"/>
  <c r="AJ74" i="1"/>
  <c r="AS73" i="1" s="1"/>
  <c r="AH74" i="1"/>
  <c r="AG74" i="1"/>
  <c r="AF74" i="1"/>
  <c r="AE74" i="1"/>
  <c r="AC74" i="1"/>
  <c r="AB74" i="1"/>
  <c r="Z74" i="1"/>
  <c r="J74" i="1"/>
  <c r="H74" i="1"/>
  <c r="BJ72" i="1"/>
  <c r="Z72" i="1" s="1"/>
  <c r="BI72" i="1"/>
  <c r="BF72" i="1"/>
  <c r="BD72" i="1"/>
  <c r="AX72" i="1"/>
  <c r="AP72" i="1"/>
  <c r="AO72" i="1"/>
  <c r="BH72" i="1" s="1"/>
  <c r="AL72" i="1"/>
  <c r="AK72" i="1"/>
  <c r="AJ72" i="1"/>
  <c r="AH72" i="1"/>
  <c r="AG72" i="1"/>
  <c r="AF72" i="1"/>
  <c r="AE72" i="1"/>
  <c r="AD72" i="1"/>
  <c r="AC72" i="1"/>
  <c r="AB72" i="1"/>
  <c r="J72" i="1"/>
  <c r="I72" i="1"/>
  <c r="H72" i="1"/>
  <c r="BJ71" i="1"/>
  <c r="BF71" i="1"/>
  <c r="BD71" i="1"/>
  <c r="AW71" i="1"/>
  <c r="AP71" i="1"/>
  <c r="BI71" i="1" s="1"/>
  <c r="AE71" i="1" s="1"/>
  <c r="AO71" i="1"/>
  <c r="BH71" i="1" s="1"/>
  <c r="AD71" i="1" s="1"/>
  <c r="AL71" i="1"/>
  <c r="AK71" i="1"/>
  <c r="AJ71" i="1"/>
  <c r="AH71" i="1"/>
  <c r="AG71" i="1"/>
  <c r="AF71" i="1"/>
  <c r="AC71" i="1"/>
  <c r="AB71" i="1"/>
  <c r="Z71" i="1"/>
  <c r="J71" i="1"/>
  <c r="I71" i="1"/>
  <c r="H71" i="1"/>
  <c r="BJ70" i="1"/>
  <c r="BF70" i="1"/>
  <c r="BD70" i="1"/>
  <c r="AX70" i="1"/>
  <c r="AP70" i="1"/>
  <c r="BI70" i="1" s="1"/>
  <c r="AE70" i="1" s="1"/>
  <c r="AO70" i="1"/>
  <c r="H70" i="1" s="1"/>
  <c r="AL70" i="1"/>
  <c r="AJ70" i="1"/>
  <c r="AH70" i="1"/>
  <c r="AG70" i="1"/>
  <c r="AF70" i="1"/>
  <c r="AC70" i="1"/>
  <c r="AB70" i="1"/>
  <c r="Z70" i="1"/>
  <c r="J70" i="1"/>
  <c r="AK70" i="1" s="1"/>
  <c r="I70" i="1"/>
  <c r="BJ69" i="1"/>
  <c r="BF69" i="1"/>
  <c r="BD69" i="1"/>
  <c r="AW69" i="1"/>
  <c r="AP69" i="1"/>
  <c r="I69" i="1" s="1"/>
  <c r="AO69" i="1"/>
  <c r="H69" i="1" s="1"/>
  <c r="AL69" i="1"/>
  <c r="AJ69" i="1"/>
  <c r="AH69" i="1"/>
  <c r="AG69" i="1"/>
  <c r="AF69" i="1"/>
  <c r="AC69" i="1"/>
  <c r="AB69" i="1"/>
  <c r="Z69" i="1"/>
  <c r="J69" i="1"/>
  <c r="AK69" i="1" s="1"/>
  <c r="BJ68" i="1"/>
  <c r="BH68" i="1"/>
  <c r="BF68" i="1"/>
  <c r="BD68" i="1"/>
  <c r="AX68" i="1"/>
  <c r="AP68" i="1"/>
  <c r="I68" i="1" s="1"/>
  <c r="AO68" i="1"/>
  <c r="H68" i="1" s="1"/>
  <c r="AL68" i="1"/>
  <c r="AJ68" i="1"/>
  <c r="AH68" i="1"/>
  <c r="AG68" i="1"/>
  <c r="AF68" i="1"/>
  <c r="AD68" i="1"/>
  <c r="AC68" i="1"/>
  <c r="AB68" i="1"/>
  <c r="Z68" i="1"/>
  <c r="J68" i="1"/>
  <c r="AK68" i="1" s="1"/>
  <c r="BJ67" i="1"/>
  <c r="BI67" i="1"/>
  <c r="BH67" i="1"/>
  <c r="AD67" i="1" s="1"/>
  <c r="BF67" i="1"/>
  <c r="BD67" i="1"/>
  <c r="AW67" i="1"/>
  <c r="AP67" i="1"/>
  <c r="I67" i="1" s="1"/>
  <c r="AO67" i="1"/>
  <c r="AL67" i="1"/>
  <c r="AK67" i="1"/>
  <c r="AJ67" i="1"/>
  <c r="AH67" i="1"/>
  <c r="AG67" i="1"/>
  <c r="AF67" i="1"/>
  <c r="AE67" i="1"/>
  <c r="AC67" i="1"/>
  <c r="AB67" i="1"/>
  <c r="Z67" i="1"/>
  <c r="J67" i="1"/>
  <c r="H67" i="1"/>
  <c r="BJ66" i="1"/>
  <c r="BI66" i="1"/>
  <c r="AE66" i="1" s="1"/>
  <c r="BH66" i="1"/>
  <c r="BF66" i="1"/>
  <c r="BD66" i="1"/>
  <c r="AX66" i="1"/>
  <c r="AV66" i="1" s="1"/>
  <c r="AW66" i="1"/>
  <c r="BC66" i="1" s="1"/>
  <c r="AP66" i="1"/>
  <c r="AO66" i="1"/>
  <c r="AL66" i="1"/>
  <c r="AK66" i="1"/>
  <c r="AJ66" i="1"/>
  <c r="AH66" i="1"/>
  <c r="AG66" i="1"/>
  <c r="AF66" i="1"/>
  <c r="AD66" i="1"/>
  <c r="AC66" i="1"/>
  <c r="AB66" i="1"/>
  <c r="Z66" i="1"/>
  <c r="J66" i="1"/>
  <c r="I66" i="1"/>
  <c r="H66" i="1"/>
  <c r="BJ65" i="1"/>
  <c r="BI65" i="1"/>
  <c r="BF65" i="1"/>
  <c r="BD65" i="1"/>
  <c r="BC65" i="1"/>
  <c r="AX65" i="1"/>
  <c r="AW65" i="1"/>
  <c r="AV65" i="1" s="1"/>
  <c r="AP65" i="1"/>
  <c r="AO65" i="1"/>
  <c r="BH65" i="1" s="1"/>
  <c r="AD65" i="1" s="1"/>
  <c r="AL65" i="1"/>
  <c r="AU64" i="1" s="1"/>
  <c r="AK65" i="1"/>
  <c r="AT64" i="1" s="1"/>
  <c r="AJ65" i="1"/>
  <c r="AH65" i="1"/>
  <c r="AG65" i="1"/>
  <c r="AF65" i="1"/>
  <c r="AE65" i="1"/>
  <c r="AC65" i="1"/>
  <c r="AB65" i="1"/>
  <c r="Z65" i="1"/>
  <c r="J65" i="1"/>
  <c r="J64" i="1" s="1"/>
  <c r="I65" i="1"/>
  <c r="H65" i="1"/>
  <c r="AS64" i="1"/>
  <c r="BJ63" i="1"/>
  <c r="Z63" i="1" s="1"/>
  <c r="BF63" i="1"/>
  <c r="BD63" i="1"/>
  <c r="AX63" i="1"/>
  <c r="AP63" i="1"/>
  <c r="BI63" i="1" s="1"/>
  <c r="AO63" i="1"/>
  <c r="H63" i="1" s="1"/>
  <c r="AL63" i="1"/>
  <c r="AJ63" i="1"/>
  <c r="AH63" i="1"/>
  <c r="AG63" i="1"/>
  <c r="AF63" i="1"/>
  <c r="AE63" i="1"/>
  <c r="AD63" i="1"/>
  <c r="AC63" i="1"/>
  <c r="AB63" i="1"/>
  <c r="J63" i="1"/>
  <c r="AK63" i="1" s="1"/>
  <c r="I63" i="1"/>
  <c r="BJ62" i="1"/>
  <c r="BF62" i="1"/>
  <c r="BD62" i="1"/>
  <c r="AW62" i="1"/>
  <c r="AP62" i="1"/>
  <c r="I62" i="1" s="1"/>
  <c r="AO62" i="1"/>
  <c r="H62" i="1" s="1"/>
  <c r="AL62" i="1"/>
  <c r="AU57" i="1" s="1"/>
  <c r="AJ62" i="1"/>
  <c r="AH62" i="1"/>
  <c r="AG62" i="1"/>
  <c r="AF62" i="1"/>
  <c r="AE62" i="1"/>
  <c r="AD62" i="1"/>
  <c r="Z62" i="1"/>
  <c r="J62" i="1"/>
  <c r="AK62" i="1" s="1"/>
  <c r="BJ61" i="1"/>
  <c r="BH61" i="1"/>
  <c r="BF61" i="1"/>
  <c r="BD61" i="1"/>
  <c r="AX61" i="1"/>
  <c r="AP61" i="1"/>
  <c r="I61" i="1" s="1"/>
  <c r="AO61" i="1"/>
  <c r="H61" i="1" s="1"/>
  <c r="AL61" i="1"/>
  <c r="AJ61" i="1"/>
  <c r="AH61" i="1"/>
  <c r="AG61" i="1"/>
  <c r="AF61" i="1"/>
  <c r="AE61" i="1"/>
  <c r="AD61" i="1"/>
  <c r="AB61" i="1"/>
  <c r="Z61" i="1"/>
  <c r="J61" i="1"/>
  <c r="AK61" i="1" s="1"/>
  <c r="BJ59" i="1"/>
  <c r="BI59" i="1"/>
  <c r="BH59" i="1"/>
  <c r="AB59" i="1" s="1"/>
  <c r="BF59" i="1"/>
  <c r="BD59" i="1"/>
  <c r="AW59" i="1"/>
  <c r="AP59" i="1"/>
  <c r="I59" i="1" s="1"/>
  <c r="AO59" i="1"/>
  <c r="AL59" i="1"/>
  <c r="AK59" i="1"/>
  <c r="AJ59" i="1"/>
  <c r="AH59" i="1"/>
  <c r="AG59" i="1"/>
  <c r="AF59" i="1"/>
  <c r="AE59" i="1"/>
  <c r="AD59" i="1"/>
  <c r="AC59" i="1"/>
  <c r="Z59" i="1"/>
  <c r="J59" i="1"/>
  <c r="H59" i="1"/>
  <c r="BJ58" i="1"/>
  <c r="BI58" i="1"/>
  <c r="AC58" i="1" s="1"/>
  <c r="BH58" i="1"/>
  <c r="BF58" i="1"/>
  <c r="BD58" i="1"/>
  <c r="AX58" i="1"/>
  <c r="AV58" i="1" s="1"/>
  <c r="AW58" i="1"/>
  <c r="BC58" i="1" s="1"/>
  <c r="AP58" i="1"/>
  <c r="AO58" i="1"/>
  <c r="AL58" i="1"/>
  <c r="AK58" i="1"/>
  <c r="AJ58" i="1"/>
  <c r="AS57" i="1" s="1"/>
  <c r="AH58" i="1"/>
  <c r="AG58" i="1"/>
  <c r="AF58" i="1"/>
  <c r="AE58" i="1"/>
  <c r="AD58" i="1"/>
  <c r="AB58" i="1"/>
  <c r="Z58" i="1"/>
  <c r="J58" i="1"/>
  <c r="I58" i="1"/>
  <c r="I57" i="1" s="1"/>
  <c r="H58" i="1"/>
  <c r="BJ56" i="1"/>
  <c r="BF56" i="1"/>
  <c r="BD56" i="1"/>
  <c r="AW56" i="1"/>
  <c r="AP56" i="1"/>
  <c r="BI56" i="1" s="1"/>
  <c r="AO56" i="1"/>
  <c r="BH56" i="1" s="1"/>
  <c r="AL56" i="1"/>
  <c r="AK56" i="1"/>
  <c r="AJ56" i="1"/>
  <c r="AH56" i="1"/>
  <c r="AG56" i="1"/>
  <c r="AF56" i="1"/>
  <c r="AE56" i="1"/>
  <c r="AD56" i="1"/>
  <c r="AC56" i="1"/>
  <c r="AB56" i="1"/>
  <c r="Z56" i="1"/>
  <c r="J56" i="1"/>
  <c r="I56" i="1"/>
  <c r="H56" i="1"/>
  <c r="BJ54" i="1"/>
  <c r="BF54" i="1"/>
  <c r="BD54" i="1"/>
  <c r="AX54" i="1"/>
  <c r="AP54" i="1"/>
  <c r="BI54" i="1" s="1"/>
  <c r="AC54" i="1" s="1"/>
  <c r="AO54" i="1"/>
  <c r="H54" i="1" s="1"/>
  <c r="AL54" i="1"/>
  <c r="AJ54" i="1"/>
  <c r="AH54" i="1"/>
  <c r="AG54" i="1"/>
  <c r="AF54" i="1"/>
  <c r="AE54" i="1"/>
  <c r="AD54" i="1"/>
  <c r="Z54" i="1"/>
  <c r="J54" i="1"/>
  <c r="AK54" i="1" s="1"/>
  <c r="I54" i="1"/>
  <c r="BJ53" i="1"/>
  <c r="BF53" i="1"/>
  <c r="BD53" i="1"/>
  <c r="AW53" i="1"/>
  <c r="AP53" i="1"/>
  <c r="I53" i="1" s="1"/>
  <c r="AO53" i="1"/>
  <c r="H53" i="1" s="1"/>
  <c r="AL53" i="1"/>
  <c r="AJ53" i="1"/>
  <c r="AH53" i="1"/>
  <c r="AG53" i="1"/>
  <c r="AF53" i="1"/>
  <c r="AE53" i="1"/>
  <c r="AD53" i="1"/>
  <c r="Z53" i="1"/>
  <c r="J53" i="1"/>
  <c r="AK53" i="1" s="1"/>
  <c r="BJ51" i="1"/>
  <c r="BH51" i="1"/>
  <c r="BF51" i="1"/>
  <c r="BD51" i="1"/>
  <c r="AX51" i="1"/>
  <c r="AP51" i="1"/>
  <c r="I51" i="1" s="1"/>
  <c r="AO51" i="1"/>
  <c r="H51" i="1" s="1"/>
  <c r="AL51" i="1"/>
  <c r="AJ51" i="1"/>
  <c r="AH51" i="1"/>
  <c r="AG51" i="1"/>
  <c r="AF51" i="1"/>
  <c r="AE51" i="1"/>
  <c r="AD51" i="1"/>
  <c r="AB51" i="1"/>
  <c r="Z51" i="1"/>
  <c r="J51" i="1"/>
  <c r="AK51" i="1" s="1"/>
  <c r="BJ50" i="1"/>
  <c r="BI50" i="1"/>
  <c r="BH50" i="1"/>
  <c r="AB50" i="1" s="1"/>
  <c r="BF50" i="1"/>
  <c r="BD50" i="1"/>
  <c r="AW50" i="1"/>
  <c r="AP50" i="1"/>
  <c r="I50" i="1" s="1"/>
  <c r="AO50" i="1"/>
  <c r="AL50" i="1"/>
  <c r="AK50" i="1"/>
  <c r="AJ50" i="1"/>
  <c r="AH50" i="1"/>
  <c r="AG50" i="1"/>
  <c r="AF50" i="1"/>
  <c r="AE50" i="1"/>
  <c r="AD50" i="1"/>
  <c r="AC50" i="1"/>
  <c r="Z50" i="1"/>
  <c r="J50" i="1"/>
  <c r="H50" i="1"/>
  <c r="BJ49" i="1"/>
  <c r="BI49" i="1"/>
  <c r="AC49" i="1" s="1"/>
  <c r="BH49" i="1"/>
  <c r="BF49" i="1"/>
  <c r="BD49" i="1"/>
  <c r="AX49" i="1"/>
  <c r="AV49" i="1" s="1"/>
  <c r="AW49" i="1"/>
  <c r="BC49" i="1" s="1"/>
  <c r="AP49" i="1"/>
  <c r="AO49" i="1"/>
  <c r="AL49" i="1"/>
  <c r="AK49" i="1"/>
  <c r="AJ49" i="1"/>
  <c r="AH49" i="1"/>
  <c r="AG49" i="1"/>
  <c r="AF49" i="1"/>
  <c r="AE49" i="1"/>
  <c r="AD49" i="1"/>
  <c r="AB49" i="1"/>
  <c r="Z49" i="1"/>
  <c r="J49" i="1"/>
  <c r="I49" i="1"/>
  <c r="H49" i="1"/>
  <c r="BJ47" i="1"/>
  <c r="BI47" i="1"/>
  <c r="BF47" i="1"/>
  <c r="BD47" i="1"/>
  <c r="BC47" i="1"/>
  <c r="AX47" i="1"/>
  <c r="AW47" i="1"/>
  <c r="AV47" i="1" s="1"/>
  <c r="AP47" i="1"/>
  <c r="AO47" i="1"/>
  <c r="BH47" i="1" s="1"/>
  <c r="AB47" i="1" s="1"/>
  <c r="AL47" i="1"/>
  <c r="AK47" i="1"/>
  <c r="AJ47" i="1"/>
  <c r="AH47" i="1"/>
  <c r="AG47" i="1"/>
  <c r="AF47" i="1"/>
  <c r="AE47" i="1"/>
  <c r="AD47" i="1"/>
  <c r="AC47" i="1"/>
  <c r="Z47" i="1"/>
  <c r="J47" i="1"/>
  <c r="I47" i="1"/>
  <c r="H47" i="1"/>
  <c r="BJ46" i="1"/>
  <c r="BH46" i="1"/>
  <c r="AB46" i="1" s="1"/>
  <c r="BF46" i="1"/>
  <c r="BD46" i="1"/>
  <c r="AX46" i="1"/>
  <c r="AP46" i="1"/>
  <c r="BI46" i="1" s="1"/>
  <c r="AC46" i="1" s="1"/>
  <c r="AO46" i="1"/>
  <c r="AW46" i="1" s="1"/>
  <c r="AL46" i="1"/>
  <c r="AJ46" i="1"/>
  <c r="AH46" i="1"/>
  <c r="AG46" i="1"/>
  <c r="AF46" i="1"/>
  <c r="AE46" i="1"/>
  <c r="AD46" i="1"/>
  <c r="Z46" i="1"/>
  <c r="J46" i="1"/>
  <c r="AK46" i="1" s="1"/>
  <c r="I46" i="1"/>
  <c r="BJ45" i="1"/>
  <c r="BI45" i="1"/>
  <c r="AC45" i="1" s="1"/>
  <c r="BF45" i="1"/>
  <c r="BD45" i="1"/>
  <c r="AP45" i="1"/>
  <c r="AX45" i="1" s="1"/>
  <c r="AO45" i="1"/>
  <c r="AW45" i="1" s="1"/>
  <c r="AL45" i="1"/>
  <c r="AJ45" i="1"/>
  <c r="AH45" i="1"/>
  <c r="AG45" i="1"/>
  <c r="AF45" i="1"/>
  <c r="AE45" i="1"/>
  <c r="AD45" i="1"/>
  <c r="Z45" i="1"/>
  <c r="J45" i="1"/>
  <c r="AK45" i="1" s="1"/>
  <c r="BJ44" i="1"/>
  <c r="BH44" i="1"/>
  <c r="AB44" i="1" s="1"/>
  <c r="BF44" i="1"/>
  <c r="BD44" i="1"/>
  <c r="AP44" i="1"/>
  <c r="AX44" i="1" s="1"/>
  <c r="AO44" i="1"/>
  <c r="AW44" i="1" s="1"/>
  <c r="AL44" i="1"/>
  <c r="AK44" i="1"/>
  <c r="AJ44" i="1"/>
  <c r="AH44" i="1"/>
  <c r="AG44" i="1"/>
  <c r="AF44" i="1"/>
  <c r="AE44" i="1"/>
  <c r="AD44" i="1"/>
  <c r="Z44" i="1"/>
  <c r="J44" i="1"/>
  <c r="H44" i="1"/>
  <c r="BJ43" i="1"/>
  <c r="BI43" i="1"/>
  <c r="AC43" i="1" s="1"/>
  <c r="BH43" i="1"/>
  <c r="BF43" i="1"/>
  <c r="BD43" i="1"/>
  <c r="AW43" i="1"/>
  <c r="AP43" i="1"/>
  <c r="AX43" i="1" s="1"/>
  <c r="AO43" i="1"/>
  <c r="AL43" i="1"/>
  <c r="AK43" i="1"/>
  <c r="AJ43" i="1"/>
  <c r="AS33" i="1" s="1"/>
  <c r="AH43" i="1"/>
  <c r="AG43" i="1"/>
  <c r="AF43" i="1"/>
  <c r="AE43" i="1"/>
  <c r="AD43" i="1"/>
  <c r="AB43" i="1"/>
  <c r="Z43" i="1"/>
  <c r="J43" i="1"/>
  <c r="I43" i="1"/>
  <c r="H43" i="1"/>
  <c r="BJ42" i="1"/>
  <c r="BI42" i="1"/>
  <c r="BF42" i="1"/>
  <c r="BD42" i="1"/>
  <c r="AX42" i="1"/>
  <c r="AP42" i="1"/>
  <c r="AO42" i="1"/>
  <c r="BH42" i="1" s="1"/>
  <c r="AB42" i="1" s="1"/>
  <c r="AL42" i="1"/>
  <c r="AK42" i="1"/>
  <c r="AJ42" i="1"/>
  <c r="AH42" i="1"/>
  <c r="AG42" i="1"/>
  <c r="AF42" i="1"/>
  <c r="AE42" i="1"/>
  <c r="AD42" i="1"/>
  <c r="AC42" i="1"/>
  <c r="Z42" i="1"/>
  <c r="J42" i="1"/>
  <c r="I42" i="1"/>
  <c r="H42" i="1"/>
  <c r="BJ41" i="1"/>
  <c r="BF41" i="1"/>
  <c r="BD41" i="1"/>
  <c r="AW41" i="1"/>
  <c r="AP41" i="1"/>
  <c r="BI41" i="1" s="1"/>
  <c r="AC41" i="1" s="1"/>
  <c r="AO41" i="1"/>
  <c r="BH41" i="1" s="1"/>
  <c r="AB41" i="1" s="1"/>
  <c r="AL41" i="1"/>
  <c r="AK41" i="1"/>
  <c r="AJ41" i="1"/>
  <c r="AH41" i="1"/>
  <c r="AG41" i="1"/>
  <c r="AF41" i="1"/>
  <c r="AE41" i="1"/>
  <c r="AD41" i="1"/>
  <c r="Z41" i="1"/>
  <c r="J41" i="1"/>
  <c r="I41" i="1"/>
  <c r="H41" i="1"/>
  <c r="BJ39" i="1"/>
  <c r="BF39" i="1"/>
  <c r="BD39" i="1"/>
  <c r="AX39" i="1"/>
  <c r="AP39" i="1"/>
  <c r="BI39" i="1" s="1"/>
  <c r="AC39" i="1" s="1"/>
  <c r="AO39" i="1"/>
  <c r="H39" i="1" s="1"/>
  <c r="AL39" i="1"/>
  <c r="AJ39" i="1"/>
  <c r="AH39" i="1"/>
  <c r="AG39" i="1"/>
  <c r="AF39" i="1"/>
  <c r="AE39" i="1"/>
  <c r="AD39" i="1"/>
  <c r="Z39" i="1"/>
  <c r="J39" i="1"/>
  <c r="AK39" i="1" s="1"/>
  <c r="I39" i="1"/>
  <c r="BJ38" i="1"/>
  <c r="BF38" i="1"/>
  <c r="BD38" i="1"/>
  <c r="AW38" i="1"/>
  <c r="AP38" i="1"/>
  <c r="I38" i="1" s="1"/>
  <c r="AO38" i="1"/>
  <c r="H38" i="1" s="1"/>
  <c r="AL38" i="1"/>
  <c r="AJ38" i="1"/>
  <c r="AH38" i="1"/>
  <c r="AG38" i="1"/>
  <c r="AF38" i="1"/>
  <c r="AE38" i="1"/>
  <c r="AD38" i="1"/>
  <c r="AC38" i="1"/>
  <c r="AB38" i="1"/>
  <c r="Z38" i="1"/>
  <c r="J38" i="1"/>
  <c r="AK38" i="1" s="1"/>
  <c r="BJ37" i="1"/>
  <c r="BH37" i="1"/>
  <c r="BF37" i="1"/>
  <c r="BD37" i="1"/>
  <c r="AX37" i="1"/>
  <c r="AP37" i="1"/>
  <c r="I37" i="1" s="1"/>
  <c r="AO37" i="1"/>
  <c r="H37" i="1" s="1"/>
  <c r="AL37" i="1"/>
  <c r="AJ37" i="1"/>
  <c r="AH37" i="1"/>
  <c r="AG37" i="1"/>
  <c r="AF37" i="1"/>
  <c r="AE37" i="1"/>
  <c r="AD37" i="1"/>
  <c r="AC37" i="1"/>
  <c r="AB37" i="1"/>
  <c r="Z37" i="1"/>
  <c r="J37" i="1"/>
  <c r="AK37" i="1" s="1"/>
  <c r="BJ36" i="1"/>
  <c r="BI36" i="1"/>
  <c r="BH36" i="1"/>
  <c r="BF36" i="1"/>
  <c r="BD36" i="1"/>
  <c r="AW36" i="1"/>
  <c r="AP36" i="1"/>
  <c r="I36" i="1" s="1"/>
  <c r="AO36" i="1"/>
  <c r="AL36" i="1"/>
  <c r="AK36" i="1"/>
  <c r="AJ36" i="1"/>
  <c r="AH36" i="1"/>
  <c r="AG36" i="1"/>
  <c r="AF36" i="1"/>
  <c r="AE36" i="1"/>
  <c r="AD36" i="1"/>
  <c r="AC36" i="1"/>
  <c r="AB36" i="1"/>
  <c r="Z36" i="1"/>
  <c r="J36" i="1"/>
  <c r="H36" i="1"/>
  <c r="BJ35" i="1"/>
  <c r="BI35" i="1"/>
  <c r="AC35" i="1" s="1"/>
  <c r="BH35" i="1"/>
  <c r="BF35" i="1"/>
  <c r="BD35" i="1"/>
  <c r="AX35" i="1"/>
  <c r="AV35" i="1" s="1"/>
  <c r="AW35" i="1"/>
  <c r="BC35" i="1" s="1"/>
  <c r="AP35" i="1"/>
  <c r="AO35" i="1"/>
  <c r="AL35" i="1"/>
  <c r="AK35" i="1"/>
  <c r="AJ35" i="1"/>
  <c r="AH35" i="1"/>
  <c r="AG35" i="1"/>
  <c r="AF35" i="1"/>
  <c r="AE35" i="1"/>
  <c r="AD35" i="1"/>
  <c r="AB35" i="1"/>
  <c r="Z35" i="1"/>
  <c r="J35" i="1"/>
  <c r="I35" i="1"/>
  <c r="H35" i="1"/>
  <c r="BJ34" i="1"/>
  <c r="BI34" i="1"/>
  <c r="BF34" i="1"/>
  <c r="BD34" i="1"/>
  <c r="BC34" i="1"/>
  <c r="AX34" i="1"/>
  <c r="AW34" i="1"/>
  <c r="AV34" i="1" s="1"/>
  <c r="AP34" i="1"/>
  <c r="AO34" i="1"/>
  <c r="BH34" i="1" s="1"/>
  <c r="AB34" i="1" s="1"/>
  <c r="AL34" i="1"/>
  <c r="AU33" i="1" s="1"/>
  <c r="AK34" i="1"/>
  <c r="AT33" i="1" s="1"/>
  <c r="AJ34" i="1"/>
  <c r="AH34" i="1"/>
  <c r="AG34" i="1"/>
  <c r="AF34" i="1"/>
  <c r="AE34" i="1"/>
  <c r="AD34" i="1"/>
  <c r="AC34" i="1"/>
  <c r="Z34" i="1"/>
  <c r="J34" i="1"/>
  <c r="J33" i="1" s="1"/>
  <c r="I34" i="1"/>
  <c r="H34" i="1"/>
  <c r="BJ32" i="1"/>
  <c r="Z32" i="1" s="1"/>
  <c r="BF32" i="1"/>
  <c r="BD32" i="1"/>
  <c r="AX32" i="1"/>
  <c r="AP32" i="1"/>
  <c r="BI32" i="1" s="1"/>
  <c r="AO32" i="1"/>
  <c r="H32" i="1" s="1"/>
  <c r="AL32" i="1"/>
  <c r="AJ32" i="1"/>
  <c r="AH32" i="1"/>
  <c r="AG32" i="1"/>
  <c r="AF32" i="1"/>
  <c r="AE32" i="1"/>
  <c r="AD32" i="1"/>
  <c r="AC32" i="1"/>
  <c r="AB32" i="1"/>
  <c r="J32" i="1"/>
  <c r="AK32" i="1" s="1"/>
  <c r="I32" i="1"/>
  <c r="BJ31" i="1"/>
  <c r="BF31" i="1"/>
  <c r="BD31" i="1"/>
  <c r="AW31" i="1"/>
  <c r="AP31" i="1"/>
  <c r="I31" i="1" s="1"/>
  <c r="AO31" i="1"/>
  <c r="H31" i="1" s="1"/>
  <c r="AL31" i="1"/>
  <c r="AJ31" i="1"/>
  <c r="AH31" i="1"/>
  <c r="AG31" i="1"/>
  <c r="AF31" i="1"/>
  <c r="AE31" i="1"/>
  <c r="AD31" i="1"/>
  <c r="Z31" i="1"/>
  <c r="J31" i="1"/>
  <c r="AK31" i="1" s="1"/>
  <c r="BJ29" i="1"/>
  <c r="BF29" i="1"/>
  <c r="BD29" i="1"/>
  <c r="AX29" i="1"/>
  <c r="AP29" i="1"/>
  <c r="I29" i="1" s="1"/>
  <c r="AO29" i="1"/>
  <c r="H29" i="1" s="1"/>
  <c r="AL29" i="1"/>
  <c r="AJ29" i="1"/>
  <c r="AH29" i="1"/>
  <c r="AG29" i="1"/>
  <c r="AF29" i="1"/>
  <c r="AE29" i="1"/>
  <c r="AD29" i="1"/>
  <c r="Z29" i="1"/>
  <c r="J29" i="1"/>
  <c r="AK29" i="1" s="1"/>
  <c r="BJ28" i="1"/>
  <c r="BH28" i="1"/>
  <c r="AB28" i="1" s="1"/>
  <c r="BF28" i="1"/>
  <c r="BD28" i="1"/>
  <c r="AW28" i="1"/>
  <c r="AP28" i="1"/>
  <c r="I28" i="1" s="1"/>
  <c r="AO28" i="1"/>
  <c r="AL28" i="1"/>
  <c r="AK28" i="1"/>
  <c r="AJ28" i="1"/>
  <c r="AH28" i="1"/>
  <c r="AG28" i="1"/>
  <c r="AF28" i="1"/>
  <c r="AE28" i="1"/>
  <c r="AD28" i="1"/>
  <c r="Z28" i="1"/>
  <c r="J28" i="1"/>
  <c r="H28" i="1"/>
  <c r="BJ26" i="1"/>
  <c r="BI26" i="1"/>
  <c r="AC26" i="1" s="1"/>
  <c r="BH26" i="1"/>
  <c r="BF26" i="1"/>
  <c r="BD26" i="1"/>
  <c r="AX26" i="1"/>
  <c r="AV26" i="1" s="1"/>
  <c r="AW26" i="1"/>
  <c r="BC26" i="1" s="1"/>
  <c r="AP26" i="1"/>
  <c r="AO26" i="1"/>
  <c r="AL26" i="1"/>
  <c r="AK26" i="1"/>
  <c r="AJ26" i="1"/>
  <c r="AH26" i="1"/>
  <c r="AG26" i="1"/>
  <c r="AF26" i="1"/>
  <c r="AE26" i="1"/>
  <c r="AD26" i="1"/>
  <c r="AB26" i="1"/>
  <c r="Z26" i="1"/>
  <c r="J26" i="1"/>
  <c r="I26" i="1"/>
  <c r="H26" i="1"/>
  <c r="BJ25" i="1"/>
  <c r="Z25" i="1" s="1"/>
  <c r="BI25" i="1"/>
  <c r="BF25" i="1"/>
  <c r="BD25" i="1"/>
  <c r="BC25" i="1"/>
  <c r="AX25" i="1"/>
  <c r="AW25" i="1"/>
  <c r="AV25" i="1" s="1"/>
  <c r="AP25" i="1"/>
  <c r="AO25" i="1"/>
  <c r="BH25" i="1" s="1"/>
  <c r="AL25" i="1"/>
  <c r="AK25" i="1"/>
  <c r="AJ25" i="1"/>
  <c r="AH25" i="1"/>
  <c r="AG25" i="1"/>
  <c r="AF25" i="1"/>
  <c r="AE25" i="1"/>
  <c r="AD25" i="1"/>
  <c r="AC25" i="1"/>
  <c r="AB25" i="1"/>
  <c r="J25" i="1"/>
  <c r="I25" i="1"/>
  <c r="H25" i="1"/>
  <c r="BJ24" i="1"/>
  <c r="Z24" i="1" s="1"/>
  <c r="BH24" i="1"/>
  <c r="BF24" i="1"/>
  <c r="BD24" i="1"/>
  <c r="AX24" i="1"/>
  <c r="AP24" i="1"/>
  <c r="BI24" i="1" s="1"/>
  <c r="AO24" i="1"/>
  <c r="AW24" i="1" s="1"/>
  <c r="AL24" i="1"/>
  <c r="AJ24" i="1"/>
  <c r="AH24" i="1"/>
  <c r="AG24" i="1"/>
  <c r="AF24" i="1"/>
  <c r="AE24" i="1"/>
  <c r="AD24" i="1"/>
  <c r="AC24" i="1"/>
  <c r="AB24" i="1"/>
  <c r="J24" i="1"/>
  <c r="AK24" i="1" s="1"/>
  <c r="I24" i="1"/>
  <c r="BJ23" i="1"/>
  <c r="BI23" i="1"/>
  <c r="BF23" i="1"/>
  <c r="BD23" i="1"/>
  <c r="AP23" i="1"/>
  <c r="AX23" i="1" s="1"/>
  <c r="AO23" i="1"/>
  <c r="AW23" i="1" s="1"/>
  <c r="AL23" i="1"/>
  <c r="AJ23" i="1"/>
  <c r="AH23" i="1"/>
  <c r="AG23" i="1"/>
  <c r="AF23" i="1"/>
  <c r="AE23" i="1"/>
  <c r="AD23" i="1"/>
  <c r="AC23" i="1"/>
  <c r="AB23" i="1"/>
  <c r="Z23" i="1"/>
  <c r="J23" i="1"/>
  <c r="AK23" i="1" s="1"/>
  <c r="BJ22" i="1"/>
  <c r="BH22" i="1"/>
  <c r="AB22" i="1" s="1"/>
  <c r="BF22" i="1"/>
  <c r="BD22" i="1"/>
  <c r="AP22" i="1"/>
  <c r="AX22" i="1" s="1"/>
  <c r="AO22" i="1"/>
  <c r="AW22" i="1" s="1"/>
  <c r="AL22" i="1"/>
  <c r="AK22" i="1"/>
  <c r="AJ22" i="1"/>
  <c r="AH22" i="1"/>
  <c r="AG22" i="1"/>
  <c r="AF22" i="1"/>
  <c r="AE22" i="1"/>
  <c r="AD22" i="1"/>
  <c r="Z22" i="1"/>
  <c r="J22" i="1"/>
  <c r="H22" i="1"/>
  <c r="BJ21" i="1"/>
  <c r="BI21" i="1"/>
  <c r="AC21" i="1" s="1"/>
  <c r="BH21" i="1"/>
  <c r="BF21" i="1"/>
  <c r="BD21" i="1"/>
  <c r="AW21" i="1"/>
  <c r="AP21" i="1"/>
  <c r="AX21" i="1" s="1"/>
  <c r="AO21" i="1"/>
  <c r="AL21" i="1"/>
  <c r="AK21" i="1"/>
  <c r="AJ21" i="1"/>
  <c r="AH21" i="1"/>
  <c r="AG21" i="1"/>
  <c r="AF21" i="1"/>
  <c r="AE21" i="1"/>
  <c r="AD21" i="1"/>
  <c r="AB21" i="1"/>
  <c r="Z21" i="1"/>
  <c r="J21" i="1"/>
  <c r="I21" i="1"/>
  <c r="H21" i="1"/>
  <c r="BJ20" i="1"/>
  <c r="BI20" i="1"/>
  <c r="BF20" i="1"/>
  <c r="BD20" i="1"/>
  <c r="AX20" i="1"/>
  <c r="AP20" i="1"/>
  <c r="AO20" i="1"/>
  <c r="BH20" i="1" s="1"/>
  <c r="AB20" i="1" s="1"/>
  <c r="AL20" i="1"/>
  <c r="AK20" i="1"/>
  <c r="AJ20" i="1"/>
  <c r="AH20" i="1"/>
  <c r="AG20" i="1"/>
  <c r="AF20" i="1"/>
  <c r="AE20" i="1"/>
  <c r="AD20" i="1"/>
  <c r="AC20" i="1"/>
  <c r="Z20" i="1"/>
  <c r="J20" i="1"/>
  <c r="I20" i="1"/>
  <c r="H20" i="1"/>
  <c r="BJ19" i="1"/>
  <c r="BF19" i="1"/>
  <c r="BD19" i="1"/>
  <c r="AW19" i="1"/>
  <c r="AP19" i="1"/>
  <c r="BI19" i="1" s="1"/>
  <c r="AC19" i="1" s="1"/>
  <c r="AO19" i="1"/>
  <c r="BH19" i="1" s="1"/>
  <c r="AB19" i="1" s="1"/>
  <c r="AL19" i="1"/>
  <c r="AK19" i="1"/>
  <c r="AJ19" i="1"/>
  <c r="AS12" i="1" s="1"/>
  <c r="AH19" i="1"/>
  <c r="AG19" i="1"/>
  <c r="AF19" i="1"/>
  <c r="AE19" i="1"/>
  <c r="AD19" i="1"/>
  <c r="Z19" i="1"/>
  <c r="J19" i="1"/>
  <c r="I19" i="1"/>
  <c r="H19" i="1"/>
  <c r="BJ17" i="1"/>
  <c r="BF17" i="1"/>
  <c r="BD17" i="1"/>
  <c r="AX17" i="1"/>
  <c r="AP17" i="1"/>
  <c r="BI17" i="1" s="1"/>
  <c r="AG17" i="1" s="1"/>
  <c r="AO17" i="1"/>
  <c r="H17" i="1" s="1"/>
  <c r="AL17" i="1"/>
  <c r="AJ17" i="1"/>
  <c r="AH17" i="1"/>
  <c r="AE17" i="1"/>
  <c r="AD17" i="1"/>
  <c r="AC17" i="1"/>
  <c r="AB17" i="1"/>
  <c r="Z17" i="1"/>
  <c r="J17" i="1"/>
  <c r="AK17" i="1" s="1"/>
  <c r="I17" i="1"/>
  <c r="BJ15" i="1"/>
  <c r="BF15" i="1"/>
  <c r="BD15" i="1"/>
  <c r="AW15" i="1"/>
  <c r="AP15" i="1"/>
  <c r="I15" i="1" s="1"/>
  <c r="AO15" i="1"/>
  <c r="H15" i="1" s="1"/>
  <c r="AL15" i="1"/>
  <c r="AU12" i="1" s="1"/>
  <c r="AJ15" i="1"/>
  <c r="AH15" i="1"/>
  <c r="AG15" i="1"/>
  <c r="AF15" i="1"/>
  <c r="AE15" i="1"/>
  <c r="AD15" i="1"/>
  <c r="Z15" i="1"/>
  <c r="J15" i="1"/>
  <c r="AK15" i="1" s="1"/>
  <c r="BJ14" i="1"/>
  <c r="BF14" i="1"/>
  <c r="BD14" i="1"/>
  <c r="AX14" i="1"/>
  <c r="AP14" i="1"/>
  <c r="I14" i="1" s="1"/>
  <c r="AO14" i="1"/>
  <c r="BH14" i="1" s="1"/>
  <c r="AB14" i="1" s="1"/>
  <c r="AL14" i="1"/>
  <c r="AJ14" i="1"/>
  <c r="AH14" i="1"/>
  <c r="AG14" i="1"/>
  <c r="AF14" i="1"/>
  <c r="AE14" i="1"/>
  <c r="AD14" i="1"/>
  <c r="Z14" i="1"/>
  <c r="J14" i="1"/>
  <c r="AK14" i="1" s="1"/>
  <c r="BJ13" i="1"/>
  <c r="BH13" i="1"/>
  <c r="AB13" i="1" s="1"/>
  <c r="BF13" i="1"/>
  <c r="BD13" i="1"/>
  <c r="AW13" i="1"/>
  <c r="AP13" i="1"/>
  <c r="I13" i="1" s="1"/>
  <c r="AO13" i="1"/>
  <c r="AL13" i="1"/>
  <c r="AK13" i="1"/>
  <c r="AJ13" i="1"/>
  <c r="AH13" i="1"/>
  <c r="AG13" i="1"/>
  <c r="AF13" i="1"/>
  <c r="AE13" i="1"/>
  <c r="AD13" i="1"/>
  <c r="Z13" i="1"/>
  <c r="J13" i="1"/>
  <c r="H13" i="1"/>
  <c r="AU1" i="1"/>
  <c r="AT1" i="1"/>
  <c r="AS1" i="1"/>
  <c r="BC45" i="1" l="1"/>
  <c r="AV45" i="1"/>
  <c r="AT12" i="1"/>
  <c r="BC76" i="1"/>
  <c r="AV74" i="1"/>
  <c r="BC21" i="1"/>
  <c r="BC43" i="1"/>
  <c r="BC46" i="1"/>
  <c r="AV46" i="1"/>
  <c r="I64" i="1"/>
  <c r="BC82" i="1"/>
  <c r="AV82" i="1"/>
  <c r="H57" i="1"/>
  <c r="BC69" i="1"/>
  <c r="BC31" i="1"/>
  <c r="H64" i="1"/>
  <c r="BC23" i="1"/>
  <c r="AV23" i="1"/>
  <c r="BC24" i="1"/>
  <c r="AV24" i="1"/>
  <c r="AV13" i="1"/>
  <c r="BC22" i="1"/>
  <c r="AV22" i="1"/>
  <c r="BC44" i="1"/>
  <c r="AV44" i="1"/>
  <c r="AT73" i="1"/>
  <c r="AT57" i="1"/>
  <c r="AV28" i="1"/>
  <c r="AV59" i="1"/>
  <c r="AV78" i="1"/>
  <c r="BC177" i="1"/>
  <c r="AV177" i="1"/>
  <c r="AX13" i="1"/>
  <c r="AW14" i="1"/>
  <c r="BI22" i="1"/>
  <c r="AC22" i="1" s="1"/>
  <c r="BH23" i="1"/>
  <c r="AX28" i="1"/>
  <c r="AW29" i="1"/>
  <c r="AV31" i="1"/>
  <c r="AX36" i="1"/>
  <c r="AV36" i="1" s="1"/>
  <c r="AW37" i="1"/>
  <c r="BI44" i="1"/>
  <c r="AC44" i="1" s="1"/>
  <c r="BH45" i="1"/>
  <c r="AB45" i="1" s="1"/>
  <c r="AX50" i="1"/>
  <c r="AV50" i="1" s="1"/>
  <c r="AW51" i="1"/>
  <c r="AX59" i="1"/>
  <c r="AW61" i="1"/>
  <c r="AV62" i="1"/>
  <c r="AX67" i="1"/>
  <c r="BC67" i="1" s="1"/>
  <c r="AW68" i="1"/>
  <c r="AX74" i="1"/>
  <c r="AW75" i="1"/>
  <c r="BI82" i="1"/>
  <c r="AE82" i="1" s="1"/>
  <c r="AT136" i="1"/>
  <c r="AV137" i="1"/>
  <c r="AV160" i="1"/>
  <c r="AT178" i="1"/>
  <c r="BC182" i="1"/>
  <c r="BC205" i="1"/>
  <c r="H266" i="1"/>
  <c r="BH266" i="1"/>
  <c r="AF266" i="1" s="1"/>
  <c r="AW266" i="1"/>
  <c r="I160" i="1"/>
  <c r="BI160" i="1"/>
  <c r="AE160" i="1" s="1"/>
  <c r="AX160" i="1"/>
  <c r="BC160" i="1" s="1"/>
  <c r="BC13" i="1"/>
  <c r="BC50" i="1"/>
  <c r="J57" i="1"/>
  <c r="BC59" i="1"/>
  <c r="BC74" i="1"/>
  <c r="BC88" i="1"/>
  <c r="I92" i="1"/>
  <c r="BI92" i="1"/>
  <c r="AE92" i="1" s="1"/>
  <c r="AX92" i="1"/>
  <c r="AV98" i="1"/>
  <c r="AS103" i="1"/>
  <c r="AV118" i="1"/>
  <c r="H132" i="1"/>
  <c r="BH132" i="1"/>
  <c r="AD132" i="1" s="1"/>
  <c r="AW132" i="1"/>
  <c r="BH142" i="1"/>
  <c r="AD142" i="1" s="1"/>
  <c r="AW142" i="1"/>
  <c r="BI162" i="1"/>
  <c r="AE162" i="1" s="1"/>
  <c r="AX162" i="1"/>
  <c r="BC162" i="1" s="1"/>
  <c r="BI172" i="1"/>
  <c r="AE172" i="1" s="1"/>
  <c r="AX172" i="1"/>
  <c r="BC260" i="1"/>
  <c r="AV260" i="1"/>
  <c r="AV155" i="1"/>
  <c r="BC155" i="1"/>
  <c r="AV304" i="1"/>
  <c r="J12" i="1"/>
  <c r="J307" i="1" s="1"/>
  <c r="AX15" i="1"/>
  <c r="AV15" i="1" s="1"/>
  <c r="AW17" i="1"/>
  <c r="I22" i="1"/>
  <c r="H23" i="1"/>
  <c r="AX31" i="1"/>
  <c r="AW32" i="1"/>
  <c r="AX38" i="1"/>
  <c r="AV38" i="1" s="1"/>
  <c r="AW39" i="1"/>
  <c r="I44" i="1"/>
  <c r="I33" i="1" s="1"/>
  <c r="H45" i="1"/>
  <c r="H33" i="1" s="1"/>
  <c r="AX53" i="1"/>
  <c r="AV53" i="1" s="1"/>
  <c r="AW54" i="1"/>
  <c r="AX62" i="1"/>
  <c r="BC62" i="1" s="1"/>
  <c r="AW63" i="1"/>
  <c r="AX69" i="1"/>
  <c r="AV69" i="1" s="1"/>
  <c r="AW70" i="1"/>
  <c r="J73" i="1"/>
  <c r="AX76" i="1"/>
  <c r="AV76" i="1" s="1"/>
  <c r="AW77" i="1"/>
  <c r="I82" i="1"/>
  <c r="I73" i="1" s="1"/>
  <c r="BC92" i="1"/>
  <c r="AV92" i="1"/>
  <c r="AV97" i="1"/>
  <c r="AK100" i="1"/>
  <c r="AT96" i="1" s="1"/>
  <c r="J96" i="1"/>
  <c r="I106" i="1"/>
  <c r="BI106" i="1"/>
  <c r="AE106" i="1" s="1"/>
  <c r="AX106" i="1"/>
  <c r="BC106" i="1" s="1"/>
  <c r="AU103" i="1"/>
  <c r="AS148" i="1"/>
  <c r="AV162" i="1"/>
  <c r="I169" i="1"/>
  <c r="BI169" i="1"/>
  <c r="AE169" i="1" s="1"/>
  <c r="AX169" i="1"/>
  <c r="BC169" i="1" s="1"/>
  <c r="BH181" i="1"/>
  <c r="AD181" i="1" s="1"/>
  <c r="AW181" i="1"/>
  <c r="H197" i="1"/>
  <c r="BH197" i="1"/>
  <c r="AD197" i="1" s="1"/>
  <c r="AW197" i="1"/>
  <c r="I249" i="1"/>
  <c r="BI249" i="1"/>
  <c r="AG249" i="1" s="1"/>
  <c r="AX249" i="1"/>
  <c r="AV249" i="1" s="1"/>
  <c r="I86" i="1"/>
  <c r="AU159" i="1"/>
  <c r="I23" i="1"/>
  <c r="I12" i="1" s="1"/>
  <c r="H24" i="1"/>
  <c r="I45" i="1"/>
  <c r="H46" i="1"/>
  <c r="AX84" i="1"/>
  <c r="BC84" i="1" s="1"/>
  <c r="BI84" i="1"/>
  <c r="AE84" i="1" s="1"/>
  <c r="BI86" i="1"/>
  <c r="AE86" i="1" s="1"/>
  <c r="BH95" i="1"/>
  <c r="AW95" i="1"/>
  <c r="AV106" i="1"/>
  <c r="BC113" i="1"/>
  <c r="AV113" i="1"/>
  <c r="AV127" i="1"/>
  <c r="BH135" i="1"/>
  <c r="AW135" i="1"/>
  <c r="AV147" i="1"/>
  <c r="AV154" i="1"/>
  <c r="BH102" i="1"/>
  <c r="AW102" i="1"/>
  <c r="AX19" i="1"/>
  <c r="BC19" i="1" s="1"/>
  <c r="AW20" i="1"/>
  <c r="AV21" i="1"/>
  <c r="AX41" i="1"/>
  <c r="BC41" i="1" s="1"/>
  <c r="AW42" i="1"/>
  <c r="AV43" i="1"/>
  <c r="AX56" i="1"/>
  <c r="BC56" i="1" s="1"/>
  <c r="AX71" i="1"/>
  <c r="BC71" i="1" s="1"/>
  <c r="AW72" i="1"/>
  <c r="AX78" i="1"/>
  <c r="BC78" i="1" s="1"/>
  <c r="AW79" i="1"/>
  <c r="AV80" i="1"/>
  <c r="BC87" i="1"/>
  <c r="AV87" i="1"/>
  <c r="H93" i="1"/>
  <c r="H73" i="1" s="1"/>
  <c r="BH93" i="1"/>
  <c r="AD93" i="1" s="1"/>
  <c r="AW93" i="1"/>
  <c r="BI108" i="1"/>
  <c r="AE108" i="1" s="1"/>
  <c r="AX108" i="1"/>
  <c r="BC108" i="1" s="1"/>
  <c r="BC125" i="1"/>
  <c r="AV125" i="1"/>
  <c r="I139" i="1"/>
  <c r="BI139" i="1"/>
  <c r="AE139" i="1" s="1"/>
  <c r="AX139" i="1"/>
  <c r="H161" i="1"/>
  <c r="H159" i="1" s="1"/>
  <c r="BH161" i="1"/>
  <c r="AD161" i="1" s="1"/>
  <c r="AW161" i="1"/>
  <c r="AT168" i="1"/>
  <c r="I189" i="1"/>
  <c r="BI189" i="1"/>
  <c r="AE189" i="1" s="1"/>
  <c r="AX189" i="1"/>
  <c r="BC242" i="1"/>
  <c r="AV242" i="1"/>
  <c r="I306" i="1"/>
  <c r="BI306" i="1"/>
  <c r="AX306" i="1"/>
  <c r="H100" i="1"/>
  <c r="H96" i="1" s="1"/>
  <c r="BH100" i="1"/>
  <c r="AD100" i="1" s="1"/>
  <c r="AW100" i="1"/>
  <c r="BH29" i="1"/>
  <c r="AB29" i="1" s="1"/>
  <c r="BI101" i="1"/>
  <c r="AE101" i="1" s="1"/>
  <c r="AX101" i="1"/>
  <c r="BC101" i="1" s="1"/>
  <c r="BI121" i="1"/>
  <c r="AE121" i="1" s="1"/>
  <c r="AX121" i="1"/>
  <c r="BC139" i="1"/>
  <c r="AV139" i="1"/>
  <c r="BC145" i="1"/>
  <c r="AV145" i="1"/>
  <c r="BC158" i="1"/>
  <c r="AV158" i="1"/>
  <c r="AU178" i="1"/>
  <c r="BI13" i="1"/>
  <c r="AC13" i="1" s="1"/>
  <c r="BI29" i="1"/>
  <c r="AC29" i="1" s="1"/>
  <c r="BH31" i="1"/>
  <c r="AB31" i="1" s="1"/>
  <c r="BI37" i="1"/>
  <c r="BH38" i="1"/>
  <c r="BI51" i="1"/>
  <c r="AC51" i="1" s="1"/>
  <c r="BH53" i="1"/>
  <c r="AB53" i="1" s="1"/>
  <c r="BI61" i="1"/>
  <c r="AC61" i="1" s="1"/>
  <c r="BH62" i="1"/>
  <c r="AB62" i="1" s="1"/>
  <c r="BI68" i="1"/>
  <c r="AE68" i="1" s="1"/>
  <c r="BH69" i="1"/>
  <c r="AD69" i="1" s="1"/>
  <c r="C16" i="3" s="1"/>
  <c r="BI75" i="1"/>
  <c r="AE75" i="1" s="1"/>
  <c r="BH76" i="1"/>
  <c r="AD76" i="1" s="1"/>
  <c r="AV90" i="1"/>
  <c r="I101" i="1"/>
  <c r="AV105" i="1"/>
  <c r="AV117" i="1"/>
  <c r="I121" i="1"/>
  <c r="AK161" i="1"/>
  <c r="AT159" i="1" s="1"/>
  <c r="J159" i="1"/>
  <c r="H171" i="1"/>
  <c r="BH171" i="1"/>
  <c r="AD171" i="1" s="1"/>
  <c r="AW171" i="1"/>
  <c r="BH173" i="1"/>
  <c r="AD173" i="1" s="1"/>
  <c r="AW173" i="1"/>
  <c r="I178" i="1"/>
  <c r="BC185" i="1"/>
  <c r="H231" i="1"/>
  <c r="BH231" i="1"/>
  <c r="AW231" i="1"/>
  <c r="C20" i="3"/>
  <c r="BI28" i="1"/>
  <c r="AC28" i="1" s="1"/>
  <c r="BH15" i="1"/>
  <c r="AB15" i="1" s="1"/>
  <c r="C14" i="3" s="1"/>
  <c r="C29" i="3"/>
  <c r="F29" i="3" s="1"/>
  <c r="H14" i="1"/>
  <c r="BI15" i="1"/>
  <c r="AC15" i="1" s="1"/>
  <c r="BH17" i="1"/>
  <c r="AF17" i="1" s="1"/>
  <c r="C18" i="3" s="1"/>
  <c r="BI31" i="1"/>
  <c r="AC31" i="1" s="1"/>
  <c r="BH32" i="1"/>
  <c r="BI38" i="1"/>
  <c r="BH39" i="1"/>
  <c r="AB39" i="1" s="1"/>
  <c r="BI53" i="1"/>
  <c r="AC53" i="1" s="1"/>
  <c r="BH54" i="1"/>
  <c r="AB54" i="1" s="1"/>
  <c r="BI62" i="1"/>
  <c r="AC62" i="1" s="1"/>
  <c r="BH63" i="1"/>
  <c r="BI69" i="1"/>
  <c r="AE69" i="1" s="1"/>
  <c r="C17" i="3" s="1"/>
  <c r="BH70" i="1"/>
  <c r="AD70" i="1" s="1"/>
  <c r="BI76" i="1"/>
  <c r="AE76" i="1" s="1"/>
  <c r="BH77" i="1"/>
  <c r="AD77" i="1" s="1"/>
  <c r="AV89" i="1"/>
  <c r="BC89" i="1"/>
  <c r="BC90" i="1"/>
  <c r="H107" i="1"/>
  <c r="H103" i="1" s="1"/>
  <c r="BH107" i="1"/>
  <c r="AD107" i="1" s="1"/>
  <c r="AW107" i="1"/>
  <c r="I119" i="1"/>
  <c r="BI119" i="1"/>
  <c r="AE119" i="1" s="1"/>
  <c r="AX119" i="1"/>
  <c r="BC119" i="1" s="1"/>
  <c r="BC129" i="1"/>
  <c r="BC138" i="1"/>
  <c r="BI141" i="1"/>
  <c r="AE141" i="1" s="1"/>
  <c r="AX141" i="1"/>
  <c r="BC141" i="1" s="1"/>
  <c r="BH164" i="1"/>
  <c r="AD164" i="1" s="1"/>
  <c r="AW164" i="1"/>
  <c r="BC176" i="1"/>
  <c r="BI179" i="1"/>
  <c r="AE179" i="1" s="1"/>
  <c r="AX179" i="1"/>
  <c r="BC179" i="1" s="1"/>
  <c r="BC296" i="1"/>
  <c r="AV296" i="1"/>
  <c r="H120" i="1"/>
  <c r="BH120" i="1"/>
  <c r="AD120" i="1" s="1"/>
  <c r="AW120" i="1"/>
  <c r="BC28" i="1"/>
  <c r="C27" i="3"/>
  <c r="BI14" i="1"/>
  <c r="AC14" i="1" s="1"/>
  <c r="BH87" i="1"/>
  <c r="AD87" i="1" s="1"/>
  <c r="I99" i="1"/>
  <c r="I96" i="1" s="1"/>
  <c r="BI99" i="1"/>
  <c r="AE99" i="1" s="1"/>
  <c r="AX99" i="1"/>
  <c r="BC99" i="1" s="1"/>
  <c r="BC114" i="1"/>
  <c r="AV114" i="1"/>
  <c r="I131" i="1"/>
  <c r="BI131" i="1"/>
  <c r="AE131" i="1" s="1"/>
  <c r="AX131" i="1"/>
  <c r="BC131" i="1" s="1"/>
  <c r="AK149" i="1"/>
  <c r="AT148" i="1" s="1"/>
  <c r="BC152" i="1"/>
  <c r="AV179" i="1"/>
  <c r="BC94" i="1"/>
  <c r="C21" i="3"/>
  <c r="AK107" i="1"/>
  <c r="AT103" i="1" s="1"/>
  <c r="J103" i="1"/>
  <c r="BH122" i="1"/>
  <c r="AD122" i="1" s="1"/>
  <c r="AW122" i="1"/>
  <c r="AV128" i="1"/>
  <c r="BC128" i="1"/>
  <c r="BI134" i="1"/>
  <c r="AE134" i="1" s="1"/>
  <c r="AX134" i="1"/>
  <c r="AV134" i="1" s="1"/>
  <c r="H140" i="1"/>
  <c r="BH140" i="1"/>
  <c r="AD140" i="1" s="1"/>
  <c r="AW140" i="1"/>
  <c r="BC146" i="1"/>
  <c r="AV146" i="1"/>
  <c r="H148" i="1"/>
  <c r="AK171" i="1"/>
  <c r="J168" i="1"/>
  <c r="AW86" i="1"/>
  <c r="BH86" i="1"/>
  <c r="AD86" i="1" s="1"/>
  <c r="BI94" i="1"/>
  <c r="AE94" i="1" s="1"/>
  <c r="AX94" i="1"/>
  <c r="H102" i="1"/>
  <c r="BC104" i="1"/>
  <c r="BH110" i="1"/>
  <c r="AD110" i="1" s="1"/>
  <c r="AW110" i="1"/>
  <c r="BC112" i="1"/>
  <c r="AV112" i="1"/>
  <c r="AV116" i="1"/>
  <c r="BC116" i="1"/>
  <c r="BC126" i="1"/>
  <c r="AV126" i="1"/>
  <c r="BC134" i="1"/>
  <c r="BH149" i="1"/>
  <c r="AD149" i="1" s="1"/>
  <c r="AW149" i="1"/>
  <c r="BC153" i="1"/>
  <c r="AV153" i="1"/>
  <c r="BC156" i="1"/>
  <c r="BC167" i="1"/>
  <c r="I210" i="1"/>
  <c r="BI210" i="1"/>
  <c r="AE210" i="1" s="1"/>
  <c r="AX210" i="1"/>
  <c r="I264" i="1"/>
  <c r="BI264" i="1"/>
  <c r="AG264" i="1" s="1"/>
  <c r="AX264" i="1"/>
  <c r="AV274" i="1"/>
  <c r="BC274" i="1"/>
  <c r="I95" i="1"/>
  <c r="BI112" i="1"/>
  <c r="AE112" i="1" s="1"/>
  <c r="BH113" i="1"/>
  <c r="AD113" i="1" s="1"/>
  <c r="AX117" i="1"/>
  <c r="BC117" i="1" s="1"/>
  <c r="BH125" i="1"/>
  <c r="AD125" i="1" s="1"/>
  <c r="AW130" i="1"/>
  <c r="I135" i="1"/>
  <c r="BI144" i="1"/>
  <c r="AE144" i="1" s="1"/>
  <c r="BH145" i="1"/>
  <c r="AD145" i="1" s="1"/>
  <c r="BI158" i="1"/>
  <c r="AE158" i="1" s="1"/>
  <c r="BI167" i="1"/>
  <c r="AW184" i="1"/>
  <c r="H189" i="1"/>
  <c r="BH189" i="1"/>
  <c r="AD189" i="1" s="1"/>
  <c r="AW189" i="1"/>
  <c r="BC194" i="1"/>
  <c r="AV194" i="1"/>
  <c r="I197" i="1"/>
  <c r="I196" i="1" s="1"/>
  <c r="BI197" i="1"/>
  <c r="AE197" i="1" s="1"/>
  <c r="AX197" i="1"/>
  <c r="H279" i="1"/>
  <c r="BH279" i="1"/>
  <c r="AB279" i="1" s="1"/>
  <c r="AW279" i="1"/>
  <c r="BC284" i="1"/>
  <c r="AV284" i="1"/>
  <c r="AV288" i="1"/>
  <c r="BI87" i="1"/>
  <c r="AE87" i="1" s="1"/>
  <c r="BH88" i="1"/>
  <c r="AD88" i="1" s="1"/>
  <c r="AV94" i="1"/>
  <c r="AV101" i="1"/>
  <c r="BI126" i="1"/>
  <c r="AE126" i="1" s="1"/>
  <c r="BH127" i="1"/>
  <c r="AD127" i="1" s="1"/>
  <c r="J136" i="1"/>
  <c r="BI146" i="1"/>
  <c r="AE146" i="1" s="1"/>
  <c r="BH147" i="1"/>
  <c r="BI153" i="1"/>
  <c r="AE153" i="1" s="1"/>
  <c r="BH154" i="1"/>
  <c r="AD154" i="1" s="1"/>
  <c r="I158" i="1"/>
  <c r="I157" i="1" s="1"/>
  <c r="I167" i="1"/>
  <c r="BI177" i="1"/>
  <c r="J188" i="1"/>
  <c r="AK197" i="1"/>
  <c r="AT196" i="1" s="1"/>
  <c r="J196" i="1"/>
  <c r="BC201" i="1"/>
  <c r="AV201" i="1"/>
  <c r="BC223" i="1"/>
  <c r="AV223" i="1"/>
  <c r="I231" i="1"/>
  <c r="BI231" i="1"/>
  <c r="AX231" i="1"/>
  <c r="H250" i="1"/>
  <c r="BH250" i="1"/>
  <c r="AF250" i="1" s="1"/>
  <c r="AW250" i="1"/>
  <c r="BC271" i="1"/>
  <c r="AV271" i="1"/>
  <c r="AV302" i="1"/>
  <c r="BC302" i="1"/>
  <c r="BI115" i="1"/>
  <c r="AE115" i="1" s="1"/>
  <c r="BH116" i="1"/>
  <c r="AD116" i="1" s="1"/>
  <c r="AX120" i="1"/>
  <c r="AW121" i="1"/>
  <c r="I125" i="1"/>
  <c r="BI127" i="1"/>
  <c r="AE127" i="1" s="1"/>
  <c r="BH128" i="1"/>
  <c r="AD128" i="1" s="1"/>
  <c r="BI147" i="1"/>
  <c r="I152" i="1"/>
  <c r="I148" i="1" s="1"/>
  <c r="H153" i="1"/>
  <c r="BI154" i="1"/>
  <c r="AE154" i="1" s="1"/>
  <c r="BH155" i="1"/>
  <c r="AD155" i="1" s="1"/>
  <c r="AX171" i="1"/>
  <c r="AW172" i="1"/>
  <c r="I176" i="1"/>
  <c r="H177" i="1"/>
  <c r="AT188" i="1"/>
  <c r="AU188" i="1"/>
  <c r="H198" i="1"/>
  <c r="BH198" i="1"/>
  <c r="AD198" i="1" s="1"/>
  <c r="AW198" i="1"/>
  <c r="AV207" i="1"/>
  <c r="BC207" i="1"/>
  <c r="H211" i="1"/>
  <c r="BH211" i="1"/>
  <c r="AD211" i="1" s="1"/>
  <c r="AW211" i="1"/>
  <c r="BC225" i="1"/>
  <c r="AV225" i="1"/>
  <c r="AS243" i="1"/>
  <c r="I250" i="1"/>
  <c r="BI250" i="1"/>
  <c r="AG250" i="1" s="1"/>
  <c r="AX250" i="1"/>
  <c r="BC256" i="1"/>
  <c r="AV256" i="1"/>
  <c r="H286" i="1"/>
  <c r="BH286" i="1"/>
  <c r="AF286" i="1" s="1"/>
  <c r="AW286" i="1"/>
  <c r="AV111" i="1"/>
  <c r="I146" i="1"/>
  <c r="H147" i="1"/>
  <c r="H136" i="1" s="1"/>
  <c r="AV150" i="1"/>
  <c r="I153" i="1"/>
  <c r="H154" i="1"/>
  <c r="AV166" i="1"/>
  <c r="AV174" i="1"/>
  <c r="I177" i="1"/>
  <c r="AV182" i="1"/>
  <c r="H190" i="1"/>
  <c r="BH190" i="1"/>
  <c r="AD190" i="1" s="1"/>
  <c r="AW190" i="1"/>
  <c r="I211" i="1"/>
  <c r="BI211" i="1"/>
  <c r="AE211" i="1" s="1"/>
  <c r="AX211" i="1"/>
  <c r="BC238" i="1"/>
  <c r="AU243" i="1"/>
  <c r="BC247" i="1"/>
  <c r="AV247" i="1"/>
  <c r="AX122" i="1"/>
  <c r="AW123" i="1"/>
  <c r="I127" i="1"/>
  <c r="AX142" i="1"/>
  <c r="AW143" i="1"/>
  <c r="AV144" i="1"/>
  <c r="AV151" i="1"/>
  <c r="AV175" i="1"/>
  <c r="BC204" i="1"/>
  <c r="BC216" i="1"/>
  <c r="BC218" i="1"/>
  <c r="H244" i="1"/>
  <c r="BH244" i="1"/>
  <c r="AB244" i="1" s="1"/>
  <c r="AW244" i="1"/>
  <c r="AK250" i="1"/>
  <c r="AT248" i="1" s="1"/>
  <c r="J248" i="1"/>
  <c r="BC254" i="1"/>
  <c r="AV254" i="1"/>
  <c r="AV259" i="1"/>
  <c r="BC259" i="1"/>
  <c r="H251" i="1"/>
  <c r="BH251" i="1"/>
  <c r="AB251" i="1" s="1"/>
  <c r="AW251" i="1"/>
  <c r="BC262" i="1"/>
  <c r="BC272" i="1"/>
  <c r="AV272" i="1"/>
  <c r="I277" i="1"/>
  <c r="BI277" i="1"/>
  <c r="AC277" i="1" s="1"/>
  <c r="AX277" i="1"/>
  <c r="BC283" i="1"/>
  <c r="AV283" i="1"/>
  <c r="AK286" i="1"/>
  <c r="AT285" i="1" s="1"/>
  <c r="J285" i="1"/>
  <c r="BC294" i="1"/>
  <c r="AV294" i="1"/>
  <c r="BC300" i="1"/>
  <c r="AW187" i="1"/>
  <c r="H187" i="1"/>
  <c r="H183" i="1" s="1"/>
  <c r="H212" i="1"/>
  <c r="BH212" i="1"/>
  <c r="AD212" i="1" s="1"/>
  <c r="AW212" i="1"/>
  <c r="AK244" i="1"/>
  <c r="AT243" i="1" s="1"/>
  <c r="J243" i="1"/>
  <c r="I262" i="1"/>
  <c r="BI262" i="1"/>
  <c r="AG262" i="1" s="1"/>
  <c r="AX262" i="1"/>
  <c r="AV262" i="1" s="1"/>
  <c r="BI93" i="1"/>
  <c r="AE93" i="1" s="1"/>
  <c r="BH94" i="1"/>
  <c r="AD94" i="1" s="1"/>
  <c r="BI100" i="1"/>
  <c r="AE100" i="1" s="1"/>
  <c r="BH101" i="1"/>
  <c r="AD101" i="1" s="1"/>
  <c r="AX187" i="1"/>
  <c r="BI187" i="1"/>
  <c r="BC195" i="1"/>
  <c r="AV195" i="1"/>
  <c r="BC202" i="1"/>
  <c r="AV202" i="1"/>
  <c r="BC206" i="1"/>
  <c r="BC215" i="1"/>
  <c r="AV215" i="1"/>
  <c r="I230" i="1"/>
  <c r="BI230" i="1"/>
  <c r="AE230" i="1" s="1"/>
  <c r="AX230" i="1"/>
  <c r="AV275" i="1"/>
  <c r="BC275" i="1"/>
  <c r="BC298" i="1"/>
  <c r="BC217" i="1"/>
  <c r="AV217" i="1"/>
  <c r="BC224" i="1"/>
  <c r="AV224" i="1"/>
  <c r="AV228" i="1"/>
  <c r="BC228" i="1"/>
  <c r="H232" i="1"/>
  <c r="AV236" i="1"/>
  <c r="BC236" i="1"/>
  <c r="BC240" i="1"/>
  <c r="AV240" i="1"/>
  <c r="AU248" i="1"/>
  <c r="BC255" i="1"/>
  <c r="AV255" i="1"/>
  <c r="H278" i="1"/>
  <c r="BH278" i="1"/>
  <c r="AF278" i="1" s="1"/>
  <c r="AW278" i="1"/>
  <c r="AV205" i="1"/>
  <c r="AT219" i="1"/>
  <c r="BC249" i="1"/>
  <c r="H264" i="1"/>
  <c r="BH264" i="1"/>
  <c r="AF264" i="1" s="1"/>
  <c r="AW264" i="1"/>
  <c r="BC270" i="1"/>
  <c r="I278" i="1"/>
  <c r="BI278" i="1"/>
  <c r="AG278" i="1" s="1"/>
  <c r="C19" i="3" s="1"/>
  <c r="AX278" i="1"/>
  <c r="I193" i="1"/>
  <c r="H194" i="1"/>
  <c r="BI195" i="1"/>
  <c r="AX209" i="1"/>
  <c r="AV209" i="1" s="1"/>
  <c r="AW210" i="1"/>
  <c r="BI216" i="1"/>
  <c r="AE216" i="1" s="1"/>
  <c r="BH217" i="1"/>
  <c r="AD217" i="1" s="1"/>
  <c r="I221" i="1"/>
  <c r="H223" i="1"/>
  <c r="AK223" i="1"/>
  <c r="BI224" i="1"/>
  <c r="BH225" i="1"/>
  <c r="AX229" i="1"/>
  <c r="AV229" i="1" s="1"/>
  <c r="AW230" i="1"/>
  <c r="AX238" i="1"/>
  <c r="AV238" i="1" s="1"/>
  <c r="BI240" i="1"/>
  <c r="AE240" i="1" s="1"/>
  <c r="BH242" i="1"/>
  <c r="AD242" i="1" s="1"/>
  <c r="I246" i="1"/>
  <c r="I243" i="1" s="1"/>
  <c r="H247" i="1"/>
  <c r="H254" i="1"/>
  <c r="BI255" i="1"/>
  <c r="AC255" i="1" s="1"/>
  <c r="BH256" i="1"/>
  <c r="AF256" i="1" s="1"/>
  <c r="BI271" i="1"/>
  <c r="AC271" i="1" s="1"/>
  <c r="BH272" i="1"/>
  <c r="AB272" i="1" s="1"/>
  <c r="AX276" i="1"/>
  <c r="AV276" i="1" s="1"/>
  <c r="AW277" i="1"/>
  <c r="BI283" i="1"/>
  <c r="AG283" i="1" s="1"/>
  <c r="BH284" i="1"/>
  <c r="BI294" i="1"/>
  <c r="AG294" i="1" s="1"/>
  <c r="BH296" i="1"/>
  <c r="AF296" i="1" s="1"/>
  <c r="AX304" i="1"/>
  <c r="BC304" i="1" s="1"/>
  <c r="AW306" i="1"/>
  <c r="BI204" i="1"/>
  <c r="AE204" i="1" s="1"/>
  <c r="BH205" i="1"/>
  <c r="AD205" i="1" s="1"/>
  <c r="BI217" i="1"/>
  <c r="AE217" i="1" s="1"/>
  <c r="BH218" i="1"/>
  <c r="I223" i="1"/>
  <c r="I219" i="1" s="1"/>
  <c r="H224" i="1"/>
  <c r="H219" i="1" s="1"/>
  <c r="H240" i="1"/>
  <c r="AK240" i="1"/>
  <c r="AT239" i="1" s="1"/>
  <c r="BI242" i="1"/>
  <c r="AE242" i="1" s="1"/>
  <c r="I247" i="1"/>
  <c r="I254" i="1"/>
  <c r="H255" i="1"/>
  <c r="BI256" i="1"/>
  <c r="AG256" i="1" s="1"/>
  <c r="BH257" i="1"/>
  <c r="AB257" i="1" s="1"/>
  <c r="I270" i="1"/>
  <c r="H271" i="1"/>
  <c r="BI272" i="1"/>
  <c r="AC272" i="1" s="1"/>
  <c r="BH273" i="1"/>
  <c r="AB273" i="1" s="1"/>
  <c r="BI284" i="1"/>
  <c r="BI296" i="1"/>
  <c r="AG296" i="1" s="1"/>
  <c r="BH298" i="1"/>
  <c r="AF298" i="1" s="1"/>
  <c r="AV192" i="1"/>
  <c r="BI205" i="1"/>
  <c r="AE205" i="1" s="1"/>
  <c r="BH206" i="1"/>
  <c r="AD206" i="1" s="1"/>
  <c r="I240" i="1"/>
  <c r="I239" i="1" s="1"/>
  <c r="H242" i="1"/>
  <c r="AV245" i="1"/>
  <c r="AV252" i="1"/>
  <c r="I255" i="1"/>
  <c r="H256" i="1"/>
  <c r="AV268" i="1"/>
  <c r="AV193" i="1"/>
  <c r="AW213" i="1"/>
  <c r="AV221" i="1"/>
  <c r="AV246" i="1"/>
  <c r="AV253" i="1"/>
  <c r="AV269" i="1"/>
  <c r="I272" i="1"/>
  <c r="AV281" i="1"/>
  <c r="I284" i="1"/>
  <c r="I296" i="1"/>
  <c r="I285" i="1" s="1"/>
  <c r="H298" i="1"/>
  <c r="AX199" i="1"/>
  <c r="AV199" i="1" s="1"/>
  <c r="AW200" i="1"/>
  <c r="AV270" i="1"/>
  <c r="BI275" i="1"/>
  <c r="AC275" i="1" s="1"/>
  <c r="BH276" i="1"/>
  <c r="AF276" i="1" s="1"/>
  <c r="AV282" i="1"/>
  <c r="AX288" i="1"/>
  <c r="BC288" i="1" s="1"/>
  <c r="AW290" i="1"/>
  <c r="AV292" i="1"/>
  <c r="BI302" i="1"/>
  <c r="AG302" i="1" s="1"/>
  <c r="BH304" i="1"/>
  <c r="AF304" i="1" s="1"/>
  <c r="BI209" i="1"/>
  <c r="AE209" i="1" s="1"/>
  <c r="AV216" i="1"/>
  <c r="AV204" i="1"/>
  <c r="AV68" i="1" l="1"/>
  <c r="BC68" i="1"/>
  <c r="BC286" i="1"/>
  <c r="AV286" i="1"/>
  <c r="BC29" i="1"/>
  <c r="AV29" i="1"/>
  <c r="H243" i="1"/>
  <c r="H285" i="1"/>
  <c r="AV141" i="1"/>
  <c r="BC279" i="1"/>
  <c r="AV279" i="1"/>
  <c r="BC184" i="1"/>
  <c r="AV184" i="1"/>
  <c r="BC149" i="1"/>
  <c r="AV149" i="1"/>
  <c r="BC140" i="1"/>
  <c r="AV140" i="1"/>
  <c r="AV119" i="1"/>
  <c r="I168" i="1"/>
  <c r="BC39" i="1"/>
  <c r="AV39" i="1"/>
  <c r="BC36" i="1"/>
  <c r="AV61" i="1"/>
  <c r="BC61" i="1"/>
  <c r="BC38" i="1"/>
  <c r="BC172" i="1"/>
  <c r="AV172" i="1"/>
  <c r="BC110" i="1"/>
  <c r="AV110" i="1"/>
  <c r="BC20" i="1"/>
  <c r="AV20" i="1"/>
  <c r="BC290" i="1"/>
  <c r="AV290" i="1"/>
  <c r="BC276" i="1"/>
  <c r="AV99" i="1"/>
  <c r="BC173" i="1"/>
  <c r="AV173" i="1"/>
  <c r="BC102" i="1"/>
  <c r="AV102" i="1"/>
  <c r="BC77" i="1"/>
  <c r="AV77" i="1"/>
  <c r="BC53" i="1"/>
  <c r="BC15" i="1"/>
  <c r="AV71" i="1"/>
  <c r="BC251" i="1"/>
  <c r="AV251" i="1"/>
  <c r="H188" i="1"/>
  <c r="BC120" i="1"/>
  <c r="AV120" i="1"/>
  <c r="BC306" i="1"/>
  <c r="AV306" i="1"/>
  <c r="BC264" i="1"/>
  <c r="AV264" i="1"/>
  <c r="BC198" i="1"/>
  <c r="AV198" i="1"/>
  <c r="H12" i="1"/>
  <c r="BC79" i="1"/>
  <c r="AV79" i="1"/>
  <c r="BC95" i="1"/>
  <c r="AV95" i="1"/>
  <c r="BC32" i="1"/>
  <c r="AV32" i="1"/>
  <c r="AV41" i="1"/>
  <c r="BC278" i="1"/>
  <c r="AV278" i="1"/>
  <c r="BC244" i="1"/>
  <c r="AV244" i="1"/>
  <c r="BC161" i="1"/>
  <c r="AV161" i="1"/>
  <c r="BC171" i="1"/>
  <c r="AV171" i="1"/>
  <c r="AV108" i="1"/>
  <c r="I136" i="1"/>
  <c r="AV169" i="1"/>
  <c r="AV51" i="1"/>
  <c r="BC51" i="1"/>
  <c r="BC187" i="1"/>
  <c r="AV187" i="1"/>
  <c r="BC100" i="1"/>
  <c r="AV100" i="1"/>
  <c r="BC132" i="1"/>
  <c r="AV132" i="1"/>
  <c r="BC229" i="1"/>
  <c r="BC250" i="1"/>
  <c r="AV250" i="1"/>
  <c r="C15" i="3"/>
  <c r="C22" i="3" s="1"/>
  <c r="BC72" i="1"/>
  <c r="AV72" i="1"/>
  <c r="I248" i="1"/>
  <c r="BC70" i="1"/>
  <c r="AV70" i="1"/>
  <c r="I159" i="1"/>
  <c r="BC14" i="1"/>
  <c r="AV14" i="1"/>
  <c r="AV67" i="1"/>
  <c r="AV19" i="1"/>
  <c r="BC189" i="1"/>
  <c r="AV189" i="1"/>
  <c r="BC122" i="1"/>
  <c r="AV122" i="1"/>
  <c r="BC123" i="1"/>
  <c r="AV123" i="1"/>
  <c r="BC213" i="1"/>
  <c r="AV213" i="1"/>
  <c r="BC210" i="1"/>
  <c r="AV210" i="1"/>
  <c r="BC212" i="1"/>
  <c r="AV212" i="1"/>
  <c r="BC86" i="1"/>
  <c r="AV86" i="1"/>
  <c r="AV131" i="1"/>
  <c r="H168" i="1"/>
  <c r="BC199" i="1"/>
  <c r="BC197" i="1"/>
  <c r="AV197" i="1"/>
  <c r="BC200" i="1"/>
  <c r="AV200" i="1"/>
  <c r="BC130" i="1"/>
  <c r="AV130" i="1"/>
  <c r="BC107" i="1"/>
  <c r="AV107" i="1"/>
  <c r="I103" i="1"/>
  <c r="BC63" i="1"/>
  <c r="AV63" i="1"/>
  <c r="BC17" i="1"/>
  <c r="AV17" i="1"/>
  <c r="BC266" i="1"/>
  <c r="AV266" i="1"/>
  <c r="AV75" i="1"/>
  <c r="BC75" i="1"/>
  <c r="AV84" i="1"/>
  <c r="H239" i="1"/>
  <c r="BC143" i="1"/>
  <c r="AV143" i="1"/>
  <c r="BC121" i="1"/>
  <c r="AV121" i="1"/>
  <c r="BC231" i="1"/>
  <c r="AV231" i="1"/>
  <c r="BC135" i="1"/>
  <c r="AV135" i="1"/>
  <c r="H196" i="1"/>
  <c r="BC142" i="1"/>
  <c r="AV142" i="1"/>
  <c r="BC211" i="1"/>
  <c r="AV211" i="1"/>
  <c r="H248" i="1"/>
  <c r="BC277" i="1"/>
  <c r="AV277" i="1"/>
  <c r="BC230" i="1"/>
  <c r="AV230" i="1"/>
  <c r="BC209" i="1"/>
  <c r="BC190" i="1"/>
  <c r="AV190" i="1"/>
  <c r="BC164" i="1"/>
  <c r="AV164" i="1"/>
  <c r="I188" i="1"/>
  <c r="BC93" i="1"/>
  <c r="AV93" i="1"/>
  <c r="BC42" i="1"/>
  <c r="AV42" i="1"/>
  <c r="BC181" i="1"/>
  <c r="AV181" i="1"/>
  <c r="BC54" i="1"/>
  <c r="AV54" i="1"/>
  <c r="AV37" i="1"/>
  <c r="BC37" i="1"/>
  <c r="AV56" i="1"/>
  <c r="H27" i="4" l="1"/>
  <c r="I27" i="4" s="1"/>
  <c r="F29" i="4" s="1"/>
  <c r="I22" i="3"/>
  <c r="C28" i="3" s="1"/>
  <c r="F28" i="3" l="1"/>
  <c r="I28" i="3"/>
  <c r="I29" i="3" l="1"/>
</calcChain>
</file>

<file path=xl/sharedStrings.xml><?xml version="1.0" encoding="utf-8"?>
<sst xmlns="http://schemas.openxmlformats.org/spreadsheetml/2006/main" count="4949" uniqueCount="1094">
  <si>
    <t>Slepý stavební rozpočet</t>
  </si>
  <si>
    <t>Název stavby:</t>
  </si>
  <si>
    <t>Revitalizace městských bytů v Šumperku - BJ č.3</t>
  </si>
  <si>
    <t>Doba výstavby:</t>
  </si>
  <si>
    <t xml:space="preserve"> </t>
  </si>
  <si>
    <t>Objednatel:</t>
  </si>
  <si>
    <t>Město Šumperk, nám. Míru 1, 787 01 Šumperk</t>
  </si>
  <si>
    <t>Druh stavby:</t>
  </si>
  <si>
    <t>Bytový dům</t>
  </si>
  <si>
    <t>Začátek výstavby:</t>
  </si>
  <si>
    <t>Projektant:</t>
  </si>
  <si>
    <t>Ing. Petr Doleček</t>
  </si>
  <si>
    <t>Lokalita:</t>
  </si>
  <si>
    <t>17.listopadu 1247/3 Šumperk</t>
  </si>
  <si>
    <t>Konec výstavby:</t>
  </si>
  <si>
    <t>Zhotovitel:</t>
  </si>
  <si>
    <t> </t>
  </si>
  <si>
    <t>JKSO:</t>
  </si>
  <si>
    <t>Zpracováno dne:</t>
  </si>
  <si>
    <t>26.06.2024</t>
  </si>
  <si>
    <t>Zpracoval:</t>
  </si>
  <si>
    <t>Č</t>
  </si>
  <si>
    <t>Kód</t>
  </si>
  <si>
    <t>Zkrácený popis / Varianta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</si>
  <si>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</si>
  <si>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</si>
  <si>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</si>
  <si>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</si>
  <si>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</si>
  <si>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</si>
  <si>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</si>
  <si>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</si>
  <si>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</si>
  <si>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</si>
  <si>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</si>
  <si>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</si>
  <si>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</si>
  <si>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</si>
  <si>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</si>
  <si>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</si>
  <si>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</si>
  <si>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</si>
  <si>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</si>
  <si>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</si>
  <si>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</si>
  <si>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</si>
  <si>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</si>
  <si>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</si>
  <si>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</si>
  <si>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</si>
  <si>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</si>
  <si>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34</t>
  </si>
  <si>
    <t>Stěny a příčky</t>
  </si>
  <si>
    <t>1</t>
  </si>
  <si>
    <t>968061126R00</t>
  </si>
  <si>
    <t>Vyvěšení dřevěných a plastových dveřních křídel pl. nad 2 m2</t>
  </si>
  <si>
    <t>kus</t>
  </si>
  <si>
    <t>RTS I / 2024</t>
  </si>
  <si>
    <t>34_</t>
  </si>
  <si>
    <t>3_</t>
  </si>
  <si>
    <t>_</t>
  </si>
  <si>
    <t>2</t>
  </si>
  <si>
    <t>968062456R00</t>
  </si>
  <si>
    <t>Vybourání dřevěných dveřních zárubní pl. nad 2 m2</t>
  </si>
  <si>
    <t>m2</t>
  </si>
  <si>
    <t>3</t>
  </si>
  <si>
    <t>962200011RAA</t>
  </si>
  <si>
    <t>Bourání příček z cihel pálených</t>
  </si>
  <si>
    <t>Varianta:</t>
  </si>
  <si>
    <t>tloušťka 10 cm</t>
  </si>
  <si>
    <t>4</t>
  </si>
  <si>
    <t>460680023RT2</t>
  </si>
  <si>
    <t>Průraz zdivem v cihlové zdi tloušťky 45 cm</t>
  </si>
  <si>
    <t>plochy do 0,025 m2</t>
  </si>
  <si>
    <t>5</t>
  </si>
  <si>
    <t>767312739R00</t>
  </si>
  <si>
    <t>Úprava pro prostup potrubí</t>
  </si>
  <si>
    <t>6</t>
  </si>
  <si>
    <t>974031122R00</t>
  </si>
  <si>
    <t>Vysekání rýh ve zdi cihelné 3 x 7 cm</t>
  </si>
  <si>
    <t>m</t>
  </si>
  <si>
    <t>7</t>
  </si>
  <si>
    <t>974031133R00</t>
  </si>
  <si>
    <t>Vysekání rýh ve zdi cihelné 5 x 10 cm</t>
  </si>
  <si>
    <t>8</t>
  </si>
  <si>
    <t>974031143R00</t>
  </si>
  <si>
    <t>Vysekání rýh ve zdi cihelné 7 x 10 cm</t>
  </si>
  <si>
    <t>9</t>
  </si>
  <si>
    <t>979082212R00</t>
  </si>
  <si>
    <t>Vodorovná doprava suti po suchu do 50 m</t>
  </si>
  <si>
    <t>t</t>
  </si>
  <si>
    <t>10</t>
  </si>
  <si>
    <t>979083117R00</t>
  </si>
  <si>
    <t>Vodorovné přemístění suti na skládku do 6000 m</t>
  </si>
  <si>
    <t>11</t>
  </si>
  <si>
    <t>979990107R00</t>
  </si>
  <si>
    <t>Poplatek za uložení suti - směs betonu, cihel, dřeva, skupina odpadu 170904</t>
  </si>
  <si>
    <t>12</t>
  </si>
  <si>
    <t>342111322RT4</t>
  </si>
  <si>
    <t>Příčka SDVK tl.100 mm,ocel.kce,oplášť 12,5+12,5 mm</t>
  </si>
  <si>
    <t>izolace miner.tl. 60 mm, objem. hmotnost 50 kg/m3</t>
  </si>
  <si>
    <t>13</t>
  </si>
  <si>
    <t>342090131R00</t>
  </si>
  <si>
    <t>Úprava SDK příčky pro zřízení dveří 1kř do 25 kg, profily CW 100, 1x opláštěné</t>
  </si>
  <si>
    <t>14</t>
  </si>
  <si>
    <t>342264051RT3</t>
  </si>
  <si>
    <t>Podhled sádrokartonový na zavěšenou ocel. konstr.</t>
  </si>
  <si>
    <t>desky standard impreg. tl. 12,5 mm, bez izolace</t>
  </si>
  <si>
    <t>15</t>
  </si>
  <si>
    <t>340271612R00</t>
  </si>
  <si>
    <t>Zazdívka otvorů pl.do 4 m2, pórobet.tvár,tl.12,5cm</t>
  </si>
  <si>
    <t>m3</t>
  </si>
  <si>
    <t>16</t>
  </si>
  <si>
    <t>998011001R00</t>
  </si>
  <si>
    <t>Přesun hmot pro budovy zděné výšky do 6 m</t>
  </si>
  <si>
    <t>61</t>
  </si>
  <si>
    <t>Úprava povrchů vnitřní</t>
  </si>
  <si>
    <t>17</t>
  </si>
  <si>
    <t>610991111R00</t>
  </si>
  <si>
    <t>Zakrývání výplní vnitřních otvorů</t>
  </si>
  <si>
    <t>61_</t>
  </si>
  <si>
    <t>6_</t>
  </si>
  <si>
    <t>18</t>
  </si>
  <si>
    <t>978500010RA0</t>
  </si>
  <si>
    <t>Odsekání vnitřních obkladů</t>
  </si>
  <si>
    <t>19</t>
  </si>
  <si>
    <t>20</t>
  </si>
  <si>
    <t>21</t>
  </si>
  <si>
    <t>979990001R00</t>
  </si>
  <si>
    <t>Poplatek za skládku stavební suti</t>
  </si>
  <si>
    <t>RTS I / 2020</t>
  </si>
  <si>
    <t>22</t>
  </si>
  <si>
    <t>612403386R00</t>
  </si>
  <si>
    <t>Hrubá výplň rýh ve stěnách do 10x10cm maltou z SMS</t>
  </si>
  <si>
    <t>vč. omítkové směsi</t>
  </si>
  <si>
    <t>23</t>
  </si>
  <si>
    <t>319201315R00</t>
  </si>
  <si>
    <t>Vyrovnání zdiva pod omítku maltou ze SMS tl. 10 mm</t>
  </si>
  <si>
    <t>24</t>
  </si>
  <si>
    <t>711212311R00</t>
  </si>
  <si>
    <t>Penetrace savých podkladů weberpodklad A</t>
  </si>
  <si>
    <t>25</t>
  </si>
  <si>
    <t>781101142R00</t>
  </si>
  <si>
    <t>Hydroizolační stěrka dvouvrstvá pod obklady</t>
  </si>
  <si>
    <t>26</t>
  </si>
  <si>
    <t>585811012</t>
  </si>
  <si>
    <t>SE6 jednosložková hydroizolační stěrka</t>
  </si>
  <si>
    <t>kg</t>
  </si>
  <si>
    <t>27</t>
  </si>
  <si>
    <t>781475116R00</t>
  </si>
  <si>
    <t>Obklad vnitřní stěn keramický, do tmele, 30x30 cm</t>
  </si>
  <si>
    <t>28</t>
  </si>
  <si>
    <t>781497131R00</t>
  </si>
  <si>
    <t>Lišta nerezová ukončovacích k obkladům</t>
  </si>
  <si>
    <t>29</t>
  </si>
  <si>
    <t>612481211RU1</t>
  </si>
  <si>
    <t>Montáž výztužné sítě(perlinky)do stěrky-vnit.stěny</t>
  </si>
  <si>
    <t>včetně výztužné sítě a stěrkového tmelu Terranova</t>
  </si>
  <si>
    <t>30</t>
  </si>
  <si>
    <t>620991005R00</t>
  </si>
  <si>
    <t>Začišťovací okenní lišta s tkaninou</t>
  </si>
  <si>
    <t>31</t>
  </si>
  <si>
    <t>602013142R00</t>
  </si>
  <si>
    <t>Štuk na stěnách univerzální MVJ 2 ručně</t>
  </si>
  <si>
    <t>RTS I / 2022</t>
  </si>
  <si>
    <t>32</t>
  </si>
  <si>
    <t>611481211RU1</t>
  </si>
  <si>
    <t>Montáž výztužné sítě (perlinky) do stěrky-stropy</t>
  </si>
  <si>
    <t>včetně výztužné sítě a stěrkového tmelu Weber</t>
  </si>
  <si>
    <t>33</t>
  </si>
  <si>
    <t>601016174R00</t>
  </si>
  <si>
    <t>Štuk na stropech PROFI MK2, ručně</t>
  </si>
  <si>
    <t>612421431RT2</t>
  </si>
  <si>
    <t>Oprava vápen.omítek stěn do 50 % pl. - štukových</t>
  </si>
  <si>
    <t>s použitím suché maltové směsi</t>
  </si>
  <si>
    <t>35</t>
  </si>
  <si>
    <t>64</t>
  </si>
  <si>
    <t>Výplně otvorů</t>
  </si>
  <si>
    <t>36</t>
  </si>
  <si>
    <t>642941210T00</t>
  </si>
  <si>
    <t>Osazení pouzdra pro posuvné dveře jednostranné, do sádrokartonu</t>
  </si>
  <si>
    <t>64_</t>
  </si>
  <si>
    <t>37</t>
  </si>
  <si>
    <t>642941211RT2</t>
  </si>
  <si>
    <t>Pouzdro pro posuvné dveře jednostranné, do SDK</t>
  </si>
  <si>
    <t>jednostranné pouzdro 700/1970 mm</t>
  </si>
  <si>
    <t>38</t>
  </si>
  <si>
    <t>61169702</t>
  </si>
  <si>
    <t>Dveře posuvné do pouzdra UNO 700 x1970 mm ERKADO</t>
  </si>
  <si>
    <t>39</t>
  </si>
  <si>
    <t>762300001</t>
  </si>
  <si>
    <t>Zavěšení konstrukcí dveřních křídel</t>
  </si>
  <si>
    <t>40</t>
  </si>
  <si>
    <t>721</t>
  </si>
  <si>
    <t>Vnitřní kanalizace</t>
  </si>
  <si>
    <t>41</t>
  </si>
  <si>
    <t>721176103R00</t>
  </si>
  <si>
    <t>Potrubí HT připojovací D 50 x 1,8 mm</t>
  </si>
  <si>
    <t>721_</t>
  </si>
  <si>
    <t>72_</t>
  </si>
  <si>
    <t>42</t>
  </si>
  <si>
    <t>721176105R00</t>
  </si>
  <si>
    <t>Potrubí HT připojovací D 110 x 2,7 mm</t>
  </si>
  <si>
    <t>43</t>
  </si>
  <si>
    <t>721194105R00</t>
  </si>
  <si>
    <t>Vyvedení odpadních výpustek, D 50 x 1,8 mm</t>
  </si>
  <si>
    <t>44</t>
  </si>
  <si>
    <t>721194109R00</t>
  </si>
  <si>
    <t>Vyvedení odpadních výpustek, D 110 x 2,3 mm</t>
  </si>
  <si>
    <t>45</t>
  </si>
  <si>
    <t>721140915R00</t>
  </si>
  <si>
    <t>Provedení opravy vnitřní kanalizace, potrubí litinové, propojení dosavadního potrubí, DN 100 mm</t>
  </si>
  <si>
    <t>46</t>
  </si>
  <si>
    <t>721140912R00</t>
  </si>
  <si>
    <t>Provedení opravy vnitřní kanalizace, potrubí litinové, propojení dosavadního potrubí, DN 50 mm</t>
  </si>
  <si>
    <t>47</t>
  </si>
  <si>
    <t>892561111R00</t>
  </si>
  <si>
    <t>Zkouška těsnosti kanalizace DN do 125, vodou</t>
  </si>
  <si>
    <t>48</t>
  </si>
  <si>
    <t>998721101R00</t>
  </si>
  <si>
    <t>Přesun hmot pro vnitřní kanalizaci, výšky do 6 m</t>
  </si>
  <si>
    <t>722</t>
  </si>
  <si>
    <t>Vnitřní vodovod</t>
  </si>
  <si>
    <t>49</t>
  </si>
  <si>
    <t>722172311R00</t>
  </si>
  <si>
    <t>Potrubí z PPR, D 20x2,8 mm, PN 16, vč.zed.výpom.</t>
  </si>
  <si>
    <t>722_</t>
  </si>
  <si>
    <t>50</t>
  </si>
  <si>
    <t>722172312R00</t>
  </si>
  <si>
    <t>Potrubí z PPR, D 25x3,5 mm, PN 16, vč.zed.výpom.</t>
  </si>
  <si>
    <t>51</t>
  </si>
  <si>
    <t>722172313R00</t>
  </si>
  <si>
    <t>Potrubí plastové PP-R Instaplast, včetně zednických výpomocí, D 32 x 4,4 mm, PN 16</t>
  </si>
  <si>
    <t>52</t>
  </si>
  <si>
    <t>722174912R00</t>
  </si>
  <si>
    <t>Sestavení plastového rozvodu vody D 20 mm</t>
  </si>
  <si>
    <t>53</t>
  </si>
  <si>
    <t>722174913R00</t>
  </si>
  <si>
    <t>Sestavení plastového rozvodu vody D 25 mm</t>
  </si>
  <si>
    <t>54</t>
  </si>
  <si>
    <t>722174914R00</t>
  </si>
  <si>
    <t>Sestavení plastového rozvodu vody D 32 mm</t>
  </si>
  <si>
    <t>55</t>
  </si>
  <si>
    <t>722181213RT7</t>
  </si>
  <si>
    <t>Izolace návleková MIRELON PRO tl. stěny 13 mm</t>
  </si>
  <si>
    <t>vnitřní průměr 22 mm</t>
  </si>
  <si>
    <t>56</t>
  </si>
  <si>
    <t>722181213RT8</t>
  </si>
  <si>
    <t>vnitřní průměr 25 mm</t>
  </si>
  <si>
    <t>57</t>
  </si>
  <si>
    <t>722181213RU1</t>
  </si>
  <si>
    <t>vnitřní průměr 32 mm</t>
  </si>
  <si>
    <t>58</t>
  </si>
  <si>
    <t>722190401R00</t>
  </si>
  <si>
    <t>Vyvedení a upevnění výpustek DN 15 mm</t>
  </si>
  <si>
    <t>59</t>
  </si>
  <si>
    <t>722190403R00</t>
  </si>
  <si>
    <t>Vyvedení a upevnění výpustek DN 25 mm</t>
  </si>
  <si>
    <t>60</t>
  </si>
  <si>
    <t>722223182R00</t>
  </si>
  <si>
    <t>Kohout vodovodní, kulový, výtokový, GIACOMINI R621, DN 20 mm</t>
  </si>
  <si>
    <t>722220111R00</t>
  </si>
  <si>
    <t>Nástěnka K 247, pro výtokový ventil G 1/2"</t>
  </si>
  <si>
    <t>62</t>
  </si>
  <si>
    <t>722220112R00</t>
  </si>
  <si>
    <t>Nástěnka K 247, pro výtokový ventil G 3/4"</t>
  </si>
  <si>
    <t>63</t>
  </si>
  <si>
    <t>722220121R00</t>
  </si>
  <si>
    <t>Nástěnka K 247, pro baterii G 1/2"</t>
  </si>
  <si>
    <t>pár</t>
  </si>
  <si>
    <t>722235111R00</t>
  </si>
  <si>
    <t>Kohout vodovodní, kulový, vnitřní-vnitřní závit, IVAR PERFECTA, DN 15 mm</t>
  </si>
  <si>
    <t>65</t>
  </si>
  <si>
    <t>722290226R00</t>
  </si>
  <si>
    <t>Zkouška tlaku potrubí závitového DN 50 mm</t>
  </si>
  <si>
    <t>66</t>
  </si>
  <si>
    <t>722290234R00</t>
  </si>
  <si>
    <t>Proplach a dezinfekce vodovodního potrubí DN 80 mm</t>
  </si>
  <si>
    <t>67</t>
  </si>
  <si>
    <t>998722101R00</t>
  </si>
  <si>
    <t>Přesun hmot pro vnitřní vodovod, výšky do 6 m</t>
  </si>
  <si>
    <t>723</t>
  </si>
  <si>
    <t>Vnitřní plynovod</t>
  </si>
  <si>
    <t>68</t>
  </si>
  <si>
    <t>723120805R00</t>
  </si>
  <si>
    <t>Demontáž potrubí svařovaného závitového DN 25 - 50 mm</t>
  </si>
  <si>
    <t>723_</t>
  </si>
  <si>
    <t>69</t>
  </si>
  <si>
    <t>723182145R00</t>
  </si>
  <si>
    <t>Potrubí nerezové 1.4401 Sanpress inox, D 28 x 1,2 mm, lisované, těsnění HNBR, PN 5, plyn</t>
  </si>
  <si>
    <t>70</t>
  </si>
  <si>
    <t>723215113R00</t>
  </si>
  <si>
    <t>Kohout kulový IVAR BRA.02.100 DN 25 mm, spoj s navařením přírub, litinový</t>
  </si>
  <si>
    <t>71</t>
  </si>
  <si>
    <t>723190907R00</t>
  </si>
  <si>
    <t>Odvzdušnění a napuštění plynového potrubí</t>
  </si>
  <si>
    <t>72</t>
  </si>
  <si>
    <t>723190909R00</t>
  </si>
  <si>
    <t>Zkouška tlaková  plynového potrubí</t>
  </si>
  <si>
    <t>73</t>
  </si>
  <si>
    <t>998723101R00</t>
  </si>
  <si>
    <t>Přesun hmot pro vnitřní plynovod, výšky do 6 m</t>
  </si>
  <si>
    <t>725</t>
  </si>
  <si>
    <t>Zařizovací předměty</t>
  </si>
  <si>
    <t>74</t>
  </si>
  <si>
    <t>725530823R00</t>
  </si>
  <si>
    <t>Demontáž, zásobník elektrický tlakový  200 l</t>
  </si>
  <si>
    <t>soubor</t>
  </si>
  <si>
    <t>725_</t>
  </si>
  <si>
    <t>75</t>
  </si>
  <si>
    <t>725650805R00</t>
  </si>
  <si>
    <t>Demontáž těles otopných plynových podokenních</t>
  </si>
  <si>
    <t>76</t>
  </si>
  <si>
    <t>725110811R00</t>
  </si>
  <si>
    <t>Demontáž klozetů splachovacích</t>
  </si>
  <si>
    <t>77</t>
  </si>
  <si>
    <t>725290020RA0</t>
  </si>
  <si>
    <t>Demontáž umyvadla včetně baterie a konzol</t>
  </si>
  <si>
    <t>78</t>
  </si>
  <si>
    <t>725829301RT2</t>
  </si>
  <si>
    <t>Montáž baterie umyvadlové a dřezové stojánkové</t>
  </si>
  <si>
    <t>včetně baterie</t>
  </si>
  <si>
    <t>79</t>
  </si>
  <si>
    <t>725200030RA0</t>
  </si>
  <si>
    <t>Montáž zařizovacích předmětů - umyvadlo</t>
  </si>
  <si>
    <t>80</t>
  </si>
  <si>
    <t>64214361</t>
  </si>
  <si>
    <t>Umyvadlo LYRA Plus s otv. bater. 600x490x195 mm</t>
  </si>
  <si>
    <t>81</t>
  </si>
  <si>
    <t>725860251R00</t>
  </si>
  <si>
    <t>Sifon umyvadlový chromovaný Raf SV1410</t>
  </si>
  <si>
    <t>82</t>
  </si>
  <si>
    <t>725119305R00</t>
  </si>
  <si>
    <t>Montáž klozetových mís kombinovaných</t>
  </si>
  <si>
    <t>83</t>
  </si>
  <si>
    <t>64234636</t>
  </si>
  <si>
    <t>Mísa kombinační CUBITO PURE stojící VARIO odpad, boční připojení, povrch JIKA perla</t>
  </si>
  <si>
    <t>84</t>
  </si>
  <si>
    <t>55167397.A</t>
  </si>
  <si>
    <t>Sedátko klozetové z PH LUKAS/RIGO/DINO č. 9337.0</t>
  </si>
  <si>
    <t>85</t>
  </si>
  <si>
    <t>725845811R00</t>
  </si>
  <si>
    <t>Baterie termostatická sprchová nástěnná</t>
  </si>
  <si>
    <t>86</t>
  </si>
  <si>
    <t>725249102R00</t>
  </si>
  <si>
    <t>Montáž sprchových mís a vaniček</t>
  </si>
  <si>
    <t>87</t>
  </si>
  <si>
    <t>55220105.M</t>
  </si>
  <si>
    <t>Vanička sprchová RONDA 80 EX</t>
  </si>
  <si>
    <t>88</t>
  </si>
  <si>
    <t>725249121T00</t>
  </si>
  <si>
    <t>Montáž jednodílné sprchové zástěny</t>
  </si>
  <si>
    <t>89</t>
  </si>
  <si>
    <t>55428097VD</t>
  </si>
  <si>
    <t>Sprchová zástěna čtvrtkruhová 800 x 1850 mm</t>
  </si>
  <si>
    <t>90</t>
  </si>
  <si>
    <t>725249123T00</t>
  </si>
  <si>
    <t>Montáž sprchových dveří</t>
  </si>
  <si>
    <t>91</t>
  </si>
  <si>
    <t>551450090</t>
  </si>
  <si>
    <t>Baterie sprchová směšovací nástěnná PL80B</t>
  </si>
  <si>
    <t>92</t>
  </si>
  <si>
    <t>55145352</t>
  </si>
  <si>
    <t>Set sprchový hadice, růžice, držák 901.00</t>
  </si>
  <si>
    <t>93</t>
  </si>
  <si>
    <t>725849302R00</t>
  </si>
  <si>
    <t>Montáž držáku sprchy</t>
  </si>
  <si>
    <t>94</t>
  </si>
  <si>
    <t>725319101R00</t>
  </si>
  <si>
    <t>Montáž dřezů jednoduchých</t>
  </si>
  <si>
    <t>95</t>
  </si>
  <si>
    <t>642812122</t>
  </si>
  <si>
    <t>Dřez nerezový DR45/58 s přepadem 580 x 450 mm</t>
  </si>
  <si>
    <t>96</t>
  </si>
  <si>
    <t>725860201R00</t>
  </si>
  <si>
    <t>Sifon dřezový HL100, 6/4", s přípojkou pro myčku, pračku</t>
  </si>
  <si>
    <t>97</t>
  </si>
  <si>
    <t>725314290R00</t>
  </si>
  <si>
    <t>Příslušenství k dřezu v kuchyňské sestavě</t>
  </si>
  <si>
    <t>98</t>
  </si>
  <si>
    <t>766495100R00</t>
  </si>
  <si>
    <t>Zhotovení otvorů pro instal. dvířka do 0,9 m2</t>
  </si>
  <si>
    <t>99</t>
  </si>
  <si>
    <t>763761201R00</t>
  </si>
  <si>
    <t>Montáž otvorových výplní - dvířek, poklopů</t>
  </si>
  <si>
    <t>100</t>
  </si>
  <si>
    <t>725980122R00</t>
  </si>
  <si>
    <t>Dvířka z plastu, 200 x 300 mm</t>
  </si>
  <si>
    <t>101</t>
  </si>
  <si>
    <t>725860227RT1</t>
  </si>
  <si>
    <t>Sifon ke sprchové vaničce PP HL520, D 50 mm</t>
  </si>
  <si>
    <t>HL 520, s krytkou z nerez oceli</t>
  </si>
  <si>
    <t>102</t>
  </si>
  <si>
    <t>725860184R00</t>
  </si>
  <si>
    <t>Sifon pračkový HL406, D 40/50 mm</t>
  </si>
  <si>
    <t>103</t>
  </si>
  <si>
    <t>998725101R00</t>
  </si>
  <si>
    <t>Přesun hmot pro zařizovací předměty, výšky do 6 m</t>
  </si>
  <si>
    <t>728</t>
  </si>
  <si>
    <t>Vzduchotechnika</t>
  </si>
  <si>
    <t>104</t>
  </si>
  <si>
    <t>728414611R00</t>
  </si>
  <si>
    <t>Montáž digestoře vestavěné</t>
  </si>
  <si>
    <t>728_</t>
  </si>
  <si>
    <t>105</t>
  </si>
  <si>
    <t>Potrubí HT připojovací, D 110 x 2,7 mm</t>
  </si>
  <si>
    <t>106</t>
  </si>
  <si>
    <t>721176101R00</t>
  </si>
  <si>
    <t>Potrubí HT připojovací, D 32 x 1,8 mm</t>
  </si>
  <si>
    <t>107</t>
  </si>
  <si>
    <t>108</t>
  </si>
  <si>
    <t>728611113R00</t>
  </si>
  <si>
    <t>Montáž ventilátoru radiálního nízkotlakého potrubního do 0,07 m2</t>
  </si>
  <si>
    <t>109</t>
  </si>
  <si>
    <t>429148001VD</t>
  </si>
  <si>
    <t>Ventilátor do koupelny VENTS TT 150</t>
  </si>
  <si>
    <t>110</t>
  </si>
  <si>
    <t>728412321R00</t>
  </si>
  <si>
    <t>Montáž anemostatu kruhového tryskového do d 200 mm</t>
  </si>
  <si>
    <t>111</t>
  </si>
  <si>
    <t>4297268211</t>
  </si>
  <si>
    <t>Anemostat vířivý 12</t>
  </si>
  <si>
    <t>112</t>
  </si>
  <si>
    <t>728415121R00</t>
  </si>
  <si>
    <t>Montáž mřížky větrací nebo ventilační do d 100 mm</t>
  </si>
  <si>
    <t>113</t>
  </si>
  <si>
    <t>429727810</t>
  </si>
  <si>
    <t>Mřížka kruhová PVC průměr 100 mm</t>
  </si>
  <si>
    <t>114</t>
  </si>
  <si>
    <t>998728101R00</t>
  </si>
  <si>
    <t>Přesun hmot pro vzduchotechniku, výšky do 6 m</t>
  </si>
  <si>
    <t>731</t>
  </si>
  <si>
    <t>Kotelny</t>
  </si>
  <si>
    <t>115</t>
  </si>
  <si>
    <t>731249322R00</t>
  </si>
  <si>
    <t>Montáž závěsných kotlů turbo s TUV, odkouření</t>
  </si>
  <si>
    <t>731_</t>
  </si>
  <si>
    <t>73_</t>
  </si>
  <si>
    <t>116</t>
  </si>
  <si>
    <t>48417461</t>
  </si>
  <si>
    <t>Kotel Therm PRO 14 KX.A (55 l) s integrovaným zásobníkem TV</t>
  </si>
  <si>
    <t>117</t>
  </si>
  <si>
    <t>731411273R00</t>
  </si>
  <si>
    <t>Průchodka střeš.pro vodorovnou střechu,turbokotle</t>
  </si>
  <si>
    <t>118</t>
  </si>
  <si>
    <t>731412577R00</t>
  </si>
  <si>
    <t>Kryt komína, šachty pro kondenzační kotel</t>
  </si>
  <si>
    <t>119</t>
  </si>
  <si>
    <t>731412232R00</t>
  </si>
  <si>
    <t>Odkouření připojení na komín 80/125 mm PP dl.0,5 m</t>
  </si>
  <si>
    <t>sada</t>
  </si>
  <si>
    <t>120</t>
  </si>
  <si>
    <t>731412211R00</t>
  </si>
  <si>
    <t>Odkouř. koax.svislé 80/125 PP dl.1,5m vč.stř.nást.</t>
  </si>
  <si>
    <t>121</t>
  </si>
  <si>
    <t>731412253R00</t>
  </si>
  <si>
    <t>Kus prodlužovací odkouření 80/125 mm PP dl. 2,0 m</t>
  </si>
  <si>
    <t>122</t>
  </si>
  <si>
    <t>998731101R00</t>
  </si>
  <si>
    <t>Přesun hmot pro kotelny, výšky do 6 m</t>
  </si>
  <si>
    <t>732</t>
  </si>
  <si>
    <t>Strojovny</t>
  </si>
  <si>
    <t>123</t>
  </si>
  <si>
    <t>732331512R00</t>
  </si>
  <si>
    <t>Nádoby expanzní tlak.s memb.Expanzomat, 12 l</t>
  </si>
  <si>
    <t>732_</t>
  </si>
  <si>
    <t>733</t>
  </si>
  <si>
    <t>Rozvod potrubí</t>
  </si>
  <si>
    <t>124</t>
  </si>
  <si>
    <t>733163102R00</t>
  </si>
  <si>
    <t>Potrubí z měděných trubek vytápění D 15 x 1,0 mm</t>
  </si>
  <si>
    <t>733_</t>
  </si>
  <si>
    <t>125</t>
  </si>
  <si>
    <t>733163103R00</t>
  </si>
  <si>
    <t>Potrubí z měděných trubek vytápění D 18 x 1,0 mm</t>
  </si>
  <si>
    <t>126</t>
  </si>
  <si>
    <t>722181212RT5</t>
  </si>
  <si>
    <t>Izolace návleková MIRELON PRO tl. stěny 9 mm</t>
  </si>
  <si>
    <t>vnitřní průměr 15 mm</t>
  </si>
  <si>
    <t>127</t>
  </si>
  <si>
    <t>722181212RT6</t>
  </si>
  <si>
    <t>vnitřní průměr 18 mm</t>
  </si>
  <si>
    <t>128</t>
  </si>
  <si>
    <t>733190106R00</t>
  </si>
  <si>
    <t>Tlaková zkouška potrubí  DN 32</t>
  </si>
  <si>
    <t>129</t>
  </si>
  <si>
    <t>998733101R00</t>
  </si>
  <si>
    <t>Přesun hmot pro rozvody potrubí, výšky do 6 m</t>
  </si>
  <si>
    <t>734</t>
  </si>
  <si>
    <t>Armatury</t>
  </si>
  <si>
    <t>130</t>
  </si>
  <si>
    <t>734223112RT1</t>
  </si>
  <si>
    <t>Ventil termostatický, rohový, IVAR.VS DN 15</t>
  </si>
  <si>
    <t>734_</t>
  </si>
  <si>
    <t>bez termostatické hlavice</t>
  </si>
  <si>
    <t>131</t>
  </si>
  <si>
    <t>734221672R00</t>
  </si>
  <si>
    <t>Hlavice ovládání ventilů termostatická</t>
  </si>
  <si>
    <t>132</t>
  </si>
  <si>
    <t>734213112R00</t>
  </si>
  <si>
    <t>Ventil automatický odvzdušňovací, IVAR VARIA DN 15</t>
  </si>
  <si>
    <t>133</t>
  </si>
  <si>
    <t>734233112R00</t>
  </si>
  <si>
    <t>Kohout kulový, vnitř.-vnitř.z. IVAR PERFECTA DN 20</t>
  </si>
  <si>
    <t>134</t>
  </si>
  <si>
    <t>734291113R00</t>
  </si>
  <si>
    <t>Kohouty plnící a vypouštěcí G 1/2</t>
  </si>
  <si>
    <t>135</t>
  </si>
  <si>
    <t>734432114R00</t>
  </si>
  <si>
    <t>Prostorový termostat IVAR MAGICTIME PLUS</t>
  </si>
  <si>
    <t>136</t>
  </si>
  <si>
    <t>734209113R00</t>
  </si>
  <si>
    <t>Montáž armatur závitových,se 2závity, G 1/2</t>
  </si>
  <si>
    <t>137</t>
  </si>
  <si>
    <t>998734101R00</t>
  </si>
  <si>
    <t>Přesun hmot pro armatury, výšky do 6 m</t>
  </si>
  <si>
    <t>735</t>
  </si>
  <si>
    <t>Otopná tělesa</t>
  </si>
  <si>
    <t>138</t>
  </si>
  <si>
    <t>735171132R00</t>
  </si>
  <si>
    <t>Těleso trub.Koralux Linear Comfort-M KLTM 1500.750</t>
  </si>
  <si>
    <t>735_</t>
  </si>
  <si>
    <t>vč. napojení na okruh ÚT</t>
  </si>
  <si>
    <t>139</t>
  </si>
  <si>
    <t>735157548R00</t>
  </si>
  <si>
    <t>Otopné těleso panelové Radik Ventil Kompakt 21, v. 500 mm, dl. 1200 mm</t>
  </si>
  <si>
    <t>140</t>
  </si>
  <si>
    <t>998735101R00</t>
  </si>
  <si>
    <t>Přesun hmot pro otopná tělesa, výšky do 6 m</t>
  </si>
  <si>
    <t>762</t>
  </si>
  <si>
    <t>Konstrukce tesařské</t>
  </si>
  <si>
    <t>141</t>
  </si>
  <si>
    <t>762812811R00</t>
  </si>
  <si>
    <t>Demontáž záklopů z hoblovaných prken tl. do 3,2 cm</t>
  </si>
  <si>
    <t>762_</t>
  </si>
  <si>
    <t>76_</t>
  </si>
  <si>
    <t>142</t>
  </si>
  <si>
    <t>762812240RT3</t>
  </si>
  <si>
    <t>Montáž záklopu, vrchní na sraz, hoblovaná prkna</t>
  </si>
  <si>
    <t>včetně dodávky řeziva, prkna hobl. tl. 24 mm</t>
  </si>
  <si>
    <t>143</t>
  </si>
  <si>
    <t>998762102R00</t>
  </si>
  <si>
    <t>Přesun hmot pro tesařské konstrukce, výšky do 12 m</t>
  </si>
  <si>
    <t>766</t>
  </si>
  <si>
    <t>Konstrukce truhlářské</t>
  </si>
  <si>
    <t>144</t>
  </si>
  <si>
    <t>726190906R00</t>
  </si>
  <si>
    <t>Odmontování kuchyňské linky s armaturou</t>
  </si>
  <si>
    <t>766_</t>
  </si>
  <si>
    <t>145</t>
  </si>
  <si>
    <t>766810010VD</t>
  </si>
  <si>
    <t>Kuchyňské linky dodávka a montáž</t>
  </si>
  <si>
    <t>linka 300 cm</t>
  </si>
  <si>
    <t>146</t>
  </si>
  <si>
    <t>766664916R00</t>
  </si>
  <si>
    <t>Seříznutí dveřních křídel z tvrdého dřeva</t>
  </si>
  <si>
    <t>147</t>
  </si>
  <si>
    <t>766825122R00</t>
  </si>
  <si>
    <t>Montáž vestavěné skříně 2křídlové šatní</t>
  </si>
  <si>
    <t>148</t>
  </si>
  <si>
    <t>615200001</t>
  </si>
  <si>
    <t>Skříň vestavná</t>
  </si>
  <si>
    <t>149</t>
  </si>
  <si>
    <t>998766101R00</t>
  </si>
  <si>
    <t>Přesun hmot pro truhlářské konstr., výšky do 6 m</t>
  </si>
  <si>
    <t>771</t>
  </si>
  <si>
    <t>Podlahy z dlaždic</t>
  </si>
  <si>
    <t>150</t>
  </si>
  <si>
    <t>965200013RA0</t>
  </si>
  <si>
    <t>Bourání mazanin betonových s potěrem nebo teracem</t>
  </si>
  <si>
    <t>771_</t>
  </si>
  <si>
    <t>77_</t>
  </si>
  <si>
    <t>151</t>
  </si>
  <si>
    <t>771990010RA0</t>
  </si>
  <si>
    <t>Vybourání keramické nebo teracové dlažby</t>
  </si>
  <si>
    <t>152</t>
  </si>
  <si>
    <t>153</t>
  </si>
  <si>
    <t>154</t>
  </si>
  <si>
    <t>155</t>
  </si>
  <si>
    <t>713191100RT9</t>
  </si>
  <si>
    <t>Položení separační fólie</t>
  </si>
  <si>
    <t>včetně dodávky PE fólie</t>
  </si>
  <si>
    <t>156</t>
  </si>
  <si>
    <t>631591211R00</t>
  </si>
  <si>
    <t>Násyp pod podlahy FERMACELL do 100 mm</t>
  </si>
  <si>
    <t>157</t>
  </si>
  <si>
    <t>635110051R00</t>
  </si>
  <si>
    <t>Montáž suchých podlah z dílců na pero a drážku</t>
  </si>
  <si>
    <t>158</t>
  </si>
  <si>
    <t>59597014</t>
  </si>
  <si>
    <t>Deska sádrovláknitá FERMACELL, rozměr 2500 x 1250 x 12,5 mm</t>
  </si>
  <si>
    <t>159</t>
  </si>
  <si>
    <t>713121111RT1</t>
  </si>
  <si>
    <t>Montáž tepelné nebo kročejové izolace podlah na sucho, jednovrstvé</t>
  </si>
  <si>
    <t>materiál ve specifikaci</t>
  </si>
  <si>
    <t>160</t>
  </si>
  <si>
    <t>63153802.A</t>
  </si>
  <si>
    <t>Deska z minerální vlny podlahová tuhá STEPROCK HD tl. 40 x 600 x 1000 mm</t>
  </si>
  <si>
    <t>161</t>
  </si>
  <si>
    <t>635111022R00</t>
  </si>
  <si>
    <t>Podlaha Fermacell 2E22, desky 12,5 +12,5 mm</t>
  </si>
  <si>
    <t>162</t>
  </si>
  <si>
    <t>635111041R00</t>
  </si>
  <si>
    <t>Podlaha Fermacell Powerpanel TE,desky 25 mm</t>
  </si>
  <si>
    <t>163</t>
  </si>
  <si>
    <t>771101210R00</t>
  </si>
  <si>
    <t>Penetrace podkladu pod dlažby</t>
  </si>
  <si>
    <t>164</t>
  </si>
  <si>
    <t>711212012R00</t>
  </si>
  <si>
    <t>Hydroizolační povlak vyztužený tkaninou</t>
  </si>
  <si>
    <t>165</t>
  </si>
  <si>
    <t>711212231R00</t>
  </si>
  <si>
    <t>Těsnicí pás do spoje podlaha - stěna FERMACELL</t>
  </si>
  <si>
    <t>166</t>
  </si>
  <si>
    <t>711212241R00</t>
  </si>
  <si>
    <t>Těsnění prostupů těsnicí manžetou FERMACELL</t>
  </si>
  <si>
    <t>167</t>
  </si>
  <si>
    <t>771570014RA0</t>
  </si>
  <si>
    <t>Dlažba z dlaždic keramických 30 x 30 cm</t>
  </si>
  <si>
    <t>168</t>
  </si>
  <si>
    <t>771471017R00</t>
  </si>
  <si>
    <t>Obklad soklíků keram.rovných do MC,25x6,5,H 6,5 cm</t>
  </si>
  <si>
    <t>169</t>
  </si>
  <si>
    <t>998771101R00</t>
  </si>
  <si>
    <t>Přesun hmot pro podlahy z dlaždic, výšky do 6 m</t>
  </si>
  <si>
    <t>775</t>
  </si>
  <si>
    <t>Podlahy vlysové a parketové</t>
  </si>
  <si>
    <t>170</t>
  </si>
  <si>
    <t>775511800R00</t>
  </si>
  <si>
    <t>Demontáž podlah vlysových lepených včetně lišt</t>
  </si>
  <si>
    <t>775_</t>
  </si>
  <si>
    <t>171</t>
  </si>
  <si>
    <t>762900060RAB</t>
  </si>
  <si>
    <t>Demontáž dřevěných podlah z prken</t>
  </si>
  <si>
    <t>s polštáři</t>
  </si>
  <si>
    <t>172</t>
  </si>
  <si>
    <t>713190813R00</t>
  </si>
  <si>
    <t>Odstranění tepelné izolace ze sypkých hmot, lože ze škváry, tl. do 150 mm</t>
  </si>
  <si>
    <t>173</t>
  </si>
  <si>
    <t>174</t>
  </si>
  <si>
    <t>979990265R00</t>
  </si>
  <si>
    <t>Poplatek za uložení směsné stavební a demoliční suti s obsahem nebezpečných látek</t>
  </si>
  <si>
    <t>175</t>
  </si>
  <si>
    <t>775512953R00</t>
  </si>
  <si>
    <t>Doplnění podlah vlysových,asfalt.,21 mm do 2 m2</t>
  </si>
  <si>
    <t>176</t>
  </si>
  <si>
    <t>775591900R00</t>
  </si>
  <si>
    <t>Oprava podlah, broušení vlysů, parket trojnásobné, tmelení</t>
  </si>
  <si>
    <t>177</t>
  </si>
  <si>
    <t>777610022RA0</t>
  </si>
  <si>
    <t>Nátěr podlah dřevěných, 3 x Epostyl 200 V 55</t>
  </si>
  <si>
    <t>178</t>
  </si>
  <si>
    <t>775981115R00</t>
  </si>
  <si>
    <t>Lišta hliníková podlahová ukončující,vlys.podlaha</t>
  </si>
  <si>
    <t>179</t>
  </si>
  <si>
    <t>775981122R00</t>
  </si>
  <si>
    <t>Lišta nerezová přechodová,stejná výška vlys.podlah</t>
  </si>
  <si>
    <t>180</t>
  </si>
  <si>
    <t>998775101R00</t>
  </si>
  <si>
    <t>Přesun hmot pro podlahy vlysové, výšky do 6 m</t>
  </si>
  <si>
    <t>783</t>
  </si>
  <si>
    <t>Nátěry</t>
  </si>
  <si>
    <t>181</t>
  </si>
  <si>
    <t>783900030RAB</t>
  </si>
  <si>
    <t>Odstranění nátěrů z truhlářských výrobků</t>
  </si>
  <si>
    <t>783_</t>
  </si>
  <si>
    <t>78_</t>
  </si>
  <si>
    <t>opálením s obroušením</t>
  </si>
  <si>
    <t>182</t>
  </si>
  <si>
    <t>783624200R00</t>
  </si>
  <si>
    <t>Nátěr synt. truhl. výrobků 2x + 1x email + 1x tmel</t>
  </si>
  <si>
    <t>183</t>
  </si>
  <si>
    <t>783220010RAC</t>
  </si>
  <si>
    <t>Nátěr kovových doplňkových konstrukcí syntetický</t>
  </si>
  <si>
    <t>dvojnásobný krycí s 1x emailováním</t>
  </si>
  <si>
    <t>184</t>
  </si>
  <si>
    <t>783424140R00</t>
  </si>
  <si>
    <t>Nátěr syntetický potrubí do DN 50 mm  Z + 2x</t>
  </si>
  <si>
    <t>784</t>
  </si>
  <si>
    <t>Malby</t>
  </si>
  <si>
    <t>185</t>
  </si>
  <si>
    <t>784900010RAB</t>
  </si>
  <si>
    <t>Odstranění stávajících maleb</t>
  </si>
  <si>
    <t>784_</t>
  </si>
  <si>
    <t>oškrábáním</t>
  </si>
  <si>
    <t>186</t>
  </si>
  <si>
    <t>784450075RA0</t>
  </si>
  <si>
    <t>Malba disperzní, penetrace 1x, malba bílá 2x</t>
  </si>
  <si>
    <t>Různé dokončovací konstrukce a práce na pozemních stavbách</t>
  </si>
  <si>
    <t>187</t>
  </si>
  <si>
    <t>953941312R00</t>
  </si>
  <si>
    <t>Osazení požárního hasicího přístroje na stěnu</t>
  </si>
  <si>
    <t>95_</t>
  </si>
  <si>
    <t>9_</t>
  </si>
  <si>
    <t>188</t>
  </si>
  <si>
    <t>44984114</t>
  </si>
  <si>
    <t>Přístroj hasicí práškový P6Te</t>
  </si>
  <si>
    <t>189</t>
  </si>
  <si>
    <t>953941395R00</t>
  </si>
  <si>
    <t>Vystavení revizní zprávy-požární hasicí přístroj</t>
  </si>
  <si>
    <t>190</t>
  </si>
  <si>
    <t>222330891R00</t>
  </si>
  <si>
    <t>Kouřový nasávací hlásič 1kanálový, na úchytné body</t>
  </si>
  <si>
    <t>M21</t>
  </si>
  <si>
    <t>Elektromontáže</t>
  </si>
  <si>
    <t>191</t>
  </si>
  <si>
    <t>210000001VD</t>
  </si>
  <si>
    <t>Demontáže stávajících prvků elektro k jejich výměně</t>
  </si>
  <si>
    <t>soub.</t>
  </si>
  <si>
    <t>M21_</t>
  </si>
  <si>
    <t>192</t>
  </si>
  <si>
    <t>210120901R00</t>
  </si>
  <si>
    <t>Hlavní vypínač v rozvaděči</t>
  </si>
  <si>
    <t>193</t>
  </si>
  <si>
    <t>35822000002VD</t>
  </si>
  <si>
    <t>Hlavní vypínač 25A</t>
  </si>
  <si>
    <t>194</t>
  </si>
  <si>
    <t>650063212R00</t>
  </si>
  <si>
    <t>Montáž svodiče přepětí</t>
  </si>
  <si>
    <t>195</t>
  </si>
  <si>
    <t>357160002VD</t>
  </si>
  <si>
    <t>Svodič přepětí B+C, EATON SPBT12-280/4</t>
  </si>
  <si>
    <t>196</t>
  </si>
  <si>
    <t>210120569R00</t>
  </si>
  <si>
    <t>Jistič trojpólový do 25 A se zapojením</t>
  </si>
  <si>
    <t>197</t>
  </si>
  <si>
    <t>35822000003VD</t>
  </si>
  <si>
    <t>Jistič EATON třífázový 16A</t>
  </si>
  <si>
    <t>198</t>
  </si>
  <si>
    <t>210120813R00</t>
  </si>
  <si>
    <t>Chránič proudový do 16 A</t>
  </si>
  <si>
    <t>199</t>
  </si>
  <si>
    <t>35822000004VD</t>
  </si>
  <si>
    <t>Proudový chránič s nadproud. ochranou šířka 1 modul, 10A</t>
  </si>
  <si>
    <t>200</t>
  </si>
  <si>
    <t>35822000005VD</t>
  </si>
  <si>
    <t>Proudový chránič s nadproud. ochranou šířka 2 moduly, 10A</t>
  </si>
  <si>
    <t>201</t>
  </si>
  <si>
    <t>35822000006VD</t>
  </si>
  <si>
    <t>Proudový chránič s nadproud. ochranou šířka 2 moduly, 16A</t>
  </si>
  <si>
    <t>202</t>
  </si>
  <si>
    <t>210111011RT7</t>
  </si>
  <si>
    <t>Zásuvka domovní zapuštěná - provedení 2P+PE</t>
  </si>
  <si>
    <t>včetně dodávky zásuvky. Bez rámečku.</t>
  </si>
  <si>
    <t>203</t>
  </si>
  <si>
    <t>210110041RT6</t>
  </si>
  <si>
    <t>Spínač zapuštěný jednopólový, řazení 1</t>
  </si>
  <si>
    <t>vč. dodávky strojku, rámečku a krytu</t>
  </si>
  <si>
    <t>204</t>
  </si>
  <si>
    <t>210110054RT6</t>
  </si>
  <si>
    <t>Spínač zapuštěný střídavý dvojitý,  řazení 6+6</t>
  </si>
  <si>
    <t>205</t>
  </si>
  <si>
    <t>210110043RT6</t>
  </si>
  <si>
    <t>Spínač zapuštěný seriový, řazení 5</t>
  </si>
  <si>
    <t>206</t>
  </si>
  <si>
    <t>222730001R00</t>
  </si>
  <si>
    <t>Účastnická zásuvka TV+R+SAT koncová pod omítku</t>
  </si>
  <si>
    <t>207</t>
  </si>
  <si>
    <t>34536515</t>
  </si>
  <si>
    <t>Přístroj zásuvky TV+R+SAT, koncový (typ EU 3303) 5011-A3303</t>
  </si>
  <si>
    <t>208</t>
  </si>
  <si>
    <t>222490901R00</t>
  </si>
  <si>
    <t>Zásuvka telefonní pod omítku, do krabice</t>
  </si>
  <si>
    <t>209</t>
  </si>
  <si>
    <t>3745165110</t>
  </si>
  <si>
    <t>Zásuvka telefonní 1 x RJ11</t>
  </si>
  <si>
    <t>210</t>
  </si>
  <si>
    <t>371202013</t>
  </si>
  <si>
    <t>Zásuvka datová OPUS 2xRJ45</t>
  </si>
  <si>
    <t>211</t>
  </si>
  <si>
    <t>34536700</t>
  </si>
  <si>
    <t>Rámeček jednonásobný 3901A-B10</t>
  </si>
  <si>
    <t>212</t>
  </si>
  <si>
    <t>34536705</t>
  </si>
  <si>
    <t>Rámeček dvojnásobný, vodorovný 3901A-B20</t>
  </si>
  <si>
    <t>213</t>
  </si>
  <si>
    <t>34536710</t>
  </si>
  <si>
    <t>Rámeček trojnásobný, vodorovný 3901A-B30</t>
  </si>
  <si>
    <t>214</t>
  </si>
  <si>
    <t>650101576R00</t>
  </si>
  <si>
    <t>Montáž LED svítidla nástěnného přisaz. s čidlem</t>
  </si>
  <si>
    <t>215</t>
  </si>
  <si>
    <t>3481410001VD</t>
  </si>
  <si>
    <t>Svítidlo interiérové stropní 18 W s pohybovým čidlem PIR nebo RF</t>
  </si>
  <si>
    <t>216</t>
  </si>
  <si>
    <t>650031112R00</t>
  </si>
  <si>
    <t>Osazení rozvodnice do výklenku, pl. do 0,3 m2</t>
  </si>
  <si>
    <t>217</t>
  </si>
  <si>
    <t>357160001VD</t>
  </si>
  <si>
    <t>Rozvodnice zapuštěná 4-řadá  ABB UK648E3</t>
  </si>
  <si>
    <t>218</t>
  </si>
  <si>
    <t>Zapuštěná rozvodnice, multimediální SEZ C-BOX MSF 14M</t>
  </si>
  <si>
    <t>219</t>
  </si>
  <si>
    <t>37500007VD</t>
  </si>
  <si>
    <t>Super multifunkční relé ELKO SMR-H</t>
  </si>
  <si>
    <t>220</t>
  </si>
  <si>
    <t>54152726</t>
  </si>
  <si>
    <t>Tyč topná s regulátorem Z-KT7R-0800-10</t>
  </si>
  <si>
    <t>221</t>
  </si>
  <si>
    <t>210000002VD</t>
  </si>
  <si>
    <t>Revize elektro</t>
  </si>
  <si>
    <t>222</t>
  </si>
  <si>
    <t>M65</t>
  </si>
  <si>
    <t>Elektroinstalace</t>
  </si>
  <si>
    <t>223</t>
  </si>
  <si>
    <t>650125217RT2</t>
  </si>
  <si>
    <t>Uložení kabelu Cu 5 x 6 mm2 do trubky</t>
  </si>
  <si>
    <t>M65_</t>
  </si>
  <si>
    <t>včetně dodávky kabelu CYKY 5 x 6 mm2</t>
  </si>
  <si>
    <t>224</t>
  </si>
  <si>
    <t>650125213RT2</t>
  </si>
  <si>
    <t>Uložení kabelu Cu 5 x 2,5 mm2 do trubky</t>
  </si>
  <si>
    <t>včetně dodávky kabelu CYKY 5 x 2,5 mm2</t>
  </si>
  <si>
    <t>225</t>
  </si>
  <si>
    <t>650125143RT2</t>
  </si>
  <si>
    <t>Uložení kabelu Cu 3 x 2,5 mm2 do trubky</t>
  </si>
  <si>
    <t>včetně dodávky kabelu CYKY 3 x 2,5 mm2</t>
  </si>
  <si>
    <t>226</t>
  </si>
  <si>
    <t>650125141RT2</t>
  </si>
  <si>
    <t>Uložení kabelu Cu 3 x 1,5 mm2 do trubky</t>
  </si>
  <si>
    <t>včetně dodávky kabelu CYKY 3 x 1,5 mm2</t>
  </si>
  <si>
    <t>227</t>
  </si>
  <si>
    <t>650125211RT2</t>
  </si>
  <si>
    <t>Uložení kabelu Cu 5 x 1,5 mm2 do trubky</t>
  </si>
  <si>
    <t>včetně dodávky kabelu CYKY 5 x 1,5 mm2</t>
  </si>
  <si>
    <t>228</t>
  </si>
  <si>
    <t>222280001VD</t>
  </si>
  <si>
    <t>Koaxiální kabel v trubkách EMOS CB113UV</t>
  </si>
  <si>
    <t>Kabel koaxiální venkovní pro TV a SAT, třikrát stíněný</t>
  </si>
  <si>
    <t>229</t>
  </si>
  <si>
    <t>222280002VD</t>
  </si>
  <si>
    <t>Kabel instalační silikonový ohebný pro vývod k varné desce SIHF 5Cx2,5</t>
  </si>
  <si>
    <t>včetně kabelu SIHF 5Cx2,5</t>
  </si>
  <si>
    <t>230</t>
  </si>
  <si>
    <t>222280003VD</t>
  </si>
  <si>
    <t>FTP kabel Solarix SXKD-6-FTP-PE černý venkovní</t>
  </si>
  <si>
    <t>včetně kabelu SXKD-6-FTP-PE</t>
  </si>
  <si>
    <t>231</t>
  </si>
  <si>
    <t>222280004VD</t>
  </si>
  <si>
    <t>Instalační trubka plastová KOPOS MONOFLEX 1420</t>
  </si>
  <si>
    <t>vč. trubky KOPOS MONOFLEX 1420</t>
  </si>
  <si>
    <t>232</t>
  </si>
  <si>
    <t>222280005VD</t>
  </si>
  <si>
    <t>Instalační trubka plastová KOPOS MONOFLEX 1425</t>
  </si>
  <si>
    <t>vč. trubky KOPOS MONOFLEX 1425</t>
  </si>
  <si>
    <t>233</t>
  </si>
  <si>
    <t>Celkem:</t>
  </si>
  <si>
    <t>Poznámka:</t>
  </si>
  <si>
    <t>Výkaz výměr</t>
  </si>
  <si>
    <t>Objekt</t>
  </si>
  <si>
    <t>Potřebné množství</t>
  </si>
  <si>
    <t>demontáž+montáž</t>
  </si>
  <si>
    <t>bourání</t>
  </si>
  <si>
    <t>(2,93+1,1*2)*2,69-0,8*2,1*2</t>
  </si>
  <si>
    <t>příčka koupelna</t>
  </si>
  <si>
    <t>průrazy rozvod VZT</t>
  </si>
  <si>
    <t>plynovod</t>
  </si>
  <si>
    <t>zapravení rozvod VZT</t>
  </si>
  <si>
    <t>50+10</t>
  </si>
  <si>
    <t>rozvody elektro</t>
  </si>
  <si>
    <t>15,4+5,4+9</t>
  </si>
  <si>
    <t>rozvody vodovod</t>
  </si>
  <si>
    <t>15+19</t>
  </si>
  <si>
    <t>rozvody topení</t>
  </si>
  <si>
    <t>rozvody kanalizace</t>
  </si>
  <si>
    <t>(1,3+0,6+1,725+1,7)*2,5</t>
  </si>
  <si>
    <t>příčka m.č.302</t>
  </si>
  <si>
    <t>m.č.302</t>
  </si>
  <si>
    <t>3,74</t>
  </si>
  <si>
    <t>2,25*1,1</t>
  </si>
  <si>
    <t>zazdívka otvoru</t>
  </si>
  <si>
    <t>1,07*1,62*1+1,125*1,7+0,655*1,05</t>
  </si>
  <si>
    <t>okna</t>
  </si>
  <si>
    <t>1,1*2,22</t>
  </si>
  <si>
    <t>dveře</t>
  </si>
  <si>
    <t>1,13*0,15</t>
  </si>
  <si>
    <t>obklad WC</t>
  </si>
  <si>
    <t>(0,9+1,595)*2,1-0,655*0,82</t>
  </si>
  <si>
    <t>obklad koupelna</t>
  </si>
  <si>
    <t>0,33129</t>
  </si>
  <si>
    <t>obklady koupelna</t>
  </si>
  <si>
    <t>obklady</t>
  </si>
  <si>
    <t>63,8+17+60</t>
  </si>
  <si>
    <t>zához drážky elektro, ZTI</t>
  </si>
  <si>
    <t>(2,385*2+1,2*2)*2,68-0,8*2,02</t>
  </si>
  <si>
    <t>m.č.301</t>
  </si>
  <si>
    <t>(1,7+1,525+1,3+0,9+2,825)*2,5+(0,655+0,3*2)*0,3-0,655*1,05-0,8*2,02</t>
  </si>
  <si>
    <t>(5,46*2+2,485*2+0,6*2)*2,65-1,125*1,7-1*2,22*2+(1,125+2*1,7)*0,3</t>
  </si>
  <si>
    <t>m.č.304</t>
  </si>
  <si>
    <t>(5,27*2+3,485*2)*2,7-1,07*1,62*2-1,0*2,22*1*(1+2,22*2)*0,3+(1,07+1,62*2)*0,3</t>
  </si>
  <si>
    <t>m.č.305</t>
  </si>
  <si>
    <t>37,10</t>
  </si>
  <si>
    <t>stropy</t>
  </si>
  <si>
    <t>(1,7+1,525+1,3+0,9+2,825)*2,1+(0,655+0,3*2)*0,3-0,655*1,05-0,8*2,02</t>
  </si>
  <si>
    <t>((1,7+1,525+1,3+0,9+2,825)*2,1+(0,655+0,3*2)*0,3-0,655*1,05-0,8*2,02)*1,5*2</t>
  </si>
  <si>
    <t>;ztratné 5%; 2,3096625</t>
  </si>
  <si>
    <t>(1,7+1,525+1,3+0,9+2,825)+6*2,1+1,05*2</t>
  </si>
  <si>
    <t>(1,7+1,525+1,3+0,9+2,825)*0,5+(0,655+0,3*2)*0,3</t>
  </si>
  <si>
    <t>(1,07+1,62*2)*1+(1,125+1,7*2)+(0,655+1,05*2)</t>
  </si>
  <si>
    <t>(1,1+2,25*2)*2*2,5</t>
  </si>
  <si>
    <t>37,1-3,74</t>
  </si>
  <si>
    <t>m.č.301, 304 ,305</t>
  </si>
  <si>
    <t>2*2*1</t>
  </si>
  <si>
    <t>zapravení průrazů</t>
  </si>
  <si>
    <t>m.č.109</t>
  </si>
  <si>
    <t>m.č.105</t>
  </si>
  <si>
    <t>dveře stávající</t>
  </si>
  <si>
    <t>5+1,5+6,5+1+1+1</t>
  </si>
  <si>
    <t>splašková kanalizace</t>
  </si>
  <si>
    <t>napojení na soupací potrubí</t>
  </si>
  <si>
    <t>16+1</t>
  </si>
  <si>
    <t>3+1,2+1+1+1+1</t>
  </si>
  <si>
    <t>voda studená</t>
  </si>
  <si>
    <t>3+1,2+1+1+1</t>
  </si>
  <si>
    <t>voda teplá</t>
  </si>
  <si>
    <t>1,7+1</t>
  </si>
  <si>
    <t>4,5</t>
  </si>
  <si>
    <t>studená voda</t>
  </si>
  <si>
    <t>teplá voda</t>
  </si>
  <si>
    <t>vodovod</t>
  </si>
  <si>
    <t>15,5+2*2,5</t>
  </si>
  <si>
    <t>4,5+1,5+1,5</t>
  </si>
  <si>
    <t>rozvod plynu</t>
  </si>
  <si>
    <t>plynové potrubí</t>
  </si>
  <si>
    <t>umyvadlo koupelna</t>
  </si>
  <si>
    <t>koupelna</t>
  </si>
  <si>
    <t>kuchyně</t>
  </si>
  <si>
    <t>umyvadlo kooupelna</t>
  </si>
  <si>
    <t>WC koupelna</t>
  </si>
  <si>
    <t>sprcha koupelna</t>
  </si>
  <si>
    <t>vodoměr</t>
  </si>
  <si>
    <t>vodoměr+vana</t>
  </si>
  <si>
    <t>dvířka vodoměr</t>
  </si>
  <si>
    <t>sprcha</t>
  </si>
  <si>
    <t>digestoř kuchyňská</t>
  </si>
  <si>
    <t>(2+0,5)</t>
  </si>
  <si>
    <t>VZT potrubí m.č.302</t>
  </si>
  <si>
    <t>(1,0+0,5)</t>
  </si>
  <si>
    <t>VZT potrubí m.č.304</t>
  </si>
  <si>
    <t>1,0+0,75</t>
  </si>
  <si>
    <t>odvod kondenzátu VZT</t>
  </si>
  <si>
    <t>VZT</t>
  </si>
  <si>
    <t>odvětrání VZT</t>
  </si>
  <si>
    <t>odvětrání VZT fasáda</t>
  </si>
  <si>
    <t>vytápění</t>
  </si>
  <si>
    <t>7,5*2</t>
  </si>
  <si>
    <t>rozovdy ÚT</t>
  </si>
  <si>
    <t>9,5*2</t>
  </si>
  <si>
    <t>otopná tělesa</t>
  </si>
  <si>
    <t>topení koupelna</t>
  </si>
  <si>
    <t>(5+1,5)*0,5</t>
  </si>
  <si>
    <t>kanalizace v podlaze</t>
  </si>
  <si>
    <t>kuchyňská linka</t>
  </si>
  <si>
    <t>kuch linka</t>
  </si>
  <si>
    <t>úprava pro VZT</t>
  </si>
  <si>
    <t>(1,13+1,6)*0,15</t>
  </si>
  <si>
    <t>m.č.302, 303</t>
  </si>
  <si>
    <t>1,13+1,6</t>
  </si>
  <si>
    <t>m.č. 302, 303</t>
  </si>
  <si>
    <t>1,07835</t>
  </si>
  <si>
    <t>3+3,74+2,385*2,925</t>
  </si>
  <si>
    <t>m.č.301, 302, 304</t>
  </si>
  <si>
    <t>(3+3,74+2,385*2,925)*0,06</t>
  </si>
  <si>
    <t>;ztratné 10%; 1,371612</t>
  </si>
  <si>
    <t>3+2,385*2,925</t>
  </si>
  <si>
    <t>m.č.301, 304</t>
  </si>
  <si>
    <t>1,7*2+2,825*2</t>
  </si>
  <si>
    <t>(1,2*2+2,385*2)+(2,925*2+2,485+0,6)-0,9*2-0,7*1</t>
  </si>
  <si>
    <t>soklík m.č. 301, 304</t>
  </si>
  <si>
    <t>2,485*0,5</t>
  </si>
  <si>
    <t>1,1*0,5</t>
  </si>
  <si>
    <t>2,535*2,485+18,37</t>
  </si>
  <si>
    <t>m.č.304, 305</t>
  </si>
  <si>
    <t>(2,485+2*2,535)+(2*5,27+2*2,485)</t>
  </si>
  <si>
    <t>2,485</t>
  </si>
  <si>
    <t>(0,2+0,6+0,2)*(2,3+2,3+1,2)*3</t>
  </si>
  <si>
    <t>dveře zárubně</t>
  </si>
  <si>
    <t>(1*2,2)*2*3</t>
  </si>
  <si>
    <t>dveře křídla</t>
  </si>
  <si>
    <t>(2,05+2,05+0,9)*(0,1+0,15+0,1)</t>
  </si>
  <si>
    <t>zárubně m.č.301</t>
  </si>
  <si>
    <t>(2,385*2+1,2*2)*2,68-1,0*2,22*3-0,8*2,22</t>
  </si>
  <si>
    <t>(1,13)*2,68</t>
  </si>
  <si>
    <t>(1,6+0,9)*2,69-0,655*1,05+(0,655+1,05*2)*0,3</t>
  </si>
  <si>
    <t>m.č.303</t>
  </si>
  <si>
    <t>(5,46+2,485*2+1,89)*2,65-1,125*1,7-1*2,22*2+(1,125+2*1,7)*0,3</t>
  </si>
  <si>
    <t>(5,27*2+3,485*2)*2,7-1,07*1,62*2-1,0*2,22*2+(1,07+1,62*2)*0,3</t>
  </si>
  <si>
    <t>37,06</t>
  </si>
  <si>
    <t>PHP</t>
  </si>
  <si>
    <t>PBŘ</t>
  </si>
  <si>
    <t>elektro</t>
  </si>
  <si>
    <t>2+1+6</t>
  </si>
  <si>
    <t>2,5</t>
  </si>
  <si>
    <t>0,138</t>
  </si>
  <si>
    <t>Krycí list slepého rozpočtu</t>
  </si>
  <si>
    <t>IČO/DIČ:</t>
  </si>
  <si>
    <t>00303461/</t>
  </si>
  <si>
    <t>71779647/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</si>
  <si>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</si>
  <si>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</si>
  <si>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</si>
  <si>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</si>
  <si>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</si>
  <si>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</si>
  <si>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</si>
  <si>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</si>
  <si>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</si>
  <si>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</si>
  <si>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</si>
  <si>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</si>
  <si>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</si>
  <si>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</si>
  <si>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</si>
  <si>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</si>
  <si>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</si>
  <si>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</si>
  <si>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</si>
  <si>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</si>
  <si>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</si>
  <si>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</si>
  <si>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</si>
  <si>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</si>
  <si>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</si>
  <si>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</si>
  <si>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</si>
  <si>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</si>
  <si>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</si>
  <si>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</si>
  <si>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</si>
  <si>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</si>
  <si>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</si>
  <si>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</si>
  <si>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</si>
  <si>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</si>
  <si>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</si>
  <si>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</si>
  <si>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</si>
  <si>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</si>
  <si>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</si>
  <si>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</si>
  <si>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</si>
  <si>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</si>
  <si>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</si>
  <si>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</si>
  <si>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</si>
  <si>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</si>
  <si>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</si>
  <si>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</si>
  <si>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</si>
  <si>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</si>
  <si>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</si>
  <si>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</si>
  <si>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r>
      <t>Byt č.3,</t>
    </r>
    <r>
      <rPr>
        <sz val="11"/>
        <rFont val="Calibri"/>
        <charset val="1"/>
      </rPr>
      <t xml:space="preserve"> č.p.1247/3, 3. NP</t>
    </r>
  </si>
  <si>
    <t>Název</t>
  </si>
  <si>
    <t>Označení výrobce</t>
  </si>
  <si>
    <t>Počet ks</t>
  </si>
  <si>
    <t>IS-25/3 25A</t>
  </si>
  <si>
    <t>Svodič přepětí B+C</t>
  </si>
  <si>
    <t>SPBT12-280/4</t>
  </si>
  <si>
    <t>PL6-B16/3 16A</t>
  </si>
  <si>
    <t>LMF-10B-1N-030A</t>
  </si>
  <si>
    <t>PFL6-10/1N/B/003</t>
  </si>
  <si>
    <t>PFL6-16/1N/B/003</t>
  </si>
  <si>
    <t>Vývodka kabelová se svorkovnicí ABB 5P (varná deska)</t>
  </si>
  <si>
    <t>3938A-A106B</t>
  </si>
  <si>
    <t>Zásuvka jednonásobná s ochranným kolíkem, s clonkami</t>
  </si>
  <si>
    <t>5519A-A02357 B</t>
  </si>
  <si>
    <t>Přístroj spínače jednopólového (1)</t>
  </si>
  <si>
    <t>3559-A01345</t>
  </si>
  <si>
    <t>Přístroj přepínače střídavého dvojitého (6+6)</t>
  </si>
  <si>
    <t>3559-A52345</t>
  </si>
  <si>
    <t>Přístroj přepínače sériového (5)</t>
  </si>
  <si>
    <t>3559-A05345</t>
  </si>
  <si>
    <t>Přístroj zásuvky anténní TV, rozhlasové a satelitní - koncové</t>
  </si>
  <si>
    <t>5011-A3303</t>
  </si>
  <si>
    <t>Přístroj zásuvky datové Modular Jack RJ 45-8 Cat. 6</t>
  </si>
  <si>
    <t>RJ45C6U</t>
  </si>
  <si>
    <t>Kryt zásuvky anténní s 3 otvory</t>
  </si>
  <si>
    <t>5011C-A201 B1</t>
  </si>
  <si>
    <t>Kryt zásuvky komunikační</t>
  </si>
  <si>
    <t>5014A-A02018 B</t>
  </si>
  <si>
    <t>Rámeček pro  el.přístroje, jednonásobný</t>
  </si>
  <si>
    <t>3901A-B10 B</t>
  </si>
  <si>
    <t>Rámeček pro el. přístroje, dvojnásobný vodorovný</t>
  </si>
  <si>
    <t>3901A-B20 B</t>
  </si>
  <si>
    <t>Rámeček pro el. přístroje, dvojnásobný svislý</t>
  </si>
  <si>
    <t>3901A-B21 B</t>
  </si>
  <si>
    <t>Rámeček pro el. přístroje, trojnásobný vodorovný</t>
  </si>
  <si>
    <t>3901A-B30 B</t>
  </si>
  <si>
    <t>Stropní LED svítidlo s pohybovým čidlem PIR nebo RF např.</t>
  </si>
  <si>
    <t>JOTA 18W</t>
  </si>
  <si>
    <r>
      <t xml:space="preserve">Zapuštěná rozvodnice, 3-řadá </t>
    </r>
    <r>
      <rPr>
        <b/>
        <sz val="11"/>
        <color theme="1"/>
        <rFont val="Calibri"/>
        <family val="2"/>
        <charset val="238"/>
        <scheme val="minor"/>
      </rPr>
      <t>např</t>
    </r>
    <r>
      <rPr>
        <sz val="11"/>
        <rFont val="Calibri"/>
        <charset val="1"/>
      </rPr>
      <t>. ABB UK636E3</t>
    </r>
  </si>
  <si>
    <t>2CPX077842R9999</t>
  </si>
  <si>
    <t>Topná tyč 800W s termostatem pro koupelnový žebřík s kroucenou šňůrou a zapojením do zásuvky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</si>
</sst>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Calibri"/>
      <charset val="1"/>
    </font>
    <font>
      <sz val="1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  <font>
      <b/>
      <sz val="2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C8E1D8"/>
        <bgColor rgb="FFC8E1D8"/>
      </patternFill>
    </fill>
    <fill>
      <patternFill patternType="solid">
        <fgColor theme="4" tint="0.79998168889431442"/>
        <bgColor indexed="64"/>
      </patternFill>
    </fill>
  </fills>
  <borders count="10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C0C0C0"/>
      </left>
      <right/>
      <top/>
      <bottom/>
      <diagonal/>
    </border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87"/>
  </cellStyleXfs>
  <cellXfs count="213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3" fillId="4" borderId="29" xfId="0" applyFont="1" applyFill="1" applyBorder="1" applyAlignment="1" applyProtection="1">
      <alignment horizontal="left" vertical="center"/>
      <protection locked="0"/>
    </xf>
    <xf numFmtId="4" fontId="2" fillId="2" borderId="29" xfId="0" applyNumberFormat="1" applyFont="1" applyFill="1" applyBorder="1" applyAlignment="1">
      <alignment horizontal="right" vertical="center"/>
    </xf>
    <xf numFmtId="0" fontId="2" fillId="2" borderId="30" xfId="0" applyFont="1" applyFill="1" applyBorder="1" applyAlignment="1">
      <alignment horizontal="right" vertical="center"/>
    </xf>
    <xf numFmtId="0" fontId="3" fillId="5" borderId="31" xfId="0" applyFont="1" applyFill="1" applyBorder="1" applyAlignment="1">
      <alignment horizontal="left" vertical="center"/>
    </xf>
    <xf numFmtId="0" fontId="3" fillId="5" borderId="32" xfId="0" applyFont="1" applyFill="1" applyBorder="1" applyAlignment="1">
      <alignment horizontal="left" vertical="center"/>
    </xf>
    <xf numFmtId="4" fontId="3" fillId="5" borderId="32" xfId="0" applyNumberFormat="1" applyFont="1" applyFill="1" applyBorder="1" applyAlignment="1">
      <alignment horizontal="right" vertical="center"/>
    </xf>
    <xf numFmtId="4" fontId="3" fillId="3" borderId="32" xfId="0" applyNumberFormat="1" applyFont="1" applyFill="1" applyBorder="1" applyAlignment="1" applyProtection="1">
      <alignment horizontal="right" vertical="center"/>
      <protection locked="0"/>
    </xf>
    <xf numFmtId="0" fontId="3" fillId="5" borderId="33" xfId="0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5" borderId="34" xfId="0" applyFont="1" applyFill="1" applyBorder="1" applyAlignment="1">
      <alignment horizontal="left" vertical="center"/>
    </xf>
    <xf numFmtId="0" fontId="3" fillId="5" borderId="35" xfId="0" applyFont="1" applyFill="1" applyBorder="1" applyAlignment="1">
      <alignment horizontal="left" vertical="center"/>
    </xf>
    <xf numFmtId="4" fontId="3" fillId="5" borderId="35" xfId="0" applyNumberFormat="1" applyFont="1" applyFill="1" applyBorder="1" applyAlignment="1">
      <alignment horizontal="right" vertical="center"/>
    </xf>
    <xf numFmtId="4" fontId="3" fillId="3" borderId="35" xfId="0" applyNumberFormat="1" applyFont="1" applyFill="1" applyBorder="1" applyAlignment="1" applyProtection="1">
      <alignment horizontal="right" vertical="center"/>
      <protection locked="0"/>
    </xf>
    <xf numFmtId="0" fontId="3" fillId="5" borderId="36" xfId="0" applyFont="1" applyFill="1" applyBorder="1" applyAlignment="1">
      <alignment horizontal="right" vertical="center"/>
    </xf>
    <xf numFmtId="0" fontId="0" fillId="0" borderId="37" xfId="0" applyBorder="1"/>
    <xf numFmtId="0" fontId="4" fillId="0" borderId="38" xfId="0" applyFont="1" applyBorder="1" applyAlignment="1">
      <alignment horizontal="right" vertical="center"/>
    </xf>
    <xf numFmtId="0" fontId="3" fillId="2" borderId="37" xfId="0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4" borderId="38" xfId="0" applyFont="1" applyFill="1" applyBorder="1" applyAlignment="1" applyProtection="1">
      <alignment horizontal="left" vertical="center"/>
      <protection locked="0"/>
    </xf>
    <xf numFmtId="4" fontId="2" fillId="2" borderId="38" xfId="0" applyNumberFormat="1" applyFont="1" applyFill="1" applyBorder="1" applyAlignment="1">
      <alignment horizontal="right" vertical="center"/>
    </xf>
    <xf numFmtId="0" fontId="2" fillId="2" borderId="39" xfId="0" applyFont="1" applyFill="1" applyBorder="1" applyAlignment="1">
      <alignment horizontal="right" vertical="center"/>
    </xf>
    <xf numFmtId="0" fontId="3" fillId="5" borderId="40" xfId="0" applyFont="1" applyFill="1" applyBorder="1" applyAlignment="1">
      <alignment horizontal="left" vertical="center"/>
    </xf>
    <xf numFmtId="0" fontId="3" fillId="5" borderId="41" xfId="0" applyFont="1" applyFill="1" applyBorder="1" applyAlignment="1">
      <alignment horizontal="left" vertical="center"/>
    </xf>
    <xf numFmtId="4" fontId="3" fillId="5" borderId="41" xfId="0" applyNumberFormat="1" applyFont="1" applyFill="1" applyBorder="1" applyAlignment="1">
      <alignment horizontal="right" vertical="center"/>
    </xf>
    <xf numFmtId="4" fontId="3" fillId="3" borderId="41" xfId="0" applyNumberFormat="1" applyFont="1" applyFill="1" applyBorder="1" applyAlignment="1" applyProtection="1">
      <alignment horizontal="right" vertical="center"/>
      <protection locked="0"/>
    </xf>
    <xf numFmtId="0" fontId="3" fillId="5" borderId="42" xfId="0" applyFont="1" applyFill="1" applyBorder="1" applyAlignment="1">
      <alignment horizontal="right" vertical="center"/>
    </xf>
    <xf numFmtId="4" fontId="2" fillId="0" borderId="43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48" xfId="0" applyFont="1" applyBorder="1" applyAlignment="1">
      <alignment horizontal="right" vertical="center"/>
    </xf>
    <xf numFmtId="0" fontId="2" fillId="0" borderId="49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4" fontId="3" fillId="0" borderId="51" xfId="0" applyNumberFormat="1" applyFont="1" applyBorder="1" applyAlignment="1">
      <alignment horizontal="right" vertical="center"/>
    </xf>
    <xf numFmtId="4" fontId="3" fillId="0" borderId="52" xfId="0" applyNumberFormat="1" applyFont="1" applyBorder="1" applyAlignment="1">
      <alignment horizontal="right" vertical="center"/>
    </xf>
    <xf numFmtId="0" fontId="0" fillId="0" borderId="5" xfId="0" applyBorder="1"/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right" vertical="center"/>
    </xf>
    <xf numFmtId="0" fontId="0" fillId="0" borderId="6" xfId="0" applyBorder="1"/>
    <xf numFmtId="4" fontId="3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0" fillId="0" borderId="53" xfId="0" applyBorder="1"/>
    <xf numFmtId="0" fontId="0" fillId="0" borderId="54" xfId="0" applyBorder="1"/>
    <xf numFmtId="0" fontId="6" fillId="0" borderId="54" xfId="0" applyFont="1" applyBorder="1" applyAlignment="1">
      <alignment horizontal="left" vertical="center"/>
    </xf>
    <xf numFmtId="4" fontId="6" fillId="0" borderId="54" xfId="0" applyNumberFormat="1" applyFont="1" applyBorder="1" applyAlignment="1">
      <alignment horizontal="right" vertical="center"/>
    </xf>
    <xf numFmtId="0" fontId="0" fillId="0" borderId="55" xfId="0" applyBorder="1"/>
    <xf numFmtId="0" fontId="8" fillId="2" borderId="57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10" fillId="0" borderId="61" xfId="0" applyFont="1" applyBorder="1" applyAlignment="1">
      <alignment horizontal="left" vertical="center"/>
    </xf>
    <xf numFmtId="0" fontId="11" fillId="0" borderId="62" xfId="0" applyFont="1" applyBorder="1" applyAlignment="1">
      <alignment horizontal="left" vertical="center"/>
    </xf>
    <xf numFmtId="4" fontId="11" fillId="0" borderId="62" xfId="0" applyNumberFormat="1" applyFont="1" applyBorder="1" applyAlignment="1">
      <alignment horizontal="right" vertical="center"/>
    </xf>
    <xf numFmtId="0" fontId="11" fillId="0" borderId="62" xfId="0" applyFont="1" applyBorder="1" applyAlignment="1">
      <alignment horizontal="right" vertical="center"/>
    </xf>
    <xf numFmtId="0" fontId="10" fillId="0" borderId="65" xfId="0" applyFont="1" applyBorder="1" applyAlignment="1">
      <alignment horizontal="left" vertical="center"/>
    </xf>
    <xf numFmtId="4" fontId="11" fillId="0" borderId="69" xfId="0" applyNumberFormat="1" applyFont="1" applyBorder="1" applyAlignment="1">
      <alignment horizontal="right" vertical="center"/>
    </xf>
    <xf numFmtId="0" fontId="11" fillId="0" borderId="69" xfId="0" applyFont="1" applyBorder="1" applyAlignment="1">
      <alignment horizontal="right" vertical="center"/>
    </xf>
    <xf numFmtId="4" fontId="11" fillId="0" borderId="60" xfId="0" applyNumberFormat="1" applyFont="1" applyBorder="1" applyAlignment="1">
      <alignment horizontal="right" vertical="center"/>
    </xf>
    <xf numFmtId="4" fontId="11" fillId="0" borderId="25" xfId="0" applyNumberFormat="1" applyFont="1" applyBorder="1" applyAlignment="1">
      <alignment horizontal="right" vertical="center"/>
    </xf>
    <xf numFmtId="4" fontId="10" fillId="2" borderId="59" xfId="0" applyNumberFormat="1" applyFont="1" applyFill="1" applyBorder="1" applyAlignment="1">
      <alignment horizontal="right" vertical="center"/>
    </xf>
    <xf numFmtId="4" fontId="10" fillId="2" borderId="64" xfId="0" applyNumberFormat="1" applyFont="1" applyFill="1" applyBorder="1" applyAlignment="1">
      <alignment horizontal="right" vertical="center"/>
    </xf>
    <xf numFmtId="0" fontId="5" fillId="0" borderId="51" xfId="0" applyFont="1" applyBorder="1" applyAlignment="1">
      <alignment horizontal="left" vertical="center"/>
    </xf>
    <xf numFmtId="0" fontId="2" fillId="0" borderId="85" xfId="0" applyFont="1" applyBorder="1" applyAlignment="1">
      <alignment horizontal="right" vertical="center"/>
    </xf>
    <xf numFmtId="4" fontId="3" fillId="0" borderId="62" xfId="0" applyNumberFormat="1" applyFont="1" applyBorder="1" applyAlignment="1">
      <alignment horizontal="right" vertical="center"/>
    </xf>
    <xf numFmtId="0" fontId="3" fillId="0" borderId="62" xfId="0" applyFont="1" applyBorder="1" applyAlignment="1">
      <alignment horizontal="left" vertical="center"/>
    </xf>
    <xf numFmtId="4" fontId="3" fillId="0" borderId="89" xfId="0" applyNumberFormat="1" applyFont="1" applyBorder="1" applyAlignment="1">
      <alignment horizontal="right" vertical="center"/>
    </xf>
    <xf numFmtId="0" fontId="3" fillId="0" borderId="89" xfId="0" applyFont="1" applyBorder="1" applyAlignment="1">
      <alignment horizontal="left" vertical="center"/>
    </xf>
    <xf numFmtId="0" fontId="2" fillId="0" borderId="93" xfId="0" applyFont="1" applyBorder="1" applyAlignment="1">
      <alignment horizontal="left" vertical="center"/>
    </xf>
    <xf numFmtId="0" fontId="2" fillId="0" borderId="93" xfId="0" applyFont="1" applyBorder="1" applyAlignment="1">
      <alignment horizontal="right" vertical="center"/>
    </xf>
    <xf numFmtId="4" fontId="2" fillId="0" borderId="93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8" xfId="0" applyFont="1" applyFill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/>
    </xf>
    <xf numFmtId="0" fontId="3" fillId="5" borderId="32" xfId="0" applyFont="1" applyFill="1" applyBorder="1" applyAlignment="1">
      <alignment horizontal="left" vertical="center" wrapText="1"/>
    </xf>
    <xf numFmtId="0" fontId="3" fillId="5" borderId="32" xfId="0" applyFont="1" applyFill="1" applyBorder="1" applyAlignment="1">
      <alignment horizontal="left" vertical="center"/>
    </xf>
    <xf numFmtId="0" fontId="3" fillId="5" borderId="35" xfId="0" applyFont="1" applyFill="1" applyBorder="1" applyAlignment="1">
      <alignment horizontal="left" vertical="center" wrapText="1"/>
    </xf>
    <xf numFmtId="0" fontId="3" fillId="5" borderId="35" xfId="0" applyFont="1" applyFill="1" applyBorder="1" applyAlignment="1">
      <alignment horizontal="left" vertical="center"/>
    </xf>
    <xf numFmtId="0" fontId="4" fillId="0" borderId="38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/>
    </xf>
    <xf numFmtId="0" fontId="4" fillId="3" borderId="38" xfId="0" applyFont="1" applyFill="1" applyBorder="1" applyAlignment="1" applyProtection="1">
      <alignment horizontal="left" vertical="center"/>
      <protection locked="0"/>
    </xf>
    <xf numFmtId="0" fontId="4" fillId="0" borderId="39" xfId="0" applyFont="1" applyBorder="1" applyAlignment="1">
      <alignment horizontal="left" vertical="center"/>
    </xf>
    <xf numFmtId="0" fontId="2" fillId="2" borderId="38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/>
    </xf>
    <xf numFmtId="0" fontId="3" fillId="5" borderId="41" xfId="0" applyFont="1" applyFill="1" applyBorder="1" applyAlignment="1">
      <alignment horizontal="left" vertical="center" wrapText="1"/>
    </xf>
    <xf numFmtId="0" fontId="3" fillId="5" borderId="41" xfId="0" applyFont="1" applyFill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/>
    </xf>
    <xf numFmtId="0" fontId="7" fillId="0" borderId="56" xfId="0" applyFont="1" applyBorder="1" applyAlignment="1">
      <alignment horizontal="center" vertical="center"/>
    </xf>
    <xf numFmtId="0" fontId="9" fillId="0" borderId="58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0" fontId="10" fillId="0" borderId="66" xfId="0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10" fillId="0" borderId="67" xfId="0" applyFont="1" applyBorder="1" applyAlignment="1">
      <alignment horizontal="left" vertical="center"/>
    </xf>
    <xf numFmtId="0" fontId="10" fillId="0" borderId="68" xfId="0" applyFont="1" applyBorder="1" applyAlignment="1">
      <alignment horizontal="left" vertical="center"/>
    </xf>
    <xf numFmtId="0" fontId="10" fillId="0" borderId="71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0" fontId="11" fillId="0" borderId="63" xfId="0" applyFont="1" applyBorder="1" applyAlignment="1">
      <alignment horizontal="left" vertical="center"/>
    </xf>
    <xf numFmtId="0" fontId="11" fillId="0" borderId="64" xfId="0" applyFont="1" applyBorder="1" applyAlignment="1">
      <alignment horizontal="left" vertical="center"/>
    </xf>
    <xf numFmtId="0" fontId="11" fillId="0" borderId="70" xfId="0" applyFont="1" applyBorder="1" applyAlignment="1">
      <alignment horizontal="left" vertical="center"/>
    </xf>
    <xf numFmtId="0" fontId="11" fillId="0" borderId="68" xfId="0" applyFont="1" applyBorder="1" applyAlignment="1">
      <alignment horizontal="left" vertical="center"/>
    </xf>
    <xf numFmtId="0" fontId="10" fillId="0" borderId="58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0" fontId="10" fillId="2" borderId="71" xfId="0" applyFont="1" applyFill="1" applyBorder="1" applyAlignment="1">
      <alignment horizontal="left" vertical="center"/>
    </xf>
    <xf numFmtId="0" fontId="10" fillId="2" borderId="72" xfId="0" applyFont="1" applyFill="1" applyBorder="1" applyAlignment="1">
      <alignment horizontal="left" vertical="center"/>
    </xf>
    <xf numFmtId="0" fontId="10" fillId="2" borderId="66" xfId="0" applyFont="1" applyFill="1" applyBorder="1" applyAlignment="1">
      <alignment horizontal="left" vertical="center"/>
    </xf>
    <xf numFmtId="0" fontId="10" fillId="2" borderId="73" xfId="0" applyFont="1" applyFill="1" applyBorder="1" applyAlignment="1">
      <alignment horizontal="left" vertical="center"/>
    </xf>
    <xf numFmtId="0" fontId="10" fillId="2" borderId="58" xfId="0" applyFont="1" applyFill="1" applyBorder="1" applyAlignment="1">
      <alignment horizontal="left" vertical="center"/>
    </xf>
    <xf numFmtId="0" fontId="10" fillId="2" borderId="63" xfId="0" applyFont="1" applyFill="1" applyBorder="1" applyAlignment="1">
      <alignment horizontal="left" vertical="center"/>
    </xf>
    <xf numFmtId="0" fontId="11" fillId="0" borderId="74" xfId="0" applyFont="1" applyBorder="1" applyAlignment="1">
      <alignment horizontal="left" vertical="center"/>
    </xf>
    <xf numFmtId="0" fontId="11" fillId="0" borderId="75" xfId="0" applyFont="1" applyBorder="1" applyAlignment="1">
      <alignment horizontal="left" vertical="center"/>
    </xf>
    <xf numFmtId="0" fontId="11" fillId="0" borderId="76" xfId="0" applyFont="1" applyBorder="1" applyAlignment="1">
      <alignment horizontal="left" vertical="center"/>
    </xf>
    <xf numFmtId="0" fontId="11" fillId="0" borderId="78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9" xfId="0" applyFont="1" applyBorder="1" applyAlignment="1">
      <alignment horizontal="left" vertical="center"/>
    </xf>
    <xf numFmtId="0" fontId="11" fillId="0" borderId="81" xfId="0" applyFont="1" applyBorder="1" applyAlignment="1">
      <alignment horizontal="left" vertical="center"/>
    </xf>
    <xf numFmtId="0" fontId="11" fillId="0" borderId="82" xfId="0" applyFont="1" applyBorder="1" applyAlignment="1">
      <alignment horizontal="left" vertical="center"/>
    </xf>
    <xf numFmtId="0" fontId="11" fillId="0" borderId="83" xfId="0" applyFont="1" applyBorder="1" applyAlignment="1">
      <alignment horizontal="left" vertical="center"/>
    </xf>
    <xf numFmtId="0" fontId="11" fillId="0" borderId="77" xfId="0" applyFont="1" applyBorder="1" applyAlignment="1">
      <alignment horizontal="left" vertical="center"/>
    </xf>
    <xf numFmtId="0" fontId="11" fillId="0" borderId="80" xfId="0" applyFont="1" applyBorder="1" applyAlignment="1">
      <alignment horizontal="left" vertical="center"/>
    </xf>
    <xf numFmtId="0" fontId="11" fillId="0" borderId="84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3" fillId="0" borderId="73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3" fillId="0" borderId="86" xfId="0" applyFont="1" applyBorder="1" applyAlignment="1">
      <alignment horizontal="left" vertical="center"/>
    </xf>
    <xf numFmtId="0" fontId="3" fillId="0" borderId="87" xfId="0" applyFont="1" applyBorder="1" applyAlignment="1">
      <alignment horizontal="left" vertical="center"/>
    </xf>
    <xf numFmtId="0" fontId="3" fillId="0" borderId="88" xfId="0" applyFont="1" applyBorder="1" applyAlignment="1">
      <alignment horizontal="left" vertical="center"/>
    </xf>
    <xf numFmtId="0" fontId="2" fillId="0" borderId="90" xfId="0" applyFont="1" applyBorder="1" applyAlignment="1">
      <alignment horizontal="left" vertical="center"/>
    </xf>
    <xf numFmtId="0" fontId="2" fillId="0" borderId="91" xfId="0" applyFont="1" applyBorder="1" applyAlignment="1">
      <alignment horizontal="left" vertical="center"/>
    </xf>
    <xf numFmtId="0" fontId="2" fillId="0" borderId="92" xfId="0" applyFont="1" applyBorder="1" applyAlignment="1">
      <alignment horizontal="left" vertical="center"/>
    </xf>
    <xf numFmtId="0" fontId="10" fillId="0" borderId="90" xfId="0" applyFont="1" applyBorder="1" applyAlignment="1">
      <alignment horizontal="left" vertical="center"/>
    </xf>
    <xf numFmtId="0" fontId="10" fillId="0" borderId="91" xfId="0" applyFont="1" applyBorder="1" applyAlignment="1">
      <alignment horizontal="left" vertical="center"/>
    </xf>
    <xf numFmtId="0" fontId="10" fillId="0" borderId="92" xfId="0" applyFont="1" applyBorder="1" applyAlignment="1">
      <alignment horizontal="left" vertical="center"/>
    </xf>
    <xf numFmtId="4" fontId="10" fillId="0" borderId="94" xfId="0" applyNumberFormat="1" applyFont="1" applyBorder="1" applyAlignment="1">
      <alignment horizontal="right" vertical="center"/>
    </xf>
    <xf numFmtId="0" fontId="10" fillId="0" borderId="91" xfId="0" applyFont="1" applyBorder="1" applyAlignment="1">
      <alignment horizontal="right" vertical="center"/>
    </xf>
    <xf numFmtId="0" fontId="10" fillId="0" borderId="92" xfId="0" applyFont="1" applyBorder="1" applyAlignment="1">
      <alignment horizontal="right" vertical="center"/>
    </xf>
    <xf numFmtId="0" fontId="13" fillId="6" borderId="95" xfId="1" applyFont="1" applyFill="1" applyBorder="1" applyAlignment="1">
      <alignment horizontal="center"/>
    </xf>
    <xf numFmtId="0" fontId="13" fillId="6" borderId="96" xfId="1" applyFont="1" applyFill="1" applyBorder="1" applyAlignment="1">
      <alignment horizontal="center"/>
    </xf>
    <xf numFmtId="0" fontId="13" fillId="6" borderId="97" xfId="1" applyFont="1" applyFill="1" applyBorder="1" applyAlignment="1">
      <alignment horizontal="center"/>
    </xf>
    <xf numFmtId="0" fontId="12" fillId="0" borderId="87" xfId="1"/>
    <xf numFmtId="0" fontId="13" fillId="0" borderId="98" xfId="1" applyFont="1" applyBorder="1" applyAlignment="1">
      <alignment horizontal="center"/>
    </xf>
    <xf numFmtId="0" fontId="13" fillId="0" borderId="99" xfId="1" applyFont="1" applyBorder="1" applyAlignment="1">
      <alignment horizontal="center"/>
    </xf>
    <xf numFmtId="0" fontId="13" fillId="0" borderId="100" xfId="1" applyFont="1" applyBorder="1" applyAlignment="1">
      <alignment horizontal="center"/>
    </xf>
    <xf numFmtId="0" fontId="12" fillId="0" borderId="101" xfId="1" applyBorder="1"/>
    <xf numFmtId="0" fontId="12" fillId="0" borderId="87" xfId="1" applyAlignment="1">
      <alignment horizontal="center"/>
    </xf>
    <xf numFmtId="0" fontId="12" fillId="0" borderId="102" xfId="1" applyBorder="1" applyAlignment="1">
      <alignment horizontal="center"/>
    </xf>
    <xf numFmtId="0" fontId="12" fillId="0" borderId="103" xfId="1" applyBorder="1" applyAlignment="1">
      <alignment wrapText="1"/>
    </xf>
    <xf numFmtId="0" fontId="12" fillId="0" borderId="104" xfId="1" applyBorder="1" applyAlignment="1">
      <alignment horizontal="center" vertical="center"/>
    </xf>
    <xf numFmtId="0" fontId="12" fillId="0" borderId="105" xfId="1" applyBorder="1" applyAlignment="1">
      <alignment horizontal="center" vertical="center"/>
    </xf>
  </cellXfs>
  <cellStyles count="2">
    <cellStyle name="Normální" xfId="0" builtinId="0"/>
    <cellStyle name="Normální 2" xfId="1" xr:uid="{0B18C682-B1C6-4B4E-ABDE-10FEDE7B05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7"/>
  <sheetViews>
    <sheetView tabSelected="1" workbookViewId="0">
      <selection activeCell="A37" sqref="A37:I37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142" t="s">
        <v>994</v>
      </c>
      <c r="B1" s="93"/>
      <c r="C1" s="93"/>
      <c r="D1" s="93"/>
      <c r="E1" s="93"/>
      <c r="F1" s="93"/>
      <c r="G1" s="93"/>
      <c r="H1" s="93"/>
      <c r="I1" s="93"/>
    </row>
    <row r="2" spans="1:9" x14ac:dyDescent="0.25">
      <c r="A2" s="94" t="s">
        <v>1</v>
      </c>
      <c r="B2" s="95"/>
      <c r="C2" s="103" t="str">
        <f>'Stavební rozpočet'!C2</f>
        <v>Revitalizace městských bytů v Šumperku - BJ č.3</v>
      </c>
      <c r="D2" s="104"/>
      <c r="E2" s="101" t="s">
        <v>5</v>
      </c>
      <c r="F2" s="101" t="str">
        <f>'Stavební rozpočet'!I2</f>
        <v>Město Šumperk, nám. Míru 1, 787 01 Šumperk</v>
      </c>
      <c r="G2" s="95"/>
      <c r="H2" s="101" t="s">
        <v>995</v>
      </c>
      <c r="I2" s="109" t="s">
        <v>996</v>
      </c>
    </row>
    <row r="3" spans="1:9" ht="15" customHeight="1" x14ac:dyDescent="0.25">
      <c r="A3" s="96"/>
      <c r="B3" s="97"/>
      <c r="C3" s="105"/>
      <c r="D3" s="105"/>
      <c r="E3" s="97"/>
      <c r="F3" s="97"/>
      <c r="G3" s="97"/>
      <c r="H3" s="97"/>
      <c r="I3" s="110"/>
    </row>
    <row r="4" spans="1:9" x14ac:dyDescent="0.25">
      <c r="A4" s="98" t="s">
        <v>7</v>
      </c>
      <c r="B4" s="97"/>
      <c r="C4" s="102" t="str">
        <f>'Stavební rozpočet'!C4</f>
        <v>Bytový dům</v>
      </c>
      <c r="D4" s="97"/>
      <c r="E4" s="102" t="s">
        <v>10</v>
      </c>
      <c r="F4" s="102" t="str">
        <f>'Stavební rozpočet'!I4</f>
        <v>Ing. Petr Doleček</v>
      </c>
      <c r="G4" s="97"/>
      <c r="H4" s="102" t="s">
        <v>995</v>
      </c>
      <c r="I4" s="110" t="s">
        <v>997</v>
      </c>
    </row>
    <row r="5" spans="1:9" ht="15" customHeight="1" x14ac:dyDescent="0.25">
      <c r="A5" s="96"/>
      <c r="B5" s="97"/>
      <c r="C5" s="97"/>
      <c r="D5" s="97"/>
      <c r="E5" s="97"/>
      <c r="F5" s="97"/>
      <c r="G5" s="97"/>
      <c r="H5" s="97"/>
      <c r="I5" s="110"/>
    </row>
    <row r="6" spans="1:9" x14ac:dyDescent="0.25">
      <c r="A6" s="98" t="s">
        <v>12</v>
      </c>
      <c r="B6" s="97"/>
      <c r="C6" s="102" t="str">
        <f>'Stavební rozpočet'!C6</f>
        <v>17.listopadu 1247/3 Šumperk</v>
      </c>
      <c r="D6" s="97"/>
      <c r="E6" s="102" t="s">
        <v>15</v>
      </c>
      <c r="F6" s="102" t="str">
        <f>'Stavební rozpočet'!I6</f>
        <v> </v>
      </c>
      <c r="G6" s="97"/>
      <c r="H6" s="102" t="s">
        <v>995</v>
      </c>
      <c r="I6" s="110" t="s">
        <v>50</v>
      </c>
    </row>
    <row r="7" spans="1:9" ht="15" customHeight="1" x14ac:dyDescent="0.25">
      <c r="A7" s="96"/>
      <c r="B7" s="97"/>
      <c r="C7" s="97"/>
      <c r="D7" s="97"/>
      <c r="E7" s="97"/>
      <c r="F7" s="97"/>
      <c r="G7" s="97"/>
      <c r="H7" s="97"/>
      <c r="I7" s="110"/>
    </row>
    <row r="8" spans="1:9" x14ac:dyDescent="0.25">
      <c r="A8" s="98" t="s">
        <v>9</v>
      </c>
      <c r="B8" s="97"/>
      <c r="C8" s="102" t="str">
        <f>'Stavební rozpočet'!G4</f>
        <v xml:space="preserve"> </v>
      </c>
      <c r="D8" s="97"/>
      <c r="E8" s="102" t="s">
        <v>14</v>
      </c>
      <c r="F8" s="102" t="str">
        <f>'Stavební rozpočet'!G6</f>
        <v xml:space="preserve"> </v>
      </c>
      <c r="G8" s="97"/>
      <c r="H8" s="97" t="s">
        <v>998</v>
      </c>
      <c r="I8" s="145">
        <v>233</v>
      </c>
    </row>
    <row r="9" spans="1:9" x14ac:dyDescent="0.25">
      <c r="A9" s="96"/>
      <c r="B9" s="97"/>
      <c r="C9" s="97"/>
      <c r="D9" s="97"/>
      <c r="E9" s="97"/>
      <c r="F9" s="97"/>
      <c r="G9" s="97"/>
      <c r="H9" s="97"/>
      <c r="I9" s="110"/>
    </row>
    <row r="10" spans="1:9" x14ac:dyDescent="0.25">
      <c r="A10" s="98" t="s">
        <v>17</v>
      </c>
      <c r="B10" s="97"/>
      <c r="C10" s="102" t="str">
        <f>'Stavební rozpočet'!C8</f>
        <v xml:space="preserve"> </v>
      </c>
      <c r="D10" s="97"/>
      <c r="E10" s="102" t="s">
        <v>20</v>
      </c>
      <c r="F10" s="102" t="str">
        <f>'Stavební rozpočet'!I8</f>
        <v>Ing. Petr Doleček</v>
      </c>
      <c r="G10" s="97"/>
      <c r="H10" s="97" t="s">
        <v>999</v>
      </c>
      <c r="I10" s="146" t="str">
        <f>'Stavební rozpočet'!G8</f>
        <v>26.06.2024</v>
      </c>
    </row>
    <row r="11" spans="1:9" x14ac:dyDescent="0.25">
      <c r="A11" s="143"/>
      <c r="B11" s="144"/>
      <c r="C11" s="144"/>
      <c r="D11" s="144"/>
      <c r="E11" s="144"/>
      <c r="F11" s="144"/>
      <c r="G11" s="144"/>
      <c r="H11" s="144"/>
      <c r="I11" s="147"/>
    </row>
    <row r="12" spans="1:9" ht="23.25" x14ac:dyDescent="0.25">
      <c r="A12" s="148" t="s">
        <v>1000</v>
      </c>
      <c r="B12" s="148"/>
      <c r="C12" s="148"/>
      <c r="D12" s="148"/>
      <c r="E12" s="148"/>
      <c r="F12" s="148"/>
      <c r="G12" s="148"/>
      <c r="H12" s="148"/>
      <c r="I12" s="148"/>
    </row>
    <row r="13" spans="1:9" ht="26.25" customHeight="1" x14ac:dyDescent="0.25">
      <c r="A13" s="71" t="s">
        <v>1001</v>
      </c>
      <c r="B13" s="149" t="s">
        <v>1002</v>
      </c>
      <c r="C13" s="150"/>
      <c r="D13" s="72" t="s">
        <v>1003</v>
      </c>
      <c r="E13" s="149" t="s">
        <v>1004</v>
      </c>
      <c r="F13" s="150"/>
      <c r="G13" s="72" t="s">
        <v>1005</v>
      </c>
      <c r="H13" s="149" t="s">
        <v>1006</v>
      </c>
      <c r="I13" s="150"/>
    </row>
    <row r="14" spans="1:9" ht="15.75" x14ac:dyDescent="0.25">
      <c r="A14" s="73" t="s">
        <v>1007</v>
      </c>
      <c r="B14" s="74" t="s">
        <v>1008</v>
      </c>
      <c r="C14" s="75">
        <f>SUM('Stavební rozpočet'!AB12:AB306)</f>
        <v>0</v>
      </c>
      <c r="D14" s="157" t="s">
        <v>1009</v>
      </c>
      <c r="E14" s="158"/>
      <c r="F14" s="75">
        <f>VORN!I15</f>
        <v>0</v>
      </c>
      <c r="G14" s="157" t="s">
        <v>1010</v>
      </c>
      <c r="H14" s="158"/>
      <c r="I14" s="76">
        <f>VORN!I21</f>
        <v>0</v>
      </c>
    </row>
    <row r="15" spans="1:9" ht="15.75" x14ac:dyDescent="0.25">
      <c r="A15" s="77" t="s">
        <v>50</v>
      </c>
      <c r="B15" s="74" t="s">
        <v>35</v>
      </c>
      <c r="C15" s="75">
        <f>SUM('Stavební rozpočet'!AC12:AC306)</f>
        <v>0</v>
      </c>
      <c r="D15" s="157" t="s">
        <v>1011</v>
      </c>
      <c r="E15" s="158"/>
      <c r="F15" s="75">
        <f>VORN!I16</f>
        <v>0</v>
      </c>
      <c r="G15" s="157" t="s">
        <v>1012</v>
      </c>
      <c r="H15" s="158"/>
      <c r="I15" s="76">
        <f>VORN!I22</f>
        <v>0</v>
      </c>
    </row>
    <row r="16" spans="1:9" ht="15.75" x14ac:dyDescent="0.25">
      <c r="A16" s="73" t="s">
        <v>1013</v>
      </c>
      <c r="B16" s="74" t="s">
        <v>1008</v>
      </c>
      <c r="C16" s="75">
        <f>SUM('Stavební rozpočet'!AD12:AD306)</f>
        <v>0</v>
      </c>
      <c r="D16" s="157" t="s">
        <v>1014</v>
      </c>
      <c r="E16" s="158"/>
      <c r="F16" s="75">
        <f>VORN!I17</f>
        <v>0</v>
      </c>
      <c r="G16" s="157" t="s">
        <v>1015</v>
      </c>
      <c r="H16" s="158"/>
      <c r="I16" s="76">
        <f>VORN!I23</f>
        <v>0</v>
      </c>
    </row>
    <row r="17" spans="1:9" ht="15.75" x14ac:dyDescent="0.25">
      <c r="A17" s="77" t="s">
        <v>50</v>
      </c>
      <c r="B17" s="74" t="s">
        <v>35</v>
      </c>
      <c r="C17" s="75">
        <f>SUM('Stavební rozpočet'!AE12:AE306)</f>
        <v>0</v>
      </c>
      <c r="D17" s="157" t="s">
        <v>50</v>
      </c>
      <c r="E17" s="158"/>
      <c r="F17" s="76" t="s">
        <v>50</v>
      </c>
      <c r="G17" s="157" t="s">
        <v>1016</v>
      </c>
      <c r="H17" s="158"/>
      <c r="I17" s="76">
        <f>VORN!I24</f>
        <v>0</v>
      </c>
    </row>
    <row r="18" spans="1:9" ht="15.75" x14ac:dyDescent="0.25">
      <c r="A18" s="73" t="s">
        <v>1017</v>
      </c>
      <c r="B18" s="74" t="s">
        <v>1008</v>
      </c>
      <c r="C18" s="75">
        <f>SUM('Stavební rozpočet'!AF12:AF306)</f>
        <v>0</v>
      </c>
      <c r="D18" s="157" t="s">
        <v>50</v>
      </c>
      <c r="E18" s="158"/>
      <c r="F18" s="76" t="s">
        <v>50</v>
      </c>
      <c r="G18" s="157" t="s">
        <v>1018</v>
      </c>
      <c r="H18" s="158"/>
      <c r="I18" s="76">
        <f>VORN!I25</f>
        <v>0</v>
      </c>
    </row>
    <row r="19" spans="1:9" ht="15.75" x14ac:dyDescent="0.25">
      <c r="A19" s="77" t="s">
        <v>50</v>
      </c>
      <c r="B19" s="74" t="s">
        <v>35</v>
      </c>
      <c r="C19" s="75">
        <f>SUM('Stavební rozpočet'!AG12:AG306)</f>
        <v>0</v>
      </c>
      <c r="D19" s="157" t="s">
        <v>50</v>
      </c>
      <c r="E19" s="158"/>
      <c r="F19" s="76" t="s">
        <v>50</v>
      </c>
      <c r="G19" s="157" t="s">
        <v>1019</v>
      </c>
      <c r="H19" s="158"/>
      <c r="I19" s="76">
        <f>VORN!I26</f>
        <v>0</v>
      </c>
    </row>
    <row r="20" spans="1:9" ht="15.75" x14ac:dyDescent="0.25">
      <c r="A20" s="151" t="s">
        <v>1020</v>
      </c>
      <c r="B20" s="152"/>
      <c r="C20" s="75">
        <f>SUM('Stavební rozpočet'!AH12:AH306)</f>
        <v>0</v>
      </c>
      <c r="D20" s="157" t="s">
        <v>50</v>
      </c>
      <c r="E20" s="158"/>
      <c r="F20" s="76" t="s">
        <v>50</v>
      </c>
      <c r="G20" s="157" t="s">
        <v>50</v>
      </c>
      <c r="H20" s="158"/>
      <c r="I20" s="76" t="s">
        <v>50</v>
      </c>
    </row>
    <row r="21" spans="1:9" ht="15.75" x14ac:dyDescent="0.25">
      <c r="A21" s="153" t="s">
        <v>1021</v>
      </c>
      <c r="B21" s="154"/>
      <c r="C21" s="78">
        <f>SUM('Stavební rozpočet'!Z12:Z306)</f>
        <v>0</v>
      </c>
      <c r="D21" s="159" t="s">
        <v>50</v>
      </c>
      <c r="E21" s="160"/>
      <c r="F21" s="79" t="s">
        <v>50</v>
      </c>
      <c r="G21" s="159" t="s">
        <v>50</v>
      </c>
      <c r="H21" s="160"/>
      <c r="I21" s="79" t="s">
        <v>50</v>
      </c>
    </row>
    <row r="22" spans="1:9" ht="16.5" customHeight="1" x14ac:dyDescent="0.25">
      <c r="A22" s="155" t="s">
        <v>1022</v>
      </c>
      <c r="B22" s="156"/>
      <c r="C22" s="80">
        <f>SUM(C14:C21)</f>
        <v>0</v>
      </c>
      <c r="D22" s="161" t="s">
        <v>1023</v>
      </c>
      <c r="E22" s="156"/>
      <c r="F22" s="80">
        <f>SUM(F14:F21)</f>
        <v>0</v>
      </c>
      <c r="G22" s="161" t="s">
        <v>1024</v>
      </c>
      <c r="H22" s="156"/>
      <c r="I22" s="80">
        <f>ROUND(C22*(3/100),2)</f>
        <v>0</v>
      </c>
    </row>
    <row r="23" spans="1:9" ht="15.75" x14ac:dyDescent="0.25">
      <c r="D23" s="151" t="s">
        <v>1025</v>
      </c>
      <c r="E23" s="152"/>
      <c r="F23" s="81">
        <v>0</v>
      </c>
      <c r="G23" s="162" t="s">
        <v>1026</v>
      </c>
      <c r="H23" s="152"/>
      <c r="I23" s="75">
        <v>0</v>
      </c>
    </row>
    <row r="24" spans="1:9" ht="15.75" x14ac:dyDescent="0.25">
      <c r="G24" s="151" t="s">
        <v>1027</v>
      </c>
      <c r="H24" s="152"/>
      <c r="I24" s="78">
        <f>vorn_sum</f>
        <v>0</v>
      </c>
    </row>
    <row r="25" spans="1:9" ht="15.75" x14ac:dyDescent="0.25">
      <c r="G25" s="151" t="s">
        <v>1028</v>
      </c>
      <c r="H25" s="152"/>
      <c r="I25" s="80">
        <v>0</v>
      </c>
    </row>
    <row r="27" spans="1:9" ht="15.75" x14ac:dyDescent="0.25">
      <c r="A27" s="163" t="s">
        <v>1029</v>
      </c>
      <c r="B27" s="164"/>
      <c r="C27" s="82">
        <f>SUM('Stavební rozpočet'!AJ12:AJ306)</f>
        <v>0</v>
      </c>
    </row>
    <row r="28" spans="1:9" ht="15.75" x14ac:dyDescent="0.25">
      <c r="A28" s="165" t="s">
        <v>1030</v>
      </c>
      <c r="B28" s="166"/>
      <c r="C28" s="83">
        <f>SUM('Stavební rozpočet'!AK12:AK306)+(F22+I22+F23+I23+I24+I25)</f>
        <v>0</v>
      </c>
      <c r="D28" s="167" t="s">
        <v>1031</v>
      </c>
      <c r="E28" s="164"/>
      <c r="F28" s="82">
        <f>ROUND(C28*(12/100),2)</f>
        <v>0</v>
      </c>
      <c r="G28" s="167" t="s">
        <v>1032</v>
      </c>
      <c r="H28" s="164"/>
      <c r="I28" s="82">
        <f>SUM(C27:C29)</f>
        <v>0</v>
      </c>
    </row>
    <row r="29" spans="1:9" ht="15.75" x14ac:dyDescent="0.25">
      <c r="A29" s="165" t="s">
        <v>1033</v>
      </c>
      <c r="B29" s="166"/>
      <c r="C29" s="83">
        <f>SUM('Stavební rozpočet'!AL12:AL306)</f>
        <v>0</v>
      </c>
      <c r="D29" s="168" t="s">
        <v>1034</v>
      </c>
      <c r="E29" s="166"/>
      <c r="F29" s="83">
        <f>ROUND(C29*(21/100),2)</f>
        <v>0</v>
      </c>
      <c r="G29" s="168" t="s">
        <v>1035</v>
      </c>
      <c r="H29" s="166"/>
      <c r="I29" s="83">
        <f>SUM(F28:F29)+I28</f>
        <v>0</v>
      </c>
    </row>
    <row r="31" spans="1:9" x14ac:dyDescent="0.25">
      <c r="A31" s="169" t="s">
        <v>1036</v>
      </c>
      <c r="B31" s="170"/>
      <c r="C31" s="171"/>
      <c r="D31" s="178" t="s">
        <v>1037</v>
      </c>
      <c r="E31" s="170"/>
      <c r="F31" s="171"/>
      <c r="G31" s="178" t="s">
        <v>1038</v>
      </c>
      <c r="H31" s="170"/>
      <c r="I31" s="171"/>
    </row>
    <row r="32" spans="1:9" x14ac:dyDescent="0.25">
      <c r="A32" s="172" t="s">
        <v>50</v>
      </c>
      <c r="B32" s="173"/>
      <c r="C32" s="174"/>
      <c r="D32" s="179" t="s">
        <v>50</v>
      </c>
      <c r="E32" s="173"/>
      <c r="F32" s="174"/>
      <c r="G32" s="179" t="s">
        <v>50</v>
      </c>
      <c r="H32" s="173"/>
      <c r="I32" s="174"/>
    </row>
    <row r="33" spans="1:9" x14ac:dyDescent="0.25">
      <c r="A33" s="172" t="s">
        <v>50</v>
      </c>
      <c r="B33" s="173"/>
      <c r="C33" s="174"/>
      <c r="D33" s="179" t="s">
        <v>50</v>
      </c>
      <c r="E33" s="173"/>
      <c r="F33" s="174"/>
      <c r="G33" s="179" t="s">
        <v>50</v>
      </c>
      <c r="H33" s="173"/>
      <c r="I33" s="174"/>
    </row>
    <row r="34" spans="1:9" x14ac:dyDescent="0.25">
      <c r="A34" s="172" t="s">
        <v>50</v>
      </c>
      <c r="B34" s="173"/>
      <c r="C34" s="174"/>
      <c r="D34" s="179" t="s">
        <v>50</v>
      </c>
      <c r="E34" s="173"/>
      <c r="F34" s="174"/>
      <c r="G34" s="179" t="s">
        <v>50</v>
      </c>
      <c r="H34" s="173"/>
      <c r="I34" s="174"/>
    </row>
    <row r="35" spans="1:9" x14ac:dyDescent="0.25">
      <c r="A35" s="175" t="s">
        <v>1039</v>
      </c>
      <c r="B35" s="176"/>
      <c r="C35" s="177"/>
      <c r="D35" s="180" t="s">
        <v>1039</v>
      </c>
      <c r="E35" s="176"/>
      <c r="F35" s="177"/>
      <c r="G35" s="180" t="s">
        <v>1039</v>
      </c>
      <c r="H35" s="176"/>
      <c r="I35" s="177"/>
    </row>
    <row r="36" spans="1:9" x14ac:dyDescent="0.25">
      <c r="A36" s="84" t="s">
        <v>847</v>
      </c>
    </row>
    <row r="37" spans="1:9" ht="12.75" customHeight="1" x14ac:dyDescent="0.25">
      <c r="A37" s="102" t="s">
        <v>50</v>
      </c>
      <c r="B37" s="97"/>
      <c r="C37" s="97"/>
      <c r="D37" s="97"/>
      <c r="E37" s="97"/>
      <c r="F37" s="97"/>
      <c r="G37" s="97"/>
      <c r="H37" s="97"/>
      <c r="I37" s="97"/>
    </row>
  </sheetData>
  <sheetProtection password="C7C0" sheet="1"/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H2:H3"/>
    <mergeCell ref="H4:H5"/>
    <mergeCell ref="H6:H7"/>
    <mergeCell ref="H8:H9"/>
    <mergeCell ref="H10:H11"/>
    <mergeCell ref="A10:B11"/>
    <mergeCell ref="E2:E3"/>
    <mergeCell ref="E4:E5"/>
    <mergeCell ref="E6:E7"/>
    <mergeCell ref="E8:E9"/>
    <mergeCell ref="E10:E11"/>
    <mergeCell ref="C2:D3"/>
    <mergeCell ref="C4:D5"/>
    <mergeCell ref="C6:D7"/>
    <mergeCell ref="C8:D9"/>
    <mergeCell ref="C10:D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309"/>
  <sheetViews>
    <sheetView workbookViewId="0">
      <pane ySplit="11" topLeftCell="A12" activePane="bottomLeft" state="frozen"/>
      <selection pane="bottomLeft" activeCell="C18" sqref="C18:K18"/>
    </sheetView>
  </sheetViews>
  <sheetFormatPr defaultColWidth="12.140625" defaultRowHeight="15" customHeight="1" x14ac:dyDescent="0.25"/>
  <cols>
    <col min="1" max="1" width="4" customWidth="1"/>
    <col min="2" max="2" width="17.85546875" customWidth="1"/>
    <col min="3" max="3" width="42.85546875" customWidth="1"/>
    <col min="4" max="4" width="35.7109375" customWidth="1"/>
    <col min="5" max="5" width="6.42578125" customWidth="1"/>
    <col min="6" max="6" width="12.85546875" customWidth="1"/>
    <col min="7" max="7" width="12" customWidth="1"/>
    <col min="8" max="10" width="15.7109375" customWidth="1"/>
    <col min="11" max="11" width="13.42578125" customWidth="1"/>
    <col min="25" max="75" width="12.140625" hidden="1"/>
    <col min="76" max="76" width="78.5703125" hidden="1" customWidth="1"/>
    <col min="77" max="78" width="12.140625" hidden="1"/>
  </cols>
  <sheetData>
    <row r="1" spans="1:76" ht="54.7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94" t="s">
        <v>1</v>
      </c>
      <c r="B2" s="95"/>
      <c r="C2" s="103" t="s">
        <v>2</v>
      </c>
      <c r="D2" s="104"/>
      <c r="E2" s="95" t="s">
        <v>3</v>
      </c>
      <c r="F2" s="95"/>
      <c r="G2" s="106" t="s">
        <v>4</v>
      </c>
      <c r="H2" s="101" t="s">
        <v>5</v>
      </c>
      <c r="I2" s="101" t="s">
        <v>6</v>
      </c>
      <c r="J2" s="95"/>
      <c r="K2" s="109"/>
    </row>
    <row r="3" spans="1:76" x14ac:dyDescent="0.25">
      <c r="A3" s="96"/>
      <c r="B3" s="97"/>
      <c r="C3" s="105"/>
      <c r="D3" s="105"/>
      <c r="E3" s="97"/>
      <c r="F3" s="97"/>
      <c r="G3" s="107"/>
      <c r="H3" s="97"/>
      <c r="I3" s="97"/>
      <c r="J3" s="97"/>
      <c r="K3" s="110"/>
    </row>
    <row r="4" spans="1:76" x14ac:dyDescent="0.25">
      <c r="A4" s="98" t="s">
        <v>7</v>
      </c>
      <c r="B4" s="97"/>
      <c r="C4" s="102" t="s">
        <v>8</v>
      </c>
      <c r="D4" s="97"/>
      <c r="E4" s="97" t="s">
        <v>9</v>
      </c>
      <c r="F4" s="97"/>
      <c r="G4" s="107" t="s">
        <v>4</v>
      </c>
      <c r="H4" s="102" t="s">
        <v>10</v>
      </c>
      <c r="I4" s="102" t="s">
        <v>11</v>
      </c>
      <c r="J4" s="97"/>
      <c r="K4" s="110"/>
    </row>
    <row r="5" spans="1:76" x14ac:dyDescent="0.25">
      <c r="A5" s="96"/>
      <c r="B5" s="97"/>
      <c r="C5" s="97"/>
      <c r="D5" s="97"/>
      <c r="E5" s="97"/>
      <c r="F5" s="97"/>
      <c r="G5" s="107"/>
      <c r="H5" s="97"/>
      <c r="I5" s="97"/>
      <c r="J5" s="97"/>
      <c r="K5" s="110"/>
    </row>
    <row r="6" spans="1:76" x14ac:dyDescent="0.25">
      <c r="A6" s="98" t="s">
        <v>12</v>
      </c>
      <c r="B6" s="97"/>
      <c r="C6" s="102" t="s">
        <v>13</v>
      </c>
      <c r="D6" s="97"/>
      <c r="E6" s="97" t="s">
        <v>14</v>
      </c>
      <c r="F6" s="97"/>
      <c r="G6" s="107" t="s">
        <v>4</v>
      </c>
      <c r="H6" s="102" t="s">
        <v>15</v>
      </c>
      <c r="I6" s="107" t="s">
        <v>16</v>
      </c>
      <c r="J6" s="107"/>
      <c r="K6" s="111"/>
    </row>
    <row r="7" spans="1:76" x14ac:dyDescent="0.25">
      <c r="A7" s="96"/>
      <c r="B7" s="97"/>
      <c r="C7" s="97"/>
      <c r="D7" s="97"/>
      <c r="E7" s="97"/>
      <c r="F7" s="97"/>
      <c r="G7" s="107"/>
      <c r="H7" s="97"/>
      <c r="I7" s="107"/>
      <c r="J7" s="107"/>
      <c r="K7" s="111"/>
    </row>
    <row r="8" spans="1:76" x14ac:dyDescent="0.25">
      <c r="A8" s="98" t="s">
        <v>17</v>
      </c>
      <c r="B8" s="97"/>
      <c r="C8" s="102" t="s">
        <v>4</v>
      </c>
      <c r="D8" s="97"/>
      <c r="E8" s="97" t="s">
        <v>18</v>
      </c>
      <c r="F8" s="97"/>
      <c r="G8" s="107" t="s">
        <v>19</v>
      </c>
      <c r="H8" s="102" t="s">
        <v>20</v>
      </c>
      <c r="I8" s="112" t="s">
        <v>11</v>
      </c>
      <c r="J8" s="107"/>
      <c r="K8" s="111"/>
    </row>
    <row r="9" spans="1:76" x14ac:dyDescent="0.25">
      <c r="A9" s="99"/>
      <c r="B9" s="100"/>
      <c r="C9" s="100"/>
      <c r="D9" s="100"/>
      <c r="E9" s="100"/>
      <c r="F9" s="100"/>
      <c r="G9" s="108"/>
      <c r="H9" s="100"/>
      <c r="I9" s="108"/>
      <c r="J9" s="108"/>
      <c r="K9" s="113"/>
    </row>
    <row r="10" spans="1:76" x14ac:dyDescent="0.25">
      <c r="A10" s="5" t="s">
        <v>21</v>
      </c>
      <c r="B10" s="6" t="s">
        <v>22</v>
      </c>
      <c r="C10" s="114" t="s">
        <v>23</v>
      </c>
      <c r="D10" s="115"/>
      <c r="E10" s="6" t="s">
        <v>24</v>
      </c>
      <c r="F10" s="7" t="s">
        <v>25</v>
      </c>
      <c r="G10" s="8" t="s">
        <v>26</v>
      </c>
      <c r="H10" s="118" t="s">
        <v>27</v>
      </c>
      <c r="I10" s="119"/>
      <c r="J10" s="120"/>
      <c r="K10" s="9" t="s">
        <v>28</v>
      </c>
      <c r="BK10" s="10" t="s">
        <v>29</v>
      </c>
      <c r="BL10" s="11" t="s">
        <v>30</v>
      </c>
      <c r="BW10" s="11" t="s">
        <v>31</v>
      </c>
    </row>
    <row r="11" spans="1:76" x14ac:dyDescent="0.25">
      <c r="A11" s="12" t="s">
        <v>4</v>
      </c>
      <c r="B11" s="13" t="s">
        <v>4</v>
      </c>
      <c r="C11" s="116" t="s">
        <v>32</v>
      </c>
      <c r="D11" s="117"/>
      <c r="E11" s="13" t="s">
        <v>4</v>
      </c>
      <c r="F11" s="13" t="s">
        <v>4</v>
      </c>
      <c r="G11" s="14" t="s">
        <v>33</v>
      </c>
      <c r="H11" s="15" t="s">
        <v>34</v>
      </c>
      <c r="I11" s="16" t="s">
        <v>35</v>
      </c>
      <c r="J11" s="17" t="s">
        <v>36</v>
      </c>
      <c r="K11" s="18" t="s">
        <v>37</v>
      </c>
      <c r="Z11" s="10" t="s">
        <v>38</v>
      </c>
      <c r="AA11" s="10" t="s">
        <v>39</v>
      </c>
      <c r="AB11" s="10" t="s">
        <v>40</v>
      </c>
      <c r="AC11" s="10" t="s">
        <v>41</v>
      </c>
      <c r="AD11" s="10" t="s">
        <v>42</v>
      </c>
      <c r="AE11" s="10" t="s">
        <v>43</v>
      </c>
      <c r="AF11" s="10" t="s">
        <v>44</v>
      </c>
      <c r="AG11" s="10" t="s">
        <v>45</v>
      </c>
      <c r="AH11" s="10" t="s">
        <v>46</v>
      </c>
      <c r="BH11" s="10" t="s">
        <v>47</v>
      </c>
      <c r="BI11" s="10" t="s">
        <v>48</v>
      </c>
      <c r="BJ11" s="10" t="s">
        <v>49</v>
      </c>
    </row>
    <row r="12" spans="1:76" x14ac:dyDescent="0.25">
      <c r="A12" s="19" t="s">
        <v>50</v>
      </c>
      <c r="B12" s="20" t="s">
        <v>51</v>
      </c>
      <c r="C12" s="121" t="s">
        <v>52</v>
      </c>
      <c r="D12" s="122"/>
      <c r="E12" s="21" t="s">
        <v>4</v>
      </c>
      <c r="F12" s="21" t="s">
        <v>4</v>
      </c>
      <c r="G12" s="22" t="s">
        <v>4</v>
      </c>
      <c r="H12" s="23">
        <f>SUM(H13:H32)</f>
        <v>0</v>
      </c>
      <c r="I12" s="23">
        <f>SUM(I13:I32)</f>
        <v>0</v>
      </c>
      <c r="J12" s="23">
        <f>SUM(J13:J32)</f>
        <v>0</v>
      </c>
      <c r="K12" s="24" t="s">
        <v>50</v>
      </c>
      <c r="AI12" s="10" t="s">
        <v>50</v>
      </c>
      <c r="AS12" s="1">
        <f>SUM(AJ13:AJ32)</f>
        <v>0</v>
      </c>
      <c r="AT12" s="1">
        <f>SUM(AK13:AK32)</f>
        <v>0</v>
      </c>
      <c r="AU12" s="1">
        <f>SUM(AL13:AL32)</f>
        <v>0</v>
      </c>
    </row>
    <row r="13" spans="1:76" x14ac:dyDescent="0.25">
      <c r="A13" s="25" t="s">
        <v>53</v>
      </c>
      <c r="B13" s="26" t="s">
        <v>54</v>
      </c>
      <c r="C13" s="123" t="s">
        <v>55</v>
      </c>
      <c r="D13" s="124"/>
      <c r="E13" s="26" t="s">
        <v>56</v>
      </c>
      <c r="F13" s="27">
        <v>6</v>
      </c>
      <c r="G13" s="28">
        <v>0</v>
      </c>
      <c r="H13" s="27">
        <f>F13*AO13</f>
        <v>0</v>
      </c>
      <c r="I13" s="27">
        <f>F13*AP13</f>
        <v>0</v>
      </c>
      <c r="J13" s="27">
        <f>F13*G13</f>
        <v>0</v>
      </c>
      <c r="K13" s="29" t="s">
        <v>57</v>
      </c>
      <c r="Z13" s="30">
        <f>IF(AQ13="5",BJ13,0)</f>
        <v>0</v>
      </c>
      <c r="AB13" s="30">
        <f>IF(AQ13="1",BH13,0)</f>
        <v>0</v>
      </c>
      <c r="AC13" s="30">
        <f>IF(AQ13="1",BI13,0)</f>
        <v>0</v>
      </c>
      <c r="AD13" s="30">
        <f>IF(AQ13="7",BH13,0)</f>
        <v>0</v>
      </c>
      <c r="AE13" s="30">
        <f>IF(AQ13="7",BI13,0)</f>
        <v>0</v>
      </c>
      <c r="AF13" s="30">
        <f>IF(AQ13="2",BH13,0)</f>
        <v>0</v>
      </c>
      <c r="AG13" s="30">
        <f>IF(AQ13="2",BI13,0)</f>
        <v>0</v>
      </c>
      <c r="AH13" s="30">
        <f>IF(AQ13="0",BJ13,0)</f>
        <v>0</v>
      </c>
      <c r="AI13" s="10" t="s">
        <v>50</v>
      </c>
      <c r="AJ13" s="30">
        <f>IF(AN13=0,J13,0)</f>
        <v>0</v>
      </c>
      <c r="AK13" s="30">
        <f>IF(AN13=12,J13,0)</f>
        <v>0</v>
      </c>
      <c r="AL13" s="30">
        <f>IF(AN13=21,J13,0)</f>
        <v>0</v>
      </c>
      <c r="AN13" s="30">
        <v>12</v>
      </c>
      <c r="AO13" s="30">
        <f>G13*0</f>
        <v>0</v>
      </c>
      <c r="AP13" s="30">
        <f>G13*(1-0)</f>
        <v>0</v>
      </c>
      <c r="AQ13" s="31" t="s">
        <v>53</v>
      </c>
      <c r="AV13" s="30">
        <f>AW13+AX13</f>
        <v>0</v>
      </c>
      <c r="AW13" s="30">
        <f>F13*AO13</f>
        <v>0</v>
      </c>
      <c r="AX13" s="30">
        <f>F13*AP13</f>
        <v>0</v>
      </c>
      <c r="AY13" s="31" t="s">
        <v>58</v>
      </c>
      <c r="AZ13" s="31" t="s">
        <v>59</v>
      </c>
      <c r="BA13" s="10" t="s">
        <v>60</v>
      </c>
      <c r="BC13" s="30">
        <f>AW13+AX13</f>
        <v>0</v>
      </c>
      <c r="BD13" s="30">
        <f>G13/(100-BE13)*100</f>
        <v>0</v>
      </c>
      <c r="BE13" s="30">
        <v>0</v>
      </c>
      <c r="BF13" s="30">
        <f>13</f>
        <v>13</v>
      </c>
      <c r="BH13" s="30">
        <f>F13*AO13</f>
        <v>0</v>
      </c>
      <c r="BI13" s="30">
        <f>F13*AP13</f>
        <v>0</v>
      </c>
      <c r="BJ13" s="30">
        <f>F13*G13</f>
        <v>0</v>
      </c>
      <c r="BK13" s="30"/>
      <c r="BL13" s="30">
        <v>34</v>
      </c>
      <c r="BW13" s="30">
        <v>12</v>
      </c>
      <c r="BX13" s="4" t="s">
        <v>55</v>
      </c>
    </row>
    <row r="14" spans="1:76" x14ac:dyDescent="0.25">
      <c r="A14" s="32" t="s">
        <v>61</v>
      </c>
      <c r="B14" s="33" t="s">
        <v>62</v>
      </c>
      <c r="C14" s="125" t="s">
        <v>63</v>
      </c>
      <c r="D14" s="126"/>
      <c r="E14" s="33" t="s">
        <v>64</v>
      </c>
      <c r="F14" s="34">
        <v>3</v>
      </c>
      <c r="G14" s="35">
        <v>0</v>
      </c>
      <c r="H14" s="34">
        <f>F14*AO14</f>
        <v>0</v>
      </c>
      <c r="I14" s="34">
        <f>F14*AP14</f>
        <v>0</v>
      </c>
      <c r="J14" s="34">
        <f>F14*G14</f>
        <v>0</v>
      </c>
      <c r="K14" s="36" t="s">
        <v>57</v>
      </c>
      <c r="Z14" s="30">
        <f>IF(AQ14="5",BJ14,0)</f>
        <v>0</v>
      </c>
      <c r="AB14" s="30">
        <f>IF(AQ14="1",BH14,0)</f>
        <v>0</v>
      </c>
      <c r="AC14" s="30">
        <f>IF(AQ14="1",BI14,0)</f>
        <v>0</v>
      </c>
      <c r="AD14" s="30">
        <f>IF(AQ14="7",BH14,0)</f>
        <v>0</v>
      </c>
      <c r="AE14" s="30">
        <f>IF(AQ14="7",BI14,0)</f>
        <v>0</v>
      </c>
      <c r="AF14" s="30">
        <f>IF(AQ14="2",BH14,0)</f>
        <v>0</v>
      </c>
      <c r="AG14" s="30">
        <f>IF(AQ14="2",BI14,0)</f>
        <v>0</v>
      </c>
      <c r="AH14" s="30">
        <f>IF(AQ14="0",BJ14,0)</f>
        <v>0</v>
      </c>
      <c r="AI14" s="10" t="s">
        <v>50</v>
      </c>
      <c r="AJ14" s="30">
        <f>IF(AN14=0,J14,0)</f>
        <v>0</v>
      </c>
      <c r="AK14" s="30">
        <f>IF(AN14=12,J14,0)</f>
        <v>0</v>
      </c>
      <c r="AL14" s="30">
        <f>IF(AN14=21,J14,0)</f>
        <v>0</v>
      </c>
      <c r="AN14" s="30">
        <v>12</v>
      </c>
      <c r="AO14" s="30">
        <f>G14*0.106029257</f>
        <v>0</v>
      </c>
      <c r="AP14" s="30">
        <f>G14*(1-0.106029257)</f>
        <v>0</v>
      </c>
      <c r="AQ14" s="31" t="s">
        <v>53</v>
      </c>
      <c r="AV14" s="30">
        <f>AW14+AX14</f>
        <v>0</v>
      </c>
      <c r="AW14" s="30">
        <f>F14*AO14</f>
        <v>0</v>
      </c>
      <c r="AX14" s="30">
        <f>F14*AP14</f>
        <v>0</v>
      </c>
      <c r="AY14" s="31" t="s">
        <v>58</v>
      </c>
      <c r="AZ14" s="31" t="s">
        <v>59</v>
      </c>
      <c r="BA14" s="10" t="s">
        <v>60</v>
      </c>
      <c r="BC14" s="30">
        <f>AW14+AX14</f>
        <v>0</v>
      </c>
      <c r="BD14" s="30">
        <f>G14/(100-BE14)*100</f>
        <v>0</v>
      </c>
      <c r="BE14" s="30">
        <v>0</v>
      </c>
      <c r="BF14" s="30">
        <f>14</f>
        <v>14</v>
      </c>
      <c r="BH14" s="30">
        <f>F14*AO14</f>
        <v>0</v>
      </c>
      <c r="BI14" s="30">
        <f>F14*AP14</f>
        <v>0</v>
      </c>
      <c r="BJ14" s="30">
        <f>F14*G14</f>
        <v>0</v>
      </c>
      <c r="BK14" s="30"/>
      <c r="BL14" s="30">
        <v>34</v>
      </c>
      <c r="BW14" s="30">
        <v>12</v>
      </c>
      <c r="BX14" s="4" t="s">
        <v>63</v>
      </c>
    </row>
    <row r="15" spans="1:76" x14ac:dyDescent="0.25">
      <c r="A15" s="32" t="s">
        <v>65</v>
      </c>
      <c r="B15" s="33" t="s">
        <v>66</v>
      </c>
      <c r="C15" s="125" t="s">
        <v>67</v>
      </c>
      <c r="D15" s="126"/>
      <c r="E15" s="33" t="s">
        <v>64</v>
      </c>
      <c r="F15" s="34">
        <v>10.4397</v>
      </c>
      <c r="G15" s="35">
        <v>0</v>
      </c>
      <c r="H15" s="34">
        <f>F15*AO15</f>
        <v>0</v>
      </c>
      <c r="I15" s="34">
        <f>F15*AP15</f>
        <v>0</v>
      </c>
      <c r="J15" s="34">
        <f>F15*G15</f>
        <v>0</v>
      </c>
      <c r="K15" s="36" t="s">
        <v>57</v>
      </c>
      <c r="Z15" s="30">
        <f>IF(AQ15="5",BJ15,0)</f>
        <v>0</v>
      </c>
      <c r="AB15" s="30">
        <f>IF(AQ15="1",BH15,0)</f>
        <v>0</v>
      </c>
      <c r="AC15" s="30">
        <f>IF(AQ15="1",BI15,0)</f>
        <v>0</v>
      </c>
      <c r="AD15" s="30">
        <f>IF(AQ15="7",BH15,0)</f>
        <v>0</v>
      </c>
      <c r="AE15" s="30">
        <f>IF(AQ15="7",BI15,0)</f>
        <v>0</v>
      </c>
      <c r="AF15" s="30">
        <f>IF(AQ15="2",BH15,0)</f>
        <v>0</v>
      </c>
      <c r="AG15" s="30">
        <f>IF(AQ15="2",BI15,0)</f>
        <v>0</v>
      </c>
      <c r="AH15" s="30">
        <f>IF(AQ15="0",BJ15,0)</f>
        <v>0</v>
      </c>
      <c r="AI15" s="10" t="s">
        <v>50</v>
      </c>
      <c r="AJ15" s="30">
        <f>IF(AN15=0,J15,0)</f>
        <v>0</v>
      </c>
      <c r="AK15" s="30">
        <f>IF(AN15=12,J15,0)</f>
        <v>0</v>
      </c>
      <c r="AL15" s="30">
        <f>IF(AN15=21,J15,0)</f>
        <v>0</v>
      </c>
      <c r="AN15" s="30">
        <v>12</v>
      </c>
      <c r="AO15" s="30">
        <f>G15*0.058091848</f>
        <v>0</v>
      </c>
      <c r="AP15" s="30">
        <f>G15*(1-0.058091848)</f>
        <v>0</v>
      </c>
      <c r="AQ15" s="31" t="s">
        <v>53</v>
      </c>
      <c r="AV15" s="30">
        <f>AW15+AX15</f>
        <v>0</v>
      </c>
      <c r="AW15" s="30">
        <f>F15*AO15</f>
        <v>0</v>
      </c>
      <c r="AX15" s="30">
        <f>F15*AP15</f>
        <v>0</v>
      </c>
      <c r="AY15" s="31" t="s">
        <v>58</v>
      </c>
      <c r="AZ15" s="31" t="s">
        <v>59</v>
      </c>
      <c r="BA15" s="10" t="s">
        <v>60</v>
      </c>
      <c r="BC15" s="30">
        <f>AW15+AX15</f>
        <v>0</v>
      </c>
      <c r="BD15" s="30">
        <f>G15/(100-BE15)*100</f>
        <v>0</v>
      </c>
      <c r="BE15" s="30">
        <v>0</v>
      </c>
      <c r="BF15" s="30">
        <f>15</f>
        <v>15</v>
      </c>
      <c r="BH15" s="30">
        <f>F15*AO15</f>
        <v>0</v>
      </c>
      <c r="BI15" s="30">
        <f>F15*AP15</f>
        <v>0</v>
      </c>
      <c r="BJ15" s="30">
        <f>F15*G15</f>
        <v>0</v>
      </c>
      <c r="BK15" s="30"/>
      <c r="BL15" s="30">
        <v>34</v>
      </c>
      <c r="BW15" s="30">
        <v>12</v>
      </c>
      <c r="BX15" s="4" t="s">
        <v>67</v>
      </c>
    </row>
    <row r="16" spans="1:76" ht="13.5" customHeight="1" x14ac:dyDescent="0.25">
      <c r="A16" s="37"/>
      <c r="B16" s="38" t="s">
        <v>68</v>
      </c>
      <c r="C16" s="127" t="s">
        <v>69</v>
      </c>
      <c r="D16" s="128"/>
      <c r="E16" s="128"/>
      <c r="F16" s="128"/>
      <c r="G16" s="129"/>
      <c r="H16" s="128"/>
      <c r="I16" s="128"/>
      <c r="J16" s="128"/>
      <c r="K16" s="130"/>
    </row>
    <row r="17" spans="1:76" x14ac:dyDescent="0.25">
      <c r="A17" s="25" t="s">
        <v>70</v>
      </c>
      <c r="B17" s="26" t="s">
        <v>71</v>
      </c>
      <c r="C17" s="123" t="s">
        <v>72</v>
      </c>
      <c r="D17" s="124"/>
      <c r="E17" s="26" t="s">
        <v>56</v>
      </c>
      <c r="F17" s="27">
        <v>3</v>
      </c>
      <c r="G17" s="28">
        <v>0</v>
      </c>
      <c r="H17" s="27">
        <f>F17*AO17</f>
        <v>0</v>
      </c>
      <c r="I17" s="27">
        <f>F17*AP17</f>
        <v>0</v>
      </c>
      <c r="J17" s="27">
        <f>F17*G17</f>
        <v>0</v>
      </c>
      <c r="K17" s="29" t="s">
        <v>57</v>
      </c>
      <c r="Z17" s="30">
        <f>IF(AQ17="5",BJ17,0)</f>
        <v>0</v>
      </c>
      <c r="AB17" s="30">
        <f>IF(AQ17="1",BH17,0)</f>
        <v>0</v>
      </c>
      <c r="AC17" s="30">
        <f>IF(AQ17="1",BI17,0)</f>
        <v>0</v>
      </c>
      <c r="AD17" s="30">
        <f>IF(AQ17="7",BH17,0)</f>
        <v>0</v>
      </c>
      <c r="AE17" s="30">
        <f>IF(AQ17="7",BI17,0)</f>
        <v>0</v>
      </c>
      <c r="AF17" s="30">
        <f>IF(AQ17="2",BH17,0)</f>
        <v>0</v>
      </c>
      <c r="AG17" s="30">
        <f>IF(AQ17="2",BI17,0)</f>
        <v>0</v>
      </c>
      <c r="AH17" s="30">
        <f>IF(AQ17="0",BJ17,0)</f>
        <v>0</v>
      </c>
      <c r="AI17" s="10" t="s">
        <v>50</v>
      </c>
      <c r="AJ17" s="30">
        <f>IF(AN17=0,J17,0)</f>
        <v>0</v>
      </c>
      <c r="AK17" s="30">
        <f>IF(AN17=12,J17,0)</f>
        <v>0</v>
      </c>
      <c r="AL17" s="30">
        <f>IF(AN17=21,J17,0)</f>
        <v>0</v>
      </c>
      <c r="AN17" s="30">
        <v>12</v>
      </c>
      <c r="AO17" s="30">
        <f>G17*0.019495677</f>
        <v>0</v>
      </c>
      <c r="AP17" s="30">
        <f>G17*(1-0.019495677)</f>
        <v>0</v>
      </c>
      <c r="AQ17" s="31" t="s">
        <v>61</v>
      </c>
      <c r="AV17" s="30">
        <f>AW17+AX17</f>
        <v>0</v>
      </c>
      <c r="AW17" s="30">
        <f>F17*AO17</f>
        <v>0</v>
      </c>
      <c r="AX17" s="30">
        <f>F17*AP17</f>
        <v>0</v>
      </c>
      <c r="AY17" s="31" t="s">
        <v>58</v>
      </c>
      <c r="AZ17" s="31" t="s">
        <v>59</v>
      </c>
      <c r="BA17" s="10" t="s">
        <v>60</v>
      </c>
      <c r="BC17" s="30">
        <f>AW17+AX17</f>
        <v>0</v>
      </c>
      <c r="BD17" s="30">
        <f>G17/(100-BE17)*100</f>
        <v>0</v>
      </c>
      <c r="BE17" s="30">
        <v>0</v>
      </c>
      <c r="BF17" s="30">
        <f>17</f>
        <v>17</v>
      </c>
      <c r="BH17" s="30">
        <f>F17*AO17</f>
        <v>0</v>
      </c>
      <c r="BI17" s="30">
        <f>F17*AP17</f>
        <v>0</v>
      </c>
      <c r="BJ17" s="30">
        <f>F17*G17</f>
        <v>0</v>
      </c>
      <c r="BK17" s="30"/>
      <c r="BL17" s="30">
        <v>34</v>
      </c>
      <c r="BW17" s="30">
        <v>12</v>
      </c>
      <c r="BX17" s="4" t="s">
        <v>72</v>
      </c>
    </row>
    <row r="18" spans="1:76" ht="13.5" customHeight="1" x14ac:dyDescent="0.25">
      <c r="A18" s="37"/>
      <c r="B18" s="38" t="s">
        <v>68</v>
      </c>
      <c r="C18" s="127" t="s">
        <v>73</v>
      </c>
      <c r="D18" s="128"/>
      <c r="E18" s="128"/>
      <c r="F18" s="128"/>
      <c r="G18" s="129"/>
      <c r="H18" s="128"/>
      <c r="I18" s="128"/>
      <c r="J18" s="128"/>
      <c r="K18" s="130"/>
    </row>
    <row r="19" spans="1:76" x14ac:dyDescent="0.25">
      <c r="A19" s="25" t="s">
        <v>74</v>
      </c>
      <c r="B19" s="26" t="s">
        <v>75</v>
      </c>
      <c r="C19" s="123" t="s">
        <v>76</v>
      </c>
      <c r="D19" s="124"/>
      <c r="E19" s="26" t="s">
        <v>56</v>
      </c>
      <c r="F19" s="27">
        <v>2</v>
      </c>
      <c r="G19" s="28">
        <v>0</v>
      </c>
      <c r="H19" s="27">
        <f t="shared" ref="H19:H26" si="0">F19*AO19</f>
        <v>0</v>
      </c>
      <c r="I19" s="27">
        <f t="shared" ref="I19:I26" si="1">F19*AP19</f>
        <v>0</v>
      </c>
      <c r="J19" s="27">
        <f t="shared" ref="J19:J26" si="2">F19*G19</f>
        <v>0</v>
      </c>
      <c r="K19" s="29" t="s">
        <v>57</v>
      </c>
      <c r="Z19" s="30">
        <f t="shared" ref="Z19:Z26" si="3">IF(AQ19="5",BJ19,0)</f>
        <v>0</v>
      </c>
      <c r="AB19" s="30">
        <f t="shared" ref="AB19:AB26" si="4">IF(AQ19="1",BH19,0)</f>
        <v>0</v>
      </c>
      <c r="AC19" s="30">
        <f t="shared" ref="AC19:AC26" si="5">IF(AQ19="1",BI19,0)</f>
        <v>0</v>
      </c>
      <c r="AD19" s="30">
        <f t="shared" ref="AD19:AD26" si="6">IF(AQ19="7",BH19,0)</f>
        <v>0</v>
      </c>
      <c r="AE19" s="30">
        <f t="shared" ref="AE19:AE26" si="7">IF(AQ19="7",BI19,0)</f>
        <v>0</v>
      </c>
      <c r="AF19" s="30">
        <f t="shared" ref="AF19:AF26" si="8">IF(AQ19="2",BH19,0)</f>
        <v>0</v>
      </c>
      <c r="AG19" s="30">
        <f t="shared" ref="AG19:AG26" si="9">IF(AQ19="2",BI19,0)</f>
        <v>0</v>
      </c>
      <c r="AH19" s="30">
        <f t="shared" ref="AH19:AH26" si="10">IF(AQ19="0",BJ19,0)</f>
        <v>0</v>
      </c>
      <c r="AI19" s="10" t="s">
        <v>50</v>
      </c>
      <c r="AJ19" s="30">
        <f t="shared" ref="AJ19:AJ26" si="11">IF(AN19=0,J19,0)</f>
        <v>0</v>
      </c>
      <c r="AK19" s="30">
        <f t="shared" ref="AK19:AK26" si="12">IF(AN19=12,J19,0)</f>
        <v>0</v>
      </c>
      <c r="AL19" s="30">
        <f t="shared" ref="AL19:AL26" si="13">IF(AN19=21,J19,0)</f>
        <v>0</v>
      </c>
      <c r="AN19" s="30">
        <v>12</v>
      </c>
      <c r="AO19" s="30">
        <f>G19*0.185462069</f>
        <v>0</v>
      </c>
      <c r="AP19" s="30">
        <f>G19*(1-0.185462069)</f>
        <v>0</v>
      </c>
      <c r="AQ19" s="31" t="s">
        <v>53</v>
      </c>
      <c r="AV19" s="30">
        <f t="shared" ref="AV19:AV26" si="14">AW19+AX19</f>
        <v>0</v>
      </c>
      <c r="AW19" s="30">
        <f t="shared" ref="AW19:AW26" si="15">F19*AO19</f>
        <v>0</v>
      </c>
      <c r="AX19" s="30">
        <f t="shared" ref="AX19:AX26" si="16">F19*AP19</f>
        <v>0</v>
      </c>
      <c r="AY19" s="31" t="s">
        <v>58</v>
      </c>
      <c r="AZ19" s="31" t="s">
        <v>59</v>
      </c>
      <c r="BA19" s="10" t="s">
        <v>60</v>
      </c>
      <c r="BC19" s="30">
        <f t="shared" ref="BC19:BC26" si="17">AW19+AX19</f>
        <v>0</v>
      </c>
      <c r="BD19" s="30">
        <f t="shared" ref="BD19:BD26" si="18">G19/(100-BE19)*100</f>
        <v>0</v>
      </c>
      <c r="BE19" s="30">
        <v>0</v>
      </c>
      <c r="BF19" s="30">
        <f>19</f>
        <v>19</v>
      </c>
      <c r="BH19" s="30">
        <f t="shared" ref="BH19:BH26" si="19">F19*AO19</f>
        <v>0</v>
      </c>
      <c r="BI19" s="30">
        <f t="shared" ref="BI19:BI26" si="20">F19*AP19</f>
        <v>0</v>
      </c>
      <c r="BJ19" s="30">
        <f t="shared" ref="BJ19:BJ26" si="21">F19*G19</f>
        <v>0</v>
      </c>
      <c r="BK19" s="30"/>
      <c r="BL19" s="30">
        <v>34</v>
      </c>
      <c r="BW19" s="30">
        <v>12</v>
      </c>
      <c r="BX19" s="4" t="s">
        <v>76</v>
      </c>
    </row>
    <row r="20" spans="1:76" x14ac:dyDescent="0.25">
      <c r="A20" s="32" t="s">
        <v>77</v>
      </c>
      <c r="B20" s="33" t="s">
        <v>78</v>
      </c>
      <c r="C20" s="125" t="s">
        <v>79</v>
      </c>
      <c r="D20" s="126"/>
      <c r="E20" s="33" t="s">
        <v>80</v>
      </c>
      <c r="F20" s="34">
        <v>60</v>
      </c>
      <c r="G20" s="35">
        <v>0</v>
      </c>
      <c r="H20" s="34">
        <f t="shared" si="0"/>
        <v>0</v>
      </c>
      <c r="I20" s="34">
        <f t="shared" si="1"/>
        <v>0</v>
      </c>
      <c r="J20" s="34">
        <f t="shared" si="2"/>
        <v>0</v>
      </c>
      <c r="K20" s="36" t="s">
        <v>57</v>
      </c>
      <c r="Z20" s="30">
        <f t="shared" si="3"/>
        <v>0</v>
      </c>
      <c r="AB20" s="30">
        <f t="shared" si="4"/>
        <v>0</v>
      </c>
      <c r="AC20" s="30">
        <f t="shared" si="5"/>
        <v>0</v>
      </c>
      <c r="AD20" s="30">
        <f t="shared" si="6"/>
        <v>0</v>
      </c>
      <c r="AE20" s="30">
        <f t="shared" si="7"/>
        <v>0</v>
      </c>
      <c r="AF20" s="30">
        <f t="shared" si="8"/>
        <v>0</v>
      </c>
      <c r="AG20" s="30">
        <f t="shared" si="9"/>
        <v>0</v>
      </c>
      <c r="AH20" s="30">
        <f t="shared" si="10"/>
        <v>0</v>
      </c>
      <c r="AI20" s="10" t="s">
        <v>50</v>
      </c>
      <c r="AJ20" s="30">
        <f t="shared" si="11"/>
        <v>0</v>
      </c>
      <c r="AK20" s="30">
        <f t="shared" si="12"/>
        <v>0</v>
      </c>
      <c r="AL20" s="30">
        <f t="shared" si="13"/>
        <v>0</v>
      </c>
      <c r="AN20" s="30">
        <v>12</v>
      </c>
      <c r="AO20" s="30">
        <f>G20*0.136679684</f>
        <v>0</v>
      </c>
      <c r="AP20" s="30">
        <f>G20*(1-0.136679684)</f>
        <v>0</v>
      </c>
      <c r="AQ20" s="31" t="s">
        <v>53</v>
      </c>
      <c r="AV20" s="30">
        <f t="shared" si="14"/>
        <v>0</v>
      </c>
      <c r="AW20" s="30">
        <f t="shared" si="15"/>
        <v>0</v>
      </c>
      <c r="AX20" s="30">
        <f t="shared" si="16"/>
        <v>0</v>
      </c>
      <c r="AY20" s="31" t="s">
        <v>58</v>
      </c>
      <c r="AZ20" s="31" t="s">
        <v>59</v>
      </c>
      <c r="BA20" s="10" t="s">
        <v>60</v>
      </c>
      <c r="BC20" s="30">
        <f t="shared" si="17"/>
        <v>0</v>
      </c>
      <c r="BD20" s="30">
        <f t="shared" si="18"/>
        <v>0</v>
      </c>
      <c r="BE20" s="30">
        <v>0</v>
      </c>
      <c r="BF20" s="30">
        <f>20</f>
        <v>20</v>
      </c>
      <c r="BH20" s="30">
        <f t="shared" si="19"/>
        <v>0</v>
      </c>
      <c r="BI20" s="30">
        <f t="shared" si="20"/>
        <v>0</v>
      </c>
      <c r="BJ20" s="30">
        <f t="shared" si="21"/>
        <v>0</v>
      </c>
      <c r="BK20" s="30"/>
      <c r="BL20" s="30">
        <v>34</v>
      </c>
      <c r="BW20" s="30">
        <v>12</v>
      </c>
      <c r="BX20" s="4" t="s">
        <v>79</v>
      </c>
    </row>
    <row r="21" spans="1:76" x14ac:dyDescent="0.25">
      <c r="A21" s="32" t="s">
        <v>81</v>
      </c>
      <c r="B21" s="33" t="s">
        <v>82</v>
      </c>
      <c r="C21" s="125" t="s">
        <v>83</v>
      </c>
      <c r="D21" s="126"/>
      <c r="E21" s="33" t="s">
        <v>80</v>
      </c>
      <c r="F21" s="34">
        <v>63.8</v>
      </c>
      <c r="G21" s="35">
        <v>0</v>
      </c>
      <c r="H21" s="34">
        <f t="shared" si="0"/>
        <v>0</v>
      </c>
      <c r="I21" s="34">
        <f t="shared" si="1"/>
        <v>0</v>
      </c>
      <c r="J21" s="34">
        <f t="shared" si="2"/>
        <v>0</v>
      </c>
      <c r="K21" s="36" t="s">
        <v>57</v>
      </c>
      <c r="Z21" s="30">
        <f t="shared" si="3"/>
        <v>0</v>
      </c>
      <c r="AB21" s="30">
        <f t="shared" si="4"/>
        <v>0</v>
      </c>
      <c r="AC21" s="30">
        <f t="shared" si="5"/>
        <v>0</v>
      </c>
      <c r="AD21" s="30">
        <f t="shared" si="6"/>
        <v>0</v>
      </c>
      <c r="AE21" s="30">
        <f t="shared" si="7"/>
        <v>0</v>
      </c>
      <c r="AF21" s="30">
        <f t="shared" si="8"/>
        <v>0</v>
      </c>
      <c r="AG21" s="30">
        <f t="shared" si="9"/>
        <v>0</v>
      </c>
      <c r="AH21" s="30">
        <f t="shared" si="10"/>
        <v>0</v>
      </c>
      <c r="AI21" s="10" t="s">
        <v>50</v>
      </c>
      <c r="AJ21" s="30">
        <f t="shared" si="11"/>
        <v>0</v>
      </c>
      <c r="AK21" s="30">
        <f t="shared" si="12"/>
        <v>0</v>
      </c>
      <c r="AL21" s="30">
        <f t="shared" si="13"/>
        <v>0</v>
      </c>
      <c r="AN21" s="30">
        <v>12</v>
      </c>
      <c r="AO21" s="30">
        <f>G21*0.100006991</f>
        <v>0</v>
      </c>
      <c r="AP21" s="30">
        <f>G21*(1-0.100006991)</f>
        <v>0</v>
      </c>
      <c r="AQ21" s="31" t="s">
        <v>53</v>
      </c>
      <c r="AV21" s="30">
        <f t="shared" si="14"/>
        <v>0</v>
      </c>
      <c r="AW21" s="30">
        <f t="shared" si="15"/>
        <v>0</v>
      </c>
      <c r="AX21" s="30">
        <f t="shared" si="16"/>
        <v>0</v>
      </c>
      <c r="AY21" s="31" t="s">
        <v>58</v>
      </c>
      <c r="AZ21" s="31" t="s">
        <v>59</v>
      </c>
      <c r="BA21" s="10" t="s">
        <v>60</v>
      </c>
      <c r="BC21" s="30">
        <f t="shared" si="17"/>
        <v>0</v>
      </c>
      <c r="BD21" s="30">
        <f t="shared" si="18"/>
        <v>0</v>
      </c>
      <c r="BE21" s="30">
        <v>0</v>
      </c>
      <c r="BF21" s="30">
        <f>21</f>
        <v>21</v>
      </c>
      <c r="BH21" s="30">
        <f t="shared" si="19"/>
        <v>0</v>
      </c>
      <c r="BI21" s="30">
        <f t="shared" si="20"/>
        <v>0</v>
      </c>
      <c r="BJ21" s="30">
        <f t="shared" si="21"/>
        <v>0</v>
      </c>
      <c r="BK21" s="30"/>
      <c r="BL21" s="30">
        <v>34</v>
      </c>
      <c r="BW21" s="30">
        <v>12</v>
      </c>
      <c r="BX21" s="4" t="s">
        <v>83</v>
      </c>
    </row>
    <row r="22" spans="1:76" x14ac:dyDescent="0.25">
      <c r="A22" s="32" t="s">
        <v>84</v>
      </c>
      <c r="B22" s="33" t="s">
        <v>85</v>
      </c>
      <c r="C22" s="125" t="s">
        <v>86</v>
      </c>
      <c r="D22" s="126"/>
      <c r="E22" s="33" t="s">
        <v>80</v>
      </c>
      <c r="F22" s="34">
        <v>17</v>
      </c>
      <c r="G22" s="35">
        <v>0</v>
      </c>
      <c r="H22" s="34">
        <f t="shared" si="0"/>
        <v>0</v>
      </c>
      <c r="I22" s="34">
        <f t="shared" si="1"/>
        <v>0</v>
      </c>
      <c r="J22" s="34">
        <f t="shared" si="2"/>
        <v>0</v>
      </c>
      <c r="K22" s="36" t="s">
        <v>57</v>
      </c>
      <c r="Z22" s="30">
        <f t="shared" si="3"/>
        <v>0</v>
      </c>
      <c r="AB22" s="30">
        <f t="shared" si="4"/>
        <v>0</v>
      </c>
      <c r="AC22" s="30">
        <f t="shared" si="5"/>
        <v>0</v>
      </c>
      <c r="AD22" s="30">
        <f t="shared" si="6"/>
        <v>0</v>
      </c>
      <c r="AE22" s="30">
        <f t="shared" si="7"/>
        <v>0</v>
      </c>
      <c r="AF22" s="30">
        <f t="shared" si="8"/>
        <v>0</v>
      </c>
      <c r="AG22" s="30">
        <f t="shared" si="9"/>
        <v>0</v>
      </c>
      <c r="AH22" s="30">
        <f t="shared" si="10"/>
        <v>0</v>
      </c>
      <c r="AI22" s="10" t="s">
        <v>50</v>
      </c>
      <c r="AJ22" s="30">
        <f t="shared" si="11"/>
        <v>0</v>
      </c>
      <c r="AK22" s="30">
        <f t="shared" si="12"/>
        <v>0</v>
      </c>
      <c r="AL22" s="30">
        <f t="shared" si="13"/>
        <v>0</v>
      </c>
      <c r="AN22" s="30">
        <v>12</v>
      </c>
      <c r="AO22" s="30">
        <f>G22*0.100006969</f>
        <v>0</v>
      </c>
      <c r="AP22" s="30">
        <f>G22*(1-0.100006969)</f>
        <v>0</v>
      </c>
      <c r="AQ22" s="31" t="s">
        <v>53</v>
      </c>
      <c r="AV22" s="30">
        <f t="shared" si="14"/>
        <v>0</v>
      </c>
      <c r="AW22" s="30">
        <f t="shared" si="15"/>
        <v>0</v>
      </c>
      <c r="AX22" s="30">
        <f t="shared" si="16"/>
        <v>0</v>
      </c>
      <c r="AY22" s="31" t="s">
        <v>58</v>
      </c>
      <c r="AZ22" s="31" t="s">
        <v>59</v>
      </c>
      <c r="BA22" s="10" t="s">
        <v>60</v>
      </c>
      <c r="BC22" s="30">
        <f t="shared" si="17"/>
        <v>0</v>
      </c>
      <c r="BD22" s="30">
        <f t="shared" si="18"/>
        <v>0</v>
      </c>
      <c r="BE22" s="30">
        <v>0</v>
      </c>
      <c r="BF22" s="30">
        <f>22</f>
        <v>22</v>
      </c>
      <c r="BH22" s="30">
        <f t="shared" si="19"/>
        <v>0</v>
      </c>
      <c r="BI22" s="30">
        <f t="shared" si="20"/>
        <v>0</v>
      </c>
      <c r="BJ22" s="30">
        <f t="shared" si="21"/>
        <v>0</v>
      </c>
      <c r="BK22" s="30"/>
      <c r="BL22" s="30">
        <v>34</v>
      </c>
      <c r="BW22" s="30">
        <v>12</v>
      </c>
      <c r="BX22" s="4" t="s">
        <v>86</v>
      </c>
    </row>
    <row r="23" spans="1:76" x14ac:dyDescent="0.25">
      <c r="A23" s="32" t="s">
        <v>87</v>
      </c>
      <c r="B23" s="33" t="s">
        <v>88</v>
      </c>
      <c r="C23" s="125" t="s">
        <v>89</v>
      </c>
      <c r="D23" s="126"/>
      <c r="E23" s="33" t="s">
        <v>90</v>
      </c>
      <c r="F23" s="34">
        <v>2.7357200000000002</v>
      </c>
      <c r="G23" s="35">
        <v>0</v>
      </c>
      <c r="H23" s="34">
        <f t="shared" si="0"/>
        <v>0</v>
      </c>
      <c r="I23" s="34">
        <f t="shared" si="1"/>
        <v>0</v>
      </c>
      <c r="J23" s="34">
        <f t="shared" si="2"/>
        <v>0</v>
      </c>
      <c r="K23" s="36" t="s">
        <v>57</v>
      </c>
      <c r="Z23" s="30">
        <f t="shared" si="3"/>
        <v>0</v>
      </c>
      <c r="AB23" s="30">
        <f t="shared" si="4"/>
        <v>0</v>
      </c>
      <c r="AC23" s="30">
        <f t="shared" si="5"/>
        <v>0</v>
      </c>
      <c r="AD23" s="30">
        <f t="shared" si="6"/>
        <v>0</v>
      </c>
      <c r="AE23" s="30">
        <f t="shared" si="7"/>
        <v>0</v>
      </c>
      <c r="AF23" s="30">
        <f t="shared" si="8"/>
        <v>0</v>
      </c>
      <c r="AG23" s="30">
        <f t="shared" si="9"/>
        <v>0</v>
      </c>
      <c r="AH23" s="30">
        <f t="shared" si="10"/>
        <v>0</v>
      </c>
      <c r="AI23" s="10" t="s">
        <v>50</v>
      </c>
      <c r="AJ23" s="30">
        <f t="shared" si="11"/>
        <v>0</v>
      </c>
      <c r="AK23" s="30">
        <f t="shared" si="12"/>
        <v>0</v>
      </c>
      <c r="AL23" s="30">
        <f t="shared" si="13"/>
        <v>0</v>
      </c>
      <c r="AN23" s="30">
        <v>12</v>
      </c>
      <c r="AO23" s="30">
        <f>G23*0</f>
        <v>0</v>
      </c>
      <c r="AP23" s="30">
        <f>G23*(1-0)</f>
        <v>0</v>
      </c>
      <c r="AQ23" s="31" t="s">
        <v>74</v>
      </c>
      <c r="AV23" s="30">
        <f t="shared" si="14"/>
        <v>0</v>
      </c>
      <c r="AW23" s="30">
        <f t="shared" si="15"/>
        <v>0</v>
      </c>
      <c r="AX23" s="30">
        <f t="shared" si="16"/>
        <v>0</v>
      </c>
      <c r="AY23" s="31" t="s">
        <v>58</v>
      </c>
      <c r="AZ23" s="31" t="s">
        <v>59</v>
      </c>
      <c r="BA23" s="10" t="s">
        <v>60</v>
      </c>
      <c r="BC23" s="30">
        <f t="shared" si="17"/>
        <v>0</v>
      </c>
      <c r="BD23" s="30">
        <f t="shared" si="18"/>
        <v>0</v>
      </c>
      <c r="BE23" s="30">
        <v>0</v>
      </c>
      <c r="BF23" s="30">
        <f>23</f>
        <v>23</v>
      </c>
      <c r="BH23" s="30">
        <f t="shared" si="19"/>
        <v>0</v>
      </c>
      <c r="BI23" s="30">
        <f t="shared" si="20"/>
        <v>0</v>
      </c>
      <c r="BJ23" s="30">
        <f t="shared" si="21"/>
        <v>0</v>
      </c>
      <c r="BK23" s="30"/>
      <c r="BL23" s="30">
        <v>34</v>
      </c>
      <c r="BW23" s="30">
        <v>12</v>
      </c>
      <c r="BX23" s="4" t="s">
        <v>89</v>
      </c>
    </row>
    <row r="24" spans="1:76" x14ac:dyDescent="0.25">
      <c r="A24" s="32" t="s">
        <v>91</v>
      </c>
      <c r="B24" s="33" t="s">
        <v>92</v>
      </c>
      <c r="C24" s="125" t="s">
        <v>93</v>
      </c>
      <c r="D24" s="126"/>
      <c r="E24" s="33" t="s">
        <v>90</v>
      </c>
      <c r="F24" s="34">
        <v>2.7357200000000002</v>
      </c>
      <c r="G24" s="35">
        <v>0</v>
      </c>
      <c r="H24" s="34">
        <f t="shared" si="0"/>
        <v>0</v>
      </c>
      <c r="I24" s="34">
        <f t="shared" si="1"/>
        <v>0</v>
      </c>
      <c r="J24" s="34">
        <f t="shared" si="2"/>
        <v>0</v>
      </c>
      <c r="K24" s="36" t="s">
        <v>57</v>
      </c>
      <c r="Z24" s="30">
        <f t="shared" si="3"/>
        <v>0</v>
      </c>
      <c r="AB24" s="30">
        <f t="shared" si="4"/>
        <v>0</v>
      </c>
      <c r="AC24" s="30">
        <f t="shared" si="5"/>
        <v>0</v>
      </c>
      <c r="AD24" s="30">
        <f t="shared" si="6"/>
        <v>0</v>
      </c>
      <c r="AE24" s="30">
        <f t="shared" si="7"/>
        <v>0</v>
      </c>
      <c r="AF24" s="30">
        <f t="shared" si="8"/>
        <v>0</v>
      </c>
      <c r="AG24" s="30">
        <f t="shared" si="9"/>
        <v>0</v>
      </c>
      <c r="AH24" s="30">
        <f t="shared" si="10"/>
        <v>0</v>
      </c>
      <c r="AI24" s="10" t="s">
        <v>50</v>
      </c>
      <c r="AJ24" s="30">
        <f t="shared" si="11"/>
        <v>0</v>
      </c>
      <c r="AK24" s="30">
        <f t="shared" si="12"/>
        <v>0</v>
      </c>
      <c r="AL24" s="30">
        <f t="shared" si="13"/>
        <v>0</v>
      </c>
      <c r="AN24" s="30">
        <v>12</v>
      </c>
      <c r="AO24" s="30">
        <f>G24*0.010795601</f>
        <v>0</v>
      </c>
      <c r="AP24" s="30">
        <f>G24*(1-0.010795601)</f>
        <v>0</v>
      </c>
      <c r="AQ24" s="31" t="s">
        <v>74</v>
      </c>
      <c r="AV24" s="30">
        <f t="shared" si="14"/>
        <v>0</v>
      </c>
      <c r="AW24" s="30">
        <f t="shared" si="15"/>
        <v>0</v>
      </c>
      <c r="AX24" s="30">
        <f t="shared" si="16"/>
        <v>0</v>
      </c>
      <c r="AY24" s="31" t="s">
        <v>58</v>
      </c>
      <c r="AZ24" s="31" t="s">
        <v>59</v>
      </c>
      <c r="BA24" s="10" t="s">
        <v>60</v>
      </c>
      <c r="BC24" s="30">
        <f t="shared" si="17"/>
        <v>0</v>
      </c>
      <c r="BD24" s="30">
        <f t="shared" si="18"/>
        <v>0</v>
      </c>
      <c r="BE24" s="30">
        <v>0</v>
      </c>
      <c r="BF24" s="30">
        <f>24</f>
        <v>24</v>
      </c>
      <c r="BH24" s="30">
        <f t="shared" si="19"/>
        <v>0</v>
      </c>
      <c r="BI24" s="30">
        <f t="shared" si="20"/>
        <v>0</v>
      </c>
      <c r="BJ24" s="30">
        <f t="shared" si="21"/>
        <v>0</v>
      </c>
      <c r="BK24" s="30"/>
      <c r="BL24" s="30">
        <v>34</v>
      </c>
      <c r="BW24" s="30">
        <v>12</v>
      </c>
      <c r="BX24" s="4" t="s">
        <v>93</v>
      </c>
    </row>
    <row r="25" spans="1:76" x14ac:dyDescent="0.25">
      <c r="A25" s="32" t="s">
        <v>94</v>
      </c>
      <c r="B25" s="33" t="s">
        <v>95</v>
      </c>
      <c r="C25" s="125" t="s">
        <v>96</v>
      </c>
      <c r="D25" s="126"/>
      <c r="E25" s="33" t="s">
        <v>90</v>
      </c>
      <c r="F25" s="34">
        <v>2.7357200000000002</v>
      </c>
      <c r="G25" s="35">
        <v>0</v>
      </c>
      <c r="H25" s="34">
        <f t="shared" si="0"/>
        <v>0</v>
      </c>
      <c r="I25" s="34">
        <f t="shared" si="1"/>
        <v>0</v>
      </c>
      <c r="J25" s="34">
        <f t="shared" si="2"/>
        <v>0</v>
      </c>
      <c r="K25" s="36" t="s">
        <v>57</v>
      </c>
      <c r="Z25" s="30">
        <f t="shared" si="3"/>
        <v>0</v>
      </c>
      <c r="AB25" s="30">
        <f t="shared" si="4"/>
        <v>0</v>
      </c>
      <c r="AC25" s="30">
        <f t="shared" si="5"/>
        <v>0</v>
      </c>
      <c r="AD25" s="30">
        <f t="shared" si="6"/>
        <v>0</v>
      </c>
      <c r="AE25" s="30">
        <f t="shared" si="7"/>
        <v>0</v>
      </c>
      <c r="AF25" s="30">
        <f t="shared" si="8"/>
        <v>0</v>
      </c>
      <c r="AG25" s="30">
        <f t="shared" si="9"/>
        <v>0</v>
      </c>
      <c r="AH25" s="30">
        <f t="shared" si="10"/>
        <v>0</v>
      </c>
      <c r="AI25" s="10" t="s">
        <v>50</v>
      </c>
      <c r="AJ25" s="30">
        <f t="shared" si="11"/>
        <v>0</v>
      </c>
      <c r="AK25" s="30">
        <f t="shared" si="12"/>
        <v>0</v>
      </c>
      <c r="AL25" s="30">
        <f t="shared" si="13"/>
        <v>0</v>
      </c>
      <c r="AN25" s="30">
        <v>12</v>
      </c>
      <c r="AO25" s="30">
        <f>G25*0</f>
        <v>0</v>
      </c>
      <c r="AP25" s="30">
        <f>G25*(1-0)</f>
        <v>0</v>
      </c>
      <c r="AQ25" s="31" t="s">
        <v>74</v>
      </c>
      <c r="AV25" s="30">
        <f t="shared" si="14"/>
        <v>0</v>
      </c>
      <c r="AW25" s="30">
        <f t="shared" si="15"/>
        <v>0</v>
      </c>
      <c r="AX25" s="30">
        <f t="shared" si="16"/>
        <v>0</v>
      </c>
      <c r="AY25" s="31" t="s">
        <v>58</v>
      </c>
      <c r="AZ25" s="31" t="s">
        <v>59</v>
      </c>
      <c r="BA25" s="10" t="s">
        <v>60</v>
      </c>
      <c r="BC25" s="30">
        <f t="shared" si="17"/>
        <v>0</v>
      </c>
      <c r="BD25" s="30">
        <f t="shared" si="18"/>
        <v>0</v>
      </c>
      <c r="BE25" s="30">
        <v>0</v>
      </c>
      <c r="BF25" s="30">
        <f>25</f>
        <v>25</v>
      </c>
      <c r="BH25" s="30">
        <f t="shared" si="19"/>
        <v>0</v>
      </c>
      <c r="BI25" s="30">
        <f t="shared" si="20"/>
        <v>0</v>
      </c>
      <c r="BJ25" s="30">
        <f t="shared" si="21"/>
        <v>0</v>
      </c>
      <c r="BK25" s="30"/>
      <c r="BL25" s="30">
        <v>34</v>
      </c>
      <c r="BW25" s="30">
        <v>12</v>
      </c>
      <c r="BX25" s="4" t="s">
        <v>96</v>
      </c>
    </row>
    <row r="26" spans="1:76" x14ac:dyDescent="0.25">
      <c r="A26" s="32" t="s">
        <v>97</v>
      </c>
      <c r="B26" s="33" t="s">
        <v>98</v>
      </c>
      <c r="C26" s="125" t="s">
        <v>99</v>
      </c>
      <c r="D26" s="126"/>
      <c r="E26" s="33" t="s">
        <v>64</v>
      </c>
      <c r="F26" s="34">
        <v>13.3125</v>
      </c>
      <c r="G26" s="35">
        <v>0</v>
      </c>
      <c r="H26" s="34">
        <f t="shared" si="0"/>
        <v>0</v>
      </c>
      <c r="I26" s="34">
        <f t="shared" si="1"/>
        <v>0</v>
      </c>
      <c r="J26" s="34">
        <f t="shared" si="2"/>
        <v>0</v>
      </c>
      <c r="K26" s="36" t="s">
        <v>57</v>
      </c>
      <c r="Z26" s="30">
        <f t="shared" si="3"/>
        <v>0</v>
      </c>
      <c r="AB26" s="30">
        <f t="shared" si="4"/>
        <v>0</v>
      </c>
      <c r="AC26" s="30">
        <f t="shared" si="5"/>
        <v>0</v>
      </c>
      <c r="AD26" s="30">
        <f t="shared" si="6"/>
        <v>0</v>
      </c>
      <c r="AE26" s="30">
        <f t="shared" si="7"/>
        <v>0</v>
      </c>
      <c r="AF26" s="30">
        <f t="shared" si="8"/>
        <v>0</v>
      </c>
      <c r="AG26" s="30">
        <f t="shared" si="9"/>
        <v>0</v>
      </c>
      <c r="AH26" s="30">
        <f t="shared" si="10"/>
        <v>0</v>
      </c>
      <c r="AI26" s="10" t="s">
        <v>50</v>
      </c>
      <c r="AJ26" s="30">
        <f t="shared" si="11"/>
        <v>0</v>
      </c>
      <c r="AK26" s="30">
        <f t="shared" si="12"/>
        <v>0</v>
      </c>
      <c r="AL26" s="30">
        <f t="shared" si="13"/>
        <v>0</v>
      </c>
      <c r="AN26" s="30">
        <v>12</v>
      </c>
      <c r="AO26" s="30">
        <f>G26*0.615178099</f>
        <v>0</v>
      </c>
      <c r="AP26" s="30">
        <f>G26*(1-0.615178099)</f>
        <v>0</v>
      </c>
      <c r="AQ26" s="31" t="s">
        <v>53</v>
      </c>
      <c r="AV26" s="30">
        <f t="shared" si="14"/>
        <v>0</v>
      </c>
      <c r="AW26" s="30">
        <f t="shared" si="15"/>
        <v>0</v>
      </c>
      <c r="AX26" s="30">
        <f t="shared" si="16"/>
        <v>0</v>
      </c>
      <c r="AY26" s="31" t="s">
        <v>58</v>
      </c>
      <c r="AZ26" s="31" t="s">
        <v>59</v>
      </c>
      <c r="BA26" s="10" t="s">
        <v>60</v>
      </c>
      <c r="BC26" s="30">
        <f t="shared" si="17"/>
        <v>0</v>
      </c>
      <c r="BD26" s="30">
        <f t="shared" si="18"/>
        <v>0</v>
      </c>
      <c r="BE26" s="30">
        <v>0</v>
      </c>
      <c r="BF26" s="30">
        <f>26</f>
        <v>26</v>
      </c>
      <c r="BH26" s="30">
        <f t="shared" si="19"/>
        <v>0</v>
      </c>
      <c r="BI26" s="30">
        <f t="shared" si="20"/>
        <v>0</v>
      </c>
      <c r="BJ26" s="30">
        <f t="shared" si="21"/>
        <v>0</v>
      </c>
      <c r="BK26" s="30"/>
      <c r="BL26" s="30">
        <v>34</v>
      </c>
      <c r="BW26" s="30">
        <v>12</v>
      </c>
      <c r="BX26" s="4" t="s">
        <v>99</v>
      </c>
    </row>
    <row r="27" spans="1:76" ht="13.5" customHeight="1" x14ac:dyDescent="0.25">
      <c r="A27" s="37"/>
      <c r="B27" s="38" t="s">
        <v>68</v>
      </c>
      <c r="C27" s="127" t="s">
        <v>100</v>
      </c>
      <c r="D27" s="128"/>
      <c r="E27" s="128"/>
      <c r="F27" s="128"/>
      <c r="G27" s="129"/>
      <c r="H27" s="128"/>
      <c r="I27" s="128"/>
      <c r="J27" s="128"/>
      <c r="K27" s="130"/>
    </row>
    <row r="28" spans="1:76" x14ac:dyDescent="0.25">
      <c r="A28" s="25" t="s">
        <v>101</v>
      </c>
      <c r="B28" s="26" t="s">
        <v>102</v>
      </c>
      <c r="C28" s="123" t="s">
        <v>103</v>
      </c>
      <c r="D28" s="124"/>
      <c r="E28" s="26" t="s">
        <v>56</v>
      </c>
      <c r="F28" s="27">
        <v>1</v>
      </c>
      <c r="G28" s="28">
        <v>0</v>
      </c>
      <c r="H28" s="27">
        <f>F28*AO28</f>
        <v>0</v>
      </c>
      <c r="I28" s="27">
        <f>F28*AP28</f>
        <v>0</v>
      </c>
      <c r="J28" s="27">
        <f>F28*G28</f>
        <v>0</v>
      </c>
      <c r="K28" s="29" t="s">
        <v>57</v>
      </c>
      <c r="Z28" s="30">
        <f>IF(AQ28="5",BJ28,0)</f>
        <v>0</v>
      </c>
      <c r="AB28" s="30">
        <f>IF(AQ28="1",BH28,0)</f>
        <v>0</v>
      </c>
      <c r="AC28" s="30">
        <f>IF(AQ28="1",BI28,0)</f>
        <v>0</v>
      </c>
      <c r="AD28" s="30">
        <f>IF(AQ28="7",BH28,0)</f>
        <v>0</v>
      </c>
      <c r="AE28" s="30">
        <f>IF(AQ28="7",BI28,0)</f>
        <v>0</v>
      </c>
      <c r="AF28" s="30">
        <f>IF(AQ28="2",BH28,0)</f>
        <v>0</v>
      </c>
      <c r="AG28" s="30">
        <f>IF(AQ28="2",BI28,0)</f>
        <v>0</v>
      </c>
      <c r="AH28" s="30">
        <f>IF(AQ28="0",BJ28,0)</f>
        <v>0</v>
      </c>
      <c r="AI28" s="10" t="s">
        <v>50</v>
      </c>
      <c r="AJ28" s="30">
        <f>IF(AN28=0,J28,0)</f>
        <v>0</v>
      </c>
      <c r="AK28" s="30">
        <f>IF(AN28=12,J28,0)</f>
        <v>0</v>
      </c>
      <c r="AL28" s="30">
        <f>IF(AN28=21,J28,0)</f>
        <v>0</v>
      </c>
      <c r="AN28" s="30">
        <v>12</v>
      </c>
      <c r="AO28" s="30">
        <f>G28*0.518747073</f>
        <v>0</v>
      </c>
      <c r="AP28" s="30">
        <f>G28*(1-0.518747073)</f>
        <v>0</v>
      </c>
      <c r="AQ28" s="31" t="s">
        <v>53</v>
      </c>
      <c r="AV28" s="30">
        <f>AW28+AX28</f>
        <v>0</v>
      </c>
      <c r="AW28" s="30">
        <f>F28*AO28</f>
        <v>0</v>
      </c>
      <c r="AX28" s="30">
        <f>F28*AP28</f>
        <v>0</v>
      </c>
      <c r="AY28" s="31" t="s">
        <v>58</v>
      </c>
      <c r="AZ28" s="31" t="s">
        <v>59</v>
      </c>
      <c r="BA28" s="10" t="s">
        <v>60</v>
      </c>
      <c r="BC28" s="30">
        <f>AW28+AX28</f>
        <v>0</v>
      </c>
      <c r="BD28" s="30">
        <f>G28/(100-BE28)*100</f>
        <v>0</v>
      </c>
      <c r="BE28" s="30">
        <v>0</v>
      </c>
      <c r="BF28" s="30">
        <f>28</f>
        <v>28</v>
      </c>
      <c r="BH28" s="30">
        <f>F28*AO28</f>
        <v>0</v>
      </c>
      <c r="BI28" s="30">
        <f>F28*AP28</f>
        <v>0</v>
      </c>
      <c r="BJ28" s="30">
        <f>F28*G28</f>
        <v>0</v>
      </c>
      <c r="BK28" s="30"/>
      <c r="BL28" s="30">
        <v>34</v>
      </c>
      <c r="BW28" s="30">
        <v>12</v>
      </c>
      <c r="BX28" s="4" t="s">
        <v>103</v>
      </c>
    </row>
    <row r="29" spans="1:76" x14ac:dyDescent="0.25">
      <c r="A29" s="32" t="s">
        <v>104</v>
      </c>
      <c r="B29" s="33" t="s">
        <v>105</v>
      </c>
      <c r="C29" s="125" t="s">
        <v>106</v>
      </c>
      <c r="D29" s="126"/>
      <c r="E29" s="33" t="s">
        <v>64</v>
      </c>
      <c r="F29" s="34">
        <v>3.74</v>
      </c>
      <c r="G29" s="35">
        <v>0</v>
      </c>
      <c r="H29" s="34">
        <f>F29*AO29</f>
        <v>0</v>
      </c>
      <c r="I29" s="34">
        <f>F29*AP29</f>
        <v>0</v>
      </c>
      <c r="J29" s="34">
        <f>F29*G29</f>
        <v>0</v>
      </c>
      <c r="K29" s="36" t="s">
        <v>57</v>
      </c>
      <c r="Z29" s="30">
        <f>IF(AQ29="5",BJ29,0)</f>
        <v>0</v>
      </c>
      <c r="AB29" s="30">
        <f>IF(AQ29="1",BH29,0)</f>
        <v>0</v>
      </c>
      <c r="AC29" s="30">
        <f>IF(AQ29="1",BI29,0)</f>
        <v>0</v>
      </c>
      <c r="AD29" s="30">
        <f>IF(AQ29="7",BH29,0)</f>
        <v>0</v>
      </c>
      <c r="AE29" s="30">
        <f>IF(AQ29="7",BI29,0)</f>
        <v>0</v>
      </c>
      <c r="AF29" s="30">
        <f>IF(AQ29="2",BH29,0)</f>
        <v>0</v>
      </c>
      <c r="AG29" s="30">
        <f>IF(AQ29="2",BI29,0)</f>
        <v>0</v>
      </c>
      <c r="AH29" s="30">
        <f>IF(AQ29="0",BJ29,0)</f>
        <v>0</v>
      </c>
      <c r="AI29" s="10" t="s">
        <v>50</v>
      </c>
      <c r="AJ29" s="30">
        <f>IF(AN29=0,J29,0)</f>
        <v>0</v>
      </c>
      <c r="AK29" s="30">
        <f>IF(AN29=12,J29,0)</f>
        <v>0</v>
      </c>
      <c r="AL29" s="30">
        <f>IF(AN29=21,J29,0)</f>
        <v>0</v>
      </c>
      <c r="AN29" s="30">
        <v>12</v>
      </c>
      <c r="AO29" s="30">
        <f>G29*0.449432188</f>
        <v>0</v>
      </c>
      <c r="AP29" s="30">
        <f>G29*(1-0.449432188)</f>
        <v>0</v>
      </c>
      <c r="AQ29" s="31" t="s">
        <v>53</v>
      </c>
      <c r="AV29" s="30">
        <f>AW29+AX29</f>
        <v>0</v>
      </c>
      <c r="AW29" s="30">
        <f>F29*AO29</f>
        <v>0</v>
      </c>
      <c r="AX29" s="30">
        <f>F29*AP29</f>
        <v>0</v>
      </c>
      <c r="AY29" s="31" t="s">
        <v>58</v>
      </c>
      <c r="AZ29" s="31" t="s">
        <v>59</v>
      </c>
      <c r="BA29" s="10" t="s">
        <v>60</v>
      </c>
      <c r="BC29" s="30">
        <f>AW29+AX29</f>
        <v>0</v>
      </c>
      <c r="BD29" s="30">
        <f>G29/(100-BE29)*100</f>
        <v>0</v>
      </c>
      <c r="BE29" s="30">
        <v>0</v>
      </c>
      <c r="BF29" s="30">
        <f>29</f>
        <v>29</v>
      </c>
      <c r="BH29" s="30">
        <f>F29*AO29</f>
        <v>0</v>
      </c>
      <c r="BI29" s="30">
        <f>F29*AP29</f>
        <v>0</v>
      </c>
      <c r="BJ29" s="30">
        <f>F29*G29</f>
        <v>0</v>
      </c>
      <c r="BK29" s="30"/>
      <c r="BL29" s="30">
        <v>34</v>
      </c>
      <c r="BW29" s="30">
        <v>12</v>
      </c>
      <c r="BX29" s="4" t="s">
        <v>106</v>
      </c>
    </row>
    <row r="30" spans="1:76" ht="13.5" customHeight="1" x14ac:dyDescent="0.25">
      <c r="A30" s="37"/>
      <c r="B30" s="38" t="s">
        <v>68</v>
      </c>
      <c r="C30" s="127" t="s">
        <v>107</v>
      </c>
      <c r="D30" s="128"/>
      <c r="E30" s="128"/>
      <c r="F30" s="128"/>
      <c r="G30" s="129"/>
      <c r="H30" s="128"/>
      <c r="I30" s="128"/>
      <c r="J30" s="128"/>
      <c r="K30" s="130"/>
    </row>
    <row r="31" spans="1:76" x14ac:dyDescent="0.25">
      <c r="A31" s="25" t="s">
        <v>108</v>
      </c>
      <c r="B31" s="26" t="s">
        <v>109</v>
      </c>
      <c r="C31" s="123" t="s">
        <v>110</v>
      </c>
      <c r="D31" s="124"/>
      <c r="E31" s="26" t="s">
        <v>111</v>
      </c>
      <c r="F31" s="27">
        <v>2.4750000000000001</v>
      </c>
      <c r="G31" s="28">
        <v>0</v>
      </c>
      <c r="H31" s="27">
        <f>F31*AO31</f>
        <v>0</v>
      </c>
      <c r="I31" s="27">
        <f>F31*AP31</f>
        <v>0</v>
      </c>
      <c r="J31" s="27">
        <f>F31*G31</f>
        <v>0</v>
      </c>
      <c r="K31" s="29" t="s">
        <v>57</v>
      </c>
      <c r="Z31" s="30">
        <f>IF(AQ31="5",BJ31,0)</f>
        <v>0</v>
      </c>
      <c r="AB31" s="30">
        <f>IF(AQ31="1",BH31,0)</f>
        <v>0</v>
      </c>
      <c r="AC31" s="30">
        <f>IF(AQ31="1",BI31,0)</f>
        <v>0</v>
      </c>
      <c r="AD31" s="30">
        <f>IF(AQ31="7",BH31,0)</f>
        <v>0</v>
      </c>
      <c r="AE31" s="30">
        <f>IF(AQ31="7",BI31,0)</f>
        <v>0</v>
      </c>
      <c r="AF31" s="30">
        <f>IF(AQ31="2",BH31,0)</f>
        <v>0</v>
      </c>
      <c r="AG31" s="30">
        <f>IF(AQ31="2",BI31,0)</f>
        <v>0</v>
      </c>
      <c r="AH31" s="30">
        <f>IF(AQ31="0",BJ31,0)</f>
        <v>0</v>
      </c>
      <c r="AI31" s="10" t="s">
        <v>50</v>
      </c>
      <c r="AJ31" s="30">
        <f>IF(AN31=0,J31,0)</f>
        <v>0</v>
      </c>
      <c r="AK31" s="30">
        <f>IF(AN31=12,J31,0)</f>
        <v>0</v>
      </c>
      <c r="AL31" s="30">
        <f>IF(AN31=21,J31,0)</f>
        <v>0</v>
      </c>
      <c r="AN31" s="30">
        <v>12</v>
      </c>
      <c r="AO31" s="30">
        <f>G31*0.784270601</f>
        <v>0</v>
      </c>
      <c r="AP31" s="30">
        <f>G31*(1-0.784270601)</f>
        <v>0</v>
      </c>
      <c r="AQ31" s="31" t="s">
        <v>53</v>
      </c>
      <c r="AV31" s="30">
        <f>AW31+AX31</f>
        <v>0</v>
      </c>
      <c r="AW31" s="30">
        <f>F31*AO31</f>
        <v>0</v>
      </c>
      <c r="AX31" s="30">
        <f>F31*AP31</f>
        <v>0</v>
      </c>
      <c r="AY31" s="31" t="s">
        <v>58</v>
      </c>
      <c r="AZ31" s="31" t="s">
        <v>59</v>
      </c>
      <c r="BA31" s="10" t="s">
        <v>60</v>
      </c>
      <c r="BC31" s="30">
        <f>AW31+AX31</f>
        <v>0</v>
      </c>
      <c r="BD31" s="30">
        <f>G31/(100-BE31)*100</f>
        <v>0</v>
      </c>
      <c r="BE31" s="30">
        <v>0</v>
      </c>
      <c r="BF31" s="30">
        <f>31</f>
        <v>31</v>
      </c>
      <c r="BH31" s="30">
        <f>F31*AO31</f>
        <v>0</v>
      </c>
      <c r="BI31" s="30">
        <f>F31*AP31</f>
        <v>0</v>
      </c>
      <c r="BJ31" s="30">
        <f>F31*G31</f>
        <v>0</v>
      </c>
      <c r="BK31" s="30"/>
      <c r="BL31" s="30">
        <v>34</v>
      </c>
      <c r="BW31" s="30">
        <v>12</v>
      </c>
      <c r="BX31" s="4" t="s">
        <v>110</v>
      </c>
    </row>
    <row r="32" spans="1:76" x14ac:dyDescent="0.25">
      <c r="A32" s="32" t="s">
        <v>112</v>
      </c>
      <c r="B32" s="33" t="s">
        <v>113</v>
      </c>
      <c r="C32" s="125" t="s">
        <v>114</v>
      </c>
      <c r="D32" s="126"/>
      <c r="E32" s="33" t="s">
        <v>90</v>
      </c>
      <c r="F32" s="34">
        <v>2.44936</v>
      </c>
      <c r="G32" s="35">
        <v>0</v>
      </c>
      <c r="H32" s="34">
        <f>F32*AO32</f>
        <v>0</v>
      </c>
      <c r="I32" s="34">
        <f>F32*AP32</f>
        <v>0</v>
      </c>
      <c r="J32" s="34">
        <f>F32*G32</f>
        <v>0</v>
      </c>
      <c r="K32" s="36" t="s">
        <v>57</v>
      </c>
      <c r="Z32" s="30">
        <f>IF(AQ32="5",BJ32,0)</f>
        <v>0</v>
      </c>
      <c r="AB32" s="30">
        <f>IF(AQ32="1",BH32,0)</f>
        <v>0</v>
      </c>
      <c r="AC32" s="30">
        <f>IF(AQ32="1",BI32,0)</f>
        <v>0</v>
      </c>
      <c r="AD32" s="30">
        <f>IF(AQ32="7",BH32,0)</f>
        <v>0</v>
      </c>
      <c r="AE32" s="30">
        <f>IF(AQ32="7",BI32,0)</f>
        <v>0</v>
      </c>
      <c r="AF32" s="30">
        <f>IF(AQ32="2",BH32,0)</f>
        <v>0</v>
      </c>
      <c r="AG32" s="30">
        <f>IF(AQ32="2",BI32,0)</f>
        <v>0</v>
      </c>
      <c r="AH32" s="30">
        <f>IF(AQ32="0",BJ32,0)</f>
        <v>0</v>
      </c>
      <c r="AI32" s="10" t="s">
        <v>50</v>
      </c>
      <c r="AJ32" s="30">
        <f>IF(AN32=0,J32,0)</f>
        <v>0</v>
      </c>
      <c r="AK32" s="30">
        <f>IF(AN32=12,J32,0)</f>
        <v>0</v>
      </c>
      <c r="AL32" s="30">
        <f>IF(AN32=21,J32,0)</f>
        <v>0</v>
      </c>
      <c r="AN32" s="30">
        <v>12</v>
      </c>
      <c r="AO32" s="30">
        <f>G32*0</f>
        <v>0</v>
      </c>
      <c r="AP32" s="30">
        <f>G32*(1-0)</f>
        <v>0</v>
      </c>
      <c r="AQ32" s="31" t="s">
        <v>74</v>
      </c>
      <c r="AV32" s="30">
        <f>AW32+AX32</f>
        <v>0</v>
      </c>
      <c r="AW32" s="30">
        <f>F32*AO32</f>
        <v>0</v>
      </c>
      <c r="AX32" s="30">
        <f>F32*AP32</f>
        <v>0</v>
      </c>
      <c r="AY32" s="31" t="s">
        <v>58</v>
      </c>
      <c r="AZ32" s="31" t="s">
        <v>59</v>
      </c>
      <c r="BA32" s="10" t="s">
        <v>60</v>
      </c>
      <c r="BC32" s="30">
        <f>AW32+AX32</f>
        <v>0</v>
      </c>
      <c r="BD32" s="30">
        <f>G32/(100-BE32)*100</f>
        <v>0</v>
      </c>
      <c r="BE32" s="30">
        <v>0</v>
      </c>
      <c r="BF32" s="30">
        <f>32</f>
        <v>32</v>
      </c>
      <c r="BH32" s="30">
        <f>F32*AO32</f>
        <v>0</v>
      </c>
      <c r="BI32" s="30">
        <f>F32*AP32</f>
        <v>0</v>
      </c>
      <c r="BJ32" s="30">
        <f>F32*G32</f>
        <v>0</v>
      </c>
      <c r="BK32" s="30"/>
      <c r="BL32" s="30">
        <v>34</v>
      </c>
      <c r="BW32" s="30">
        <v>12</v>
      </c>
      <c r="BX32" s="4" t="s">
        <v>114</v>
      </c>
    </row>
    <row r="33" spans="1:76" x14ac:dyDescent="0.25">
      <c r="A33" s="39" t="s">
        <v>50</v>
      </c>
      <c r="B33" s="40" t="s">
        <v>115</v>
      </c>
      <c r="C33" s="131" t="s">
        <v>116</v>
      </c>
      <c r="D33" s="132"/>
      <c r="E33" s="41" t="s">
        <v>4</v>
      </c>
      <c r="F33" s="41" t="s">
        <v>4</v>
      </c>
      <c r="G33" s="42" t="s">
        <v>4</v>
      </c>
      <c r="H33" s="43">
        <f>SUM(H34:H56)</f>
        <v>0</v>
      </c>
      <c r="I33" s="43">
        <f>SUM(I34:I56)</f>
        <v>0</v>
      </c>
      <c r="J33" s="43">
        <f>SUM(J34:J56)</f>
        <v>0</v>
      </c>
      <c r="K33" s="44" t="s">
        <v>50</v>
      </c>
      <c r="AI33" s="10" t="s">
        <v>50</v>
      </c>
      <c r="AS33" s="1">
        <f>SUM(AJ34:AJ56)</f>
        <v>0</v>
      </c>
      <c r="AT33" s="1">
        <f>SUM(AK34:AK56)</f>
        <v>0</v>
      </c>
      <c r="AU33" s="1">
        <f>SUM(AL34:AL56)</f>
        <v>0</v>
      </c>
    </row>
    <row r="34" spans="1:76" x14ac:dyDescent="0.25">
      <c r="A34" s="25" t="s">
        <v>117</v>
      </c>
      <c r="B34" s="26" t="s">
        <v>118</v>
      </c>
      <c r="C34" s="123" t="s">
        <v>119</v>
      </c>
      <c r="D34" s="124"/>
      <c r="E34" s="26" t="s">
        <v>64</v>
      </c>
      <c r="F34" s="27">
        <v>6.7756499999999997</v>
      </c>
      <c r="G34" s="28">
        <v>0</v>
      </c>
      <c r="H34" s="27">
        <f t="shared" ref="H34:H39" si="22">F34*AO34</f>
        <v>0</v>
      </c>
      <c r="I34" s="27">
        <f t="shared" ref="I34:I39" si="23">F34*AP34</f>
        <v>0</v>
      </c>
      <c r="J34" s="27">
        <f t="shared" ref="J34:J39" si="24">F34*G34</f>
        <v>0</v>
      </c>
      <c r="K34" s="29" t="s">
        <v>57</v>
      </c>
      <c r="Z34" s="30">
        <f t="shared" ref="Z34:Z39" si="25">IF(AQ34="5",BJ34,0)</f>
        <v>0</v>
      </c>
      <c r="AB34" s="30">
        <f t="shared" ref="AB34:AB39" si="26">IF(AQ34="1",BH34,0)</f>
        <v>0</v>
      </c>
      <c r="AC34" s="30">
        <f t="shared" ref="AC34:AC39" si="27">IF(AQ34="1",BI34,0)</f>
        <v>0</v>
      </c>
      <c r="AD34" s="30">
        <f t="shared" ref="AD34:AD39" si="28">IF(AQ34="7",BH34,0)</f>
        <v>0</v>
      </c>
      <c r="AE34" s="30">
        <f t="shared" ref="AE34:AE39" si="29">IF(AQ34="7",BI34,0)</f>
        <v>0</v>
      </c>
      <c r="AF34" s="30">
        <f t="shared" ref="AF34:AF39" si="30">IF(AQ34="2",BH34,0)</f>
        <v>0</v>
      </c>
      <c r="AG34" s="30">
        <f t="shared" ref="AG34:AG39" si="31">IF(AQ34="2",BI34,0)</f>
        <v>0</v>
      </c>
      <c r="AH34" s="30">
        <f t="shared" ref="AH34:AH39" si="32">IF(AQ34="0",BJ34,0)</f>
        <v>0</v>
      </c>
      <c r="AI34" s="10" t="s">
        <v>50</v>
      </c>
      <c r="AJ34" s="30">
        <f t="shared" ref="AJ34:AJ39" si="33">IF(AN34=0,J34,0)</f>
        <v>0</v>
      </c>
      <c r="AK34" s="30">
        <f t="shared" ref="AK34:AK39" si="34">IF(AN34=12,J34,0)</f>
        <v>0</v>
      </c>
      <c r="AL34" s="30">
        <f t="shared" ref="AL34:AL39" si="35">IF(AN34=21,J34,0)</f>
        <v>0</v>
      </c>
      <c r="AN34" s="30">
        <v>12</v>
      </c>
      <c r="AO34" s="30">
        <f>G34*0.333781708</f>
        <v>0</v>
      </c>
      <c r="AP34" s="30">
        <f>G34*(1-0.333781708)</f>
        <v>0</v>
      </c>
      <c r="AQ34" s="31" t="s">
        <v>53</v>
      </c>
      <c r="AV34" s="30">
        <f t="shared" ref="AV34:AV39" si="36">AW34+AX34</f>
        <v>0</v>
      </c>
      <c r="AW34" s="30">
        <f t="shared" ref="AW34:AW39" si="37">F34*AO34</f>
        <v>0</v>
      </c>
      <c r="AX34" s="30">
        <f t="shared" ref="AX34:AX39" si="38">F34*AP34</f>
        <v>0</v>
      </c>
      <c r="AY34" s="31" t="s">
        <v>120</v>
      </c>
      <c r="AZ34" s="31" t="s">
        <v>121</v>
      </c>
      <c r="BA34" s="10" t="s">
        <v>60</v>
      </c>
      <c r="BC34" s="30">
        <f t="shared" ref="BC34:BC39" si="39">AW34+AX34</f>
        <v>0</v>
      </c>
      <c r="BD34" s="30">
        <f t="shared" ref="BD34:BD39" si="40">G34/(100-BE34)*100</f>
        <v>0</v>
      </c>
      <c r="BE34" s="30">
        <v>0</v>
      </c>
      <c r="BF34" s="30">
        <f>34</f>
        <v>34</v>
      </c>
      <c r="BH34" s="30">
        <f t="shared" ref="BH34:BH39" si="41">F34*AO34</f>
        <v>0</v>
      </c>
      <c r="BI34" s="30">
        <f t="shared" ref="BI34:BI39" si="42">F34*AP34</f>
        <v>0</v>
      </c>
      <c r="BJ34" s="30">
        <f t="shared" ref="BJ34:BJ39" si="43">F34*G34</f>
        <v>0</v>
      </c>
      <c r="BK34" s="30"/>
      <c r="BL34" s="30">
        <v>61</v>
      </c>
      <c r="BW34" s="30">
        <v>12</v>
      </c>
      <c r="BX34" s="4" t="s">
        <v>119</v>
      </c>
    </row>
    <row r="35" spans="1:76" x14ac:dyDescent="0.25">
      <c r="A35" s="32" t="s">
        <v>122</v>
      </c>
      <c r="B35" s="33" t="s">
        <v>123</v>
      </c>
      <c r="C35" s="125" t="s">
        <v>124</v>
      </c>
      <c r="D35" s="126"/>
      <c r="E35" s="33" t="s">
        <v>64</v>
      </c>
      <c r="F35" s="34">
        <v>4.8719000000000001</v>
      </c>
      <c r="G35" s="35">
        <v>0</v>
      </c>
      <c r="H35" s="34">
        <f t="shared" si="22"/>
        <v>0</v>
      </c>
      <c r="I35" s="34">
        <f t="shared" si="23"/>
        <v>0</v>
      </c>
      <c r="J35" s="34">
        <f t="shared" si="24"/>
        <v>0</v>
      </c>
      <c r="K35" s="36" t="s">
        <v>57</v>
      </c>
      <c r="Z35" s="30">
        <f t="shared" si="25"/>
        <v>0</v>
      </c>
      <c r="AB35" s="30">
        <f t="shared" si="26"/>
        <v>0</v>
      </c>
      <c r="AC35" s="30">
        <f t="shared" si="27"/>
        <v>0</v>
      </c>
      <c r="AD35" s="30">
        <f t="shared" si="28"/>
        <v>0</v>
      </c>
      <c r="AE35" s="30">
        <f t="shared" si="29"/>
        <v>0</v>
      </c>
      <c r="AF35" s="30">
        <f t="shared" si="30"/>
        <v>0</v>
      </c>
      <c r="AG35" s="30">
        <f t="shared" si="31"/>
        <v>0</v>
      </c>
      <c r="AH35" s="30">
        <f t="shared" si="32"/>
        <v>0</v>
      </c>
      <c r="AI35" s="10" t="s">
        <v>50</v>
      </c>
      <c r="AJ35" s="30">
        <f t="shared" si="33"/>
        <v>0</v>
      </c>
      <c r="AK35" s="30">
        <f t="shared" si="34"/>
        <v>0</v>
      </c>
      <c r="AL35" s="30">
        <f t="shared" si="35"/>
        <v>0</v>
      </c>
      <c r="AN35" s="30">
        <v>12</v>
      </c>
      <c r="AO35" s="30">
        <f>G35*0</f>
        <v>0</v>
      </c>
      <c r="AP35" s="30">
        <f>G35*(1-0)</f>
        <v>0</v>
      </c>
      <c r="AQ35" s="31" t="s">
        <v>53</v>
      </c>
      <c r="AV35" s="30">
        <f t="shared" si="36"/>
        <v>0</v>
      </c>
      <c r="AW35" s="30">
        <f t="shared" si="37"/>
        <v>0</v>
      </c>
      <c r="AX35" s="30">
        <f t="shared" si="38"/>
        <v>0</v>
      </c>
      <c r="AY35" s="31" t="s">
        <v>120</v>
      </c>
      <c r="AZ35" s="31" t="s">
        <v>121</v>
      </c>
      <c r="BA35" s="10" t="s">
        <v>60</v>
      </c>
      <c r="BC35" s="30">
        <f t="shared" si="39"/>
        <v>0</v>
      </c>
      <c r="BD35" s="30">
        <f t="shared" si="40"/>
        <v>0</v>
      </c>
      <c r="BE35" s="30">
        <v>0</v>
      </c>
      <c r="BF35" s="30">
        <f>35</f>
        <v>35</v>
      </c>
      <c r="BH35" s="30">
        <f t="shared" si="41"/>
        <v>0</v>
      </c>
      <c r="BI35" s="30">
        <f t="shared" si="42"/>
        <v>0</v>
      </c>
      <c r="BJ35" s="30">
        <f t="shared" si="43"/>
        <v>0</v>
      </c>
      <c r="BK35" s="30"/>
      <c r="BL35" s="30">
        <v>61</v>
      </c>
      <c r="BW35" s="30">
        <v>12</v>
      </c>
      <c r="BX35" s="4" t="s">
        <v>124</v>
      </c>
    </row>
    <row r="36" spans="1:76" x14ac:dyDescent="0.25">
      <c r="A36" s="32" t="s">
        <v>125</v>
      </c>
      <c r="B36" s="33" t="s">
        <v>88</v>
      </c>
      <c r="C36" s="125" t="s">
        <v>89</v>
      </c>
      <c r="D36" s="126"/>
      <c r="E36" s="33" t="s">
        <v>90</v>
      </c>
      <c r="F36" s="34">
        <v>0.33128999999999997</v>
      </c>
      <c r="G36" s="35">
        <v>0</v>
      </c>
      <c r="H36" s="34">
        <f t="shared" si="22"/>
        <v>0</v>
      </c>
      <c r="I36" s="34">
        <f t="shared" si="23"/>
        <v>0</v>
      </c>
      <c r="J36" s="34">
        <f t="shared" si="24"/>
        <v>0</v>
      </c>
      <c r="K36" s="36" t="s">
        <v>57</v>
      </c>
      <c r="Z36" s="30">
        <f t="shared" si="25"/>
        <v>0</v>
      </c>
      <c r="AB36" s="30">
        <f t="shared" si="26"/>
        <v>0</v>
      </c>
      <c r="AC36" s="30">
        <f t="shared" si="27"/>
        <v>0</v>
      </c>
      <c r="AD36" s="30">
        <f t="shared" si="28"/>
        <v>0</v>
      </c>
      <c r="AE36" s="30">
        <f t="shared" si="29"/>
        <v>0</v>
      </c>
      <c r="AF36" s="30">
        <f t="shared" si="30"/>
        <v>0</v>
      </c>
      <c r="AG36" s="30">
        <f t="shared" si="31"/>
        <v>0</v>
      </c>
      <c r="AH36" s="30">
        <f t="shared" si="32"/>
        <v>0</v>
      </c>
      <c r="AI36" s="10" t="s">
        <v>50</v>
      </c>
      <c r="AJ36" s="30">
        <f t="shared" si="33"/>
        <v>0</v>
      </c>
      <c r="AK36" s="30">
        <f t="shared" si="34"/>
        <v>0</v>
      </c>
      <c r="AL36" s="30">
        <f t="shared" si="35"/>
        <v>0</v>
      </c>
      <c r="AN36" s="30">
        <v>12</v>
      </c>
      <c r="AO36" s="30">
        <f>G36*0</f>
        <v>0</v>
      </c>
      <c r="AP36" s="30">
        <f>G36*(1-0)</f>
        <v>0</v>
      </c>
      <c r="AQ36" s="31" t="s">
        <v>74</v>
      </c>
      <c r="AV36" s="30">
        <f t="shared" si="36"/>
        <v>0</v>
      </c>
      <c r="AW36" s="30">
        <f t="shared" si="37"/>
        <v>0</v>
      </c>
      <c r="AX36" s="30">
        <f t="shared" si="38"/>
        <v>0</v>
      </c>
      <c r="AY36" s="31" t="s">
        <v>120</v>
      </c>
      <c r="AZ36" s="31" t="s">
        <v>121</v>
      </c>
      <c r="BA36" s="10" t="s">
        <v>60</v>
      </c>
      <c r="BC36" s="30">
        <f t="shared" si="39"/>
        <v>0</v>
      </c>
      <c r="BD36" s="30">
        <f t="shared" si="40"/>
        <v>0</v>
      </c>
      <c r="BE36" s="30">
        <v>0</v>
      </c>
      <c r="BF36" s="30">
        <f>36</f>
        <v>36</v>
      </c>
      <c r="BH36" s="30">
        <f t="shared" si="41"/>
        <v>0</v>
      </c>
      <c r="BI36" s="30">
        <f t="shared" si="42"/>
        <v>0</v>
      </c>
      <c r="BJ36" s="30">
        <f t="shared" si="43"/>
        <v>0</v>
      </c>
      <c r="BK36" s="30"/>
      <c r="BL36" s="30">
        <v>61</v>
      </c>
      <c r="BW36" s="30">
        <v>12</v>
      </c>
      <c r="BX36" s="4" t="s">
        <v>89</v>
      </c>
    </row>
    <row r="37" spans="1:76" x14ac:dyDescent="0.25">
      <c r="A37" s="32" t="s">
        <v>126</v>
      </c>
      <c r="B37" s="33" t="s">
        <v>92</v>
      </c>
      <c r="C37" s="125" t="s">
        <v>93</v>
      </c>
      <c r="D37" s="126"/>
      <c r="E37" s="33" t="s">
        <v>90</v>
      </c>
      <c r="F37" s="34">
        <v>0.33128999999999997</v>
      </c>
      <c r="G37" s="35">
        <v>0</v>
      </c>
      <c r="H37" s="34">
        <f t="shared" si="22"/>
        <v>0</v>
      </c>
      <c r="I37" s="34">
        <f t="shared" si="23"/>
        <v>0</v>
      </c>
      <c r="J37" s="34">
        <f t="shared" si="24"/>
        <v>0</v>
      </c>
      <c r="K37" s="36" t="s">
        <v>57</v>
      </c>
      <c r="Z37" s="30">
        <f t="shared" si="25"/>
        <v>0</v>
      </c>
      <c r="AB37" s="30">
        <f t="shared" si="26"/>
        <v>0</v>
      </c>
      <c r="AC37" s="30">
        <f t="shared" si="27"/>
        <v>0</v>
      </c>
      <c r="AD37" s="30">
        <f t="shared" si="28"/>
        <v>0</v>
      </c>
      <c r="AE37" s="30">
        <f t="shared" si="29"/>
        <v>0</v>
      </c>
      <c r="AF37" s="30">
        <f t="shared" si="30"/>
        <v>0</v>
      </c>
      <c r="AG37" s="30">
        <f t="shared" si="31"/>
        <v>0</v>
      </c>
      <c r="AH37" s="30">
        <f t="shared" si="32"/>
        <v>0</v>
      </c>
      <c r="AI37" s="10" t="s">
        <v>50</v>
      </c>
      <c r="AJ37" s="30">
        <f t="shared" si="33"/>
        <v>0</v>
      </c>
      <c r="AK37" s="30">
        <f t="shared" si="34"/>
        <v>0</v>
      </c>
      <c r="AL37" s="30">
        <f t="shared" si="35"/>
        <v>0</v>
      </c>
      <c r="AN37" s="30">
        <v>12</v>
      </c>
      <c r="AO37" s="30">
        <f>G37*0.010795282</f>
        <v>0</v>
      </c>
      <c r="AP37" s="30">
        <f>G37*(1-0.010795282)</f>
        <v>0</v>
      </c>
      <c r="AQ37" s="31" t="s">
        <v>74</v>
      </c>
      <c r="AV37" s="30">
        <f t="shared" si="36"/>
        <v>0</v>
      </c>
      <c r="AW37" s="30">
        <f t="shared" si="37"/>
        <v>0</v>
      </c>
      <c r="AX37" s="30">
        <f t="shared" si="38"/>
        <v>0</v>
      </c>
      <c r="AY37" s="31" t="s">
        <v>120</v>
      </c>
      <c r="AZ37" s="31" t="s">
        <v>121</v>
      </c>
      <c r="BA37" s="10" t="s">
        <v>60</v>
      </c>
      <c r="BC37" s="30">
        <f t="shared" si="39"/>
        <v>0</v>
      </c>
      <c r="BD37" s="30">
        <f t="shared" si="40"/>
        <v>0</v>
      </c>
      <c r="BE37" s="30">
        <v>0</v>
      </c>
      <c r="BF37" s="30">
        <f>37</f>
        <v>37</v>
      </c>
      <c r="BH37" s="30">
        <f t="shared" si="41"/>
        <v>0</v>
      </c>
      <c r="BI37" s="30">
        <f t="shared" si="42"/>
        <v>0</v>
      </c>
      <c r="BJ37" s="30">
        <f t="shared" si="43"/>
        <v>0</v>
      </c>
      <c r="BK37" s="30"/>
      <c r="BL37" s="30">
        <v>61</v>
      </c>
      <c r="BW37" s="30">
        <v>12</v>
      </c>
      <c r="BX37" s="4" t="s">
        <v>93</v>
      </c>
    </row>
    <row r="38" spans="1:76" x14ac:dyDescent="0.25">
      <c r="A38" s="32" t="s">
        <v>127</v>
      </c>
      <c r="B38" s="33" t="s">
        <v>128</v>
      </c>
      <c r="C38" s="125" t="s">
        <v>129</v>
      </c>
      <c r="D38" s="126"/>
      <c r="E38" s="33" t="s">
        <v>90</v>
      </c>
      <c r="F38" s="34">
        <v>0.33128999999999997</v>
      </c>
      <c r="G38" s="35">
        <v>0</v>
      </c>
      <c r="H38" s="34">
        <f t="shared" si="22"/>
        <v>0</v>
      </c>
      <c r="I38" s="34">
        <f t="shared" si="23"/>
        <v>0</v>
      </c>
      <c r="J38" s="34">
        <f t="shared" si="24"/>
        <v>0</v>
      </c>
      <c r="K38" s="36" t="s">
        <v>130</v>
      </c>
      <c r="Z38" s="30">
        <f t="shared" si="25"/>
        <v>0</v>
      </c>
      <c r="AB38" s="30">
        <f t="shared" si="26"/>
        <v>0</v>
      </c>
      <c r="AC38" s="30">
        <f t="shared" si="27"/>
        <v>0</v>
      </c>
      <c r="AD38" s="30">
        <f t="shared" si="28"/>
        <v>0</v>
      </c>
      <c r="AE38" s="30">
        <f t="shared" si="29"/>
        <v>0</v>
      </c>
      <c r="AF38" s="30">
        <f t="shared" si="30"/>
        <v>0</v>
      </c>
      <c r="AG38" s="30">
        <f t="shared" si="31"/>
        <v>0</v>
      </c>
      <c r="AH38" s="30">
        <f t="shared" si="32"/>
        <v>0</v>
      </c>
      <c r="AI38" s="10" t="s">
        <v>50</v>
      </c>
      <c r="AJ38" s="30">
        <f t="shared" si="33"/>
        <v>0</v>
      </c>
      <c r="AK38" s="30">
        <f t="shared" si="34"/>
        <v>0</v>
      </c>
      <c r="AL38" s="30">
        <f t="shared" si="35"/>
        <v>0</v>
      </c>
      <c r="AN38" s="30">
        <v>12</v>
      </c>
      <c r="AO38" s="30">
        <f>G38*0</f>
        <v>0</v>
      </c>
      <c r="AP38" s="30">
        <f>G38*(1-0)</f>
        <v>0</v>
      </c>
      <c r="AQ38" s="31" t="s">
        <v>74</v>
      </c>
      <c r="AV38" s="30">
        <f t="shared" si="36"/>
        <v>0</v>
      </c>
      <c r="AW38" s="30">
        <f t="shared" si="37"/>
        <v>0</v>
      </c>
      <c r="AX38" s="30">
        <f t="shared" si="38"/>
        <v>0</v>
      </c>
      <c r="AY38" s="31" t="s">
        <v>120</v>
      </c>
      <c r="AZ38" s="31" t="s">
        <v>121</v>
      </c>
      <c r="BA38" s="10" t="s">
        <v>60</v>
      </c>
      <c r="BC38" s="30">
        <f t="shared" si="39"/>
        <v>0</v>
      </c>
      <c r="BD38" s="30">
        <f t="shared" si="40"/>
        <v>0</v>
      </c>
      <c r="BE38" s="30">
        <v>0</v>
      </c>
      <c r="BF38" s="30">
        <f>38</f>
        <v>38</v>
      </c>
      <c r="BH38" s="30">
        <f t="shared" si="41"/>
        <v>0</v>
      </c>
      <c r="BI38" s="30">
        <f t="shared" si="42"/>
        <v>0</v>
      </c>
      <c r="BJ38" s="30">
        <f t="shared" si="43"/>
        <v>0</v>
      </c>
      <c r="BK38" s="30"/>
      <c r="BL38" s="30">
        <v>61</v>
      </c>
      <c r="BW38" s="30">
        <v>12</v>
      </c>
      <c r="BX38" s="4" t="s">
        <v>129</v>
      </c>
    </row>
    <row r="39" spans="1:76" x14ac:dyDescent="0.25">
      <c r="A39" s="32" t="s">
        <v>131</v>
      </c>
      <c r="B39" s="33" t="s">
        <v>132</v>
      </c>
      <c r="C39" s="125" t="s">
        <v>133</v>
      </c>
      <c r="D39" s="126"/>
      <c r="E39" s="33" t="s">
        <v>80</v>
      </c>
      <c r="F39" s="34">
        <v>140.80000000000001</v>
      </c>
      <c r="G39" s="35">
        <v>0</v>
      </c>
      <c r="H39" s="34">
        <f t="shared" si="22"/>
        <v>0</v>
      </c>
      <c r="I39" s="34">
        <f t="shared" si="23"/>
        <v>0</v>
      </c>
      <c r="J39" s="34">
        <f t="shared" si="24"/>
        <v>0</v>
      </c>
      <c r="K39" s="36" t="s">
        <v>57</v>
      </c>
      <c r="Z39" s="30">
        <f t="shared" si="25"/>
        <v>0</v>
      </c>
      <c r="AB39" s="30">
        <f t="shared" si="26"/>
        <v>0</v>
      </c>
      <c r="AC39" s="30">
        <f t="shared" si="27"/>
        <v>0</v>
      </c>
      <c r="AD39" s="30">
        <f t="shared" si="28"/>
        <v>0</v>
      </c>
      <c r="AE39" s="30">
        <f t="shared" si="29"/>
        <v>0</v>
      </c>
      <c r="AF39" s="30">
        <f t="shared" si="30"/>
        <v>0</v>
      </c>
      <c r="AG39" s="30">
        <f t="shared" si="31"/>
        <v>0</v>
      </c>
      <c r="AH39" s="30">
        <f t="shared" si="32"/>
        <v>0</v>
      </c>
      <c r="AI39" s="10" t="s">
        <v>50</v>
      </c>
      <c r="AJ39" s="30">
        <f t="shared" si="33"/>
        <v>0</v>
      </c>
      <c r="AK39" s="30">
        <f t="shared" si="34"/>
        <v>0</v>
      </c>
      <c r="AL39" s="30">
        <f t="shared" si="35"/>
        <v>0</v>
      </c>
      <c r="AN39" s="30">
        <v>12</v>
      </c>
      <c r="AO39" s="30">
        <f>G39*0.436972962</f>
        <v>0</v>
      </c>
      <c r="AP39" s="30">
        <f>G39*(1-0.436972962)</f>
        <v>0</v>
      </c>
      <c r="AQ39" s="31" t="s">
        <v>53</v>
      </c>
      <c r="AV39" s="30">
        <f t="shared" si="36"/>
        <v>0</v>
      </c>
      <c r="AW39" s="30">
        <f t="shared" si="37"/>
        <v>0</v>
      </c>
      <c r="AX39" s="30">
        <f t="shared" si="38"/>
        <v>0</v>
      </c>
      <c r="AY39" s="31" t="s">
        <v>120</v>
      </c>
      <c r="AZ39" s="31" t="s">
        <v>121</v>
      </c>
      <c r="BA39" s="10" t="s">
        <v>60</v>
      </c>
      <c r="BC39" s="30">
        <f t="shared" si="39"/>
        <v>0</v>
      </c>
      <c r="BD39" s="30">
        <f t="shared" si="40"/>
        <v>0</v>
      </c>
      <c r="BE39" s="30">
        <v>0</v>
      </c>
      <c r="BF39" s="30">
        <f>39</f>
        <v>39</v>
      </c>
      <c r="BH39" s="30">
        <f t="shared" si="41"/>
        <v>0</v>
      </c>
      <c r="BI39" s="30">
        <f t="shared" si="42"/>
        <v>0</v>
      </c>
      <c r="BJ39" s="30">
        <f t="shared" si="43"/>
        <v>0</v>
      </c>
      <c r="BK39" s="30"/>
      <c r="BL39" s="30">
        <v>61</v>
      </c>
      <c r="BW39" s="30">
        <v>12</v>
      </c>
      <c r="BX39" s="4" t="s">
        <v>133</v>
      </c>
    </row>
    <row r="40" spans="1:76" ht="13.5" customHeight="1" x14ac:dyDescent="0.25">
      <c r="A40" s="37"/>
      <c r="B40" s="38" t="s">
        <v>68</v>
      </c>
      <c r="C40" s="127" t="s">
        <v>134</v>
      </c>
      <c r="D40" s="128"/>
      <c r="E40" s="128"/>
      <c r="F40" s="128"/>
      <c r="G40" s="129"/>
      <c r="H40" s="128"/>
      <c r="I40" s="128"/>
      <c r="J40" s="128"/>
      <c r="K40" s="130"/>
    </row>
    <row r="41" spans="1:76" x14ac:dyDescent="0.25">
      <c r="A41" s="25" t="s">
        <v>135</v>
      </c>
      <c r="B41" s="26" t="s">
        <v>136</v>
      </c>
      <c r="C41" s="123" t="s">
        <v>137</v>
      </c>
      <c r="D41" s="124"/>
      <c r="E41" s="26" t="s">
        <v>64</v>
      </c>
      <c r="F41" s="27">
        <v>4.8719000000000001</v>
      </c>
      <c r="G41" s="28">
        <v>0</v>
      </c>
      <c r="H41" s="27">
        <f t="shared" ref="H41:H47" si="44">F41*AO41</f>
        <v>0</v>
      </c>
      <c r="I41" s="27">
        <f t="shared" ref="I41:I47" si="45">F41*AP41</f>
        <v>0</v>
      </c>
      <c r="J41" s="27">
        <f t="shared" ref="J41:J47" si="46">F41*G41</f>
        <v>0</v>
      </c>
      <c r="K41" s="29" t="s">
        <v>57</v>
      </c>
      <c r="Z41" s="30">
        <f t="shared" ref="Z41:Z47" si="47">IF(AQ41="5",BJ41,0)</f>
        <v>0</v>
      </c>
      <c r="AB41" s="30">
        <f t="shared" ref="AB41:AB47" si="48">IF(AQ41="1",BH41,0)</f>
        <v>0</v>
      </c>
      <c r="AC41" s="30">
        <f t="shared" ref="AC41:AC47" si="49">IF(AQ41="1",BI41,0)</f>
        <v>0</v>
      </c>
      <c r="AD41" s="30">
        <f t="shared" ref="AD41:AD47" si="50">IF(AQ41="7",BH41,0)</f>
        <v>0</v>
      </c>
      <c r="AE41" s="30">
        <f t="shared" ref="AE41:AE47" si="51">IF(AQ41="7",BI41,0)</f>
        <v>0</v>
      </c>
      <c r="AF41" s="30">
        <f t="shared" ref="AF41:AF47" si="52">IF(AQ41="2",BH41,0)</f>
        <v>0</v>
      </c>
      <c r="AG41" s="30">
        <f t="shared" ref="AG41:AG47" si="53">IF(AQ41="2",BI41,0)</f>
        <v>0</v>
      </c>
      <c r="AH41" s="30">
        <f t="shared" ref="AH41:AH47" si="54">IF(AQ41="0",BJ41,0)</f>
        <v>0</v>
      </c>
      <c r="AI41" s="10" t="s">
        <v>50</v>
      </c>
      <c r="AJ41" s="30">
        <f t="shared" ref="AJ41:AJ47" si="55">IF(AN41=0,J41,0)</f>
        <v>0</v>
      </c>
      <c r="AK41" s="30">
        <f t="shared" ref="AK41:AK47" si="56">IF(AN41=12,J41,0)</f>
        <v>0</v>
      </c>
      <c r="AL41" s="30">
        <f t="shared" ref="AL41:AL47" si="57">IF(AN41=21,J41,0)</f>
        <v>0</v>
      </c>
      <c r="AN41" s="30">
        <v>12</v>
      </c>
      <c r="AO41" s="30">
        <f>G41*0.256493004</f>
        <v>0</v>
      </c>
      <c r="AP41" s="30">
        <f>G41*(1-0.256493004)</f>
        <v>0</v>
      </c>
      <c r="AQ41" s="31" t="s">
        <v>53</v>
      </c>
      <c r="AV41" s="30">
        <f t="shared" ref="AV41:AV47" si="58">AW41+AX41</f>
        <v>0</v>
      </c>
      <c r="AW41" s="30">
        <f t="shared" ref="AW41:AW47" si="59">F41*AO41</f>
        <v>0</v>
      </c>
      <c r="AX41" s="30">
        <f t="shared" ref="AX41:AX47" si="60">F41*AP41</f>
        <v>0</v>
      </c>
      <c r="AY41" s="31" t="s">
        <v>120</v>
      </c>
      <c r="AZ41" s="31" t="s">
        <v>121</v>
      </c>
      <c r="BA41" s="10" t="s">
        <v>60</v>
      </c>
      <c r="BC41" s="30">
        <f t="shared" ref="BC41:BC47" si="61">AW41+AX41</f>
        <v>0</v>
      </c>
      <c r="BD41" s="30">
        <f t="shared" ref="BD41:BD47" si="62">G41/(100-BE41)*100</f>
        <v>0</v>
      </c>
      <c r="BE41" s="30">
        <v>0</v>
      </c>
      <c r="BF41" s="30">
        <f>41</f>
        <v>41</v>
      </c>
      <c r="BH41" s="30">
        <f t="shared" ref="BH41:BH47" si="63">F41*AO41</f>
        <v>0</v>
      </c>
      <c r="BI41" s="30">
        <f t="shared" ref="BI41:BI47" si="64">F41*AP41</f>
        <v>0</v>
      </c>
      <c r="BJ41" s="30">
        <f t="shared" ref="BJ41:BJ47" si="65">F41*G41</f>
        <v>0</v>
      </c>
      <c r="BK41" s="30"/>
      <c r="BL41" s="30">
        <v>61</v>
      </c>
      <c r="BW41" s="30">
        <v>12</v>
      </c>
      <c r="BX41" s="4" t="s">
        <v>137</v>
      </c>
    </row>
    <row r="42" spans="1:76" x14ac:dyDescent="0.25">
      <c r="A42" s="32" t="s">
        <v>138</v>
      </c>
      <c r="B42" s="33" t="s">
        <v>139</v>
      </c>
      <c r="C42" s="125" t="s">
        <v>140</v>
      </c>
      <c r="D42" s="126"/>
      <c r="E42" s="33" t="s">
        <v>64</v>
      </c>
      <c r="F42" s="34">
        <v>155.17101</v>
      </c>
      <c r="G42" s="35">
        <v>0</v>
      </c>
      <c r="H42" s="34">
        <f t="shared" si="44"/>
        <v>0</v>
      </c>
      <c r="I42" s="34">
        <f t="shared" si="45"/>
        <v>0</v>
      </c>
      <c r="J42" s="34">
        <f t="shared" si="46"/>
        <v>0</v>
      </c>
      <c r="K42" s="36" t="s">
        <v>57</v>
      </c>
      <c r="Z42" s="30">
        <f t="shared" si="47"/>
        <v>0</v>
      </c>
      <c r="AB42" s="30">
        <f t="shared" si="48"/>
        <v>0</v>
      </c>
      <c r="AC42" s="30">
        <f t="shared" si="49"/>
        <v>0</v>
      </c>
      <c r="AD42" s="30">
        <f t="shared" si="50"/>
        <v>0</v>
      </c>
      <c r="AE42" s="30">
        <f t="shared" si="51"/>
        <v>0</v>
      </c>
      <c r="AF42" s="30">
        <f t="shared" si="52"/>
        <v>0</v>
      </c>
      <c r="AG42" s="30">
        <f t="shared" si="53"/>
        <v>0</v>
      </c>
      <c r="AH42" s="30">
        <f t="shared" si="54"/>
        <v>0</v>
      </c>
      <c r="AI42" s="10" t="s">
        <v>50</v>
      </c>
      <c r="AJ42" s="30">
        <f t="shared" si="55"/>
        <v>0</v>
      </c>
      <c r="AK42" s="30">
        <f t="shared" si="56"/>
        <v>0</v>
      </c>
      <c r="AL42" s="30">
        <f t="shared" si="57"/>
        <v>0</v>
      </c>
      <c r="AN42" s="30">
        <v>12</v>
      </c>
      <c r="AO42" s="30">
        <f>G42*0.090183316</f>
        <v>0</v>
      </c>
      <c r="AP42" s="30">
        <f>G42*(1-0.090183316)</f>
        <v>0</v>
      </c>
      <c r="AQ42" s="31" t="s">
        <v>53</v>
      </c>
      <c r="AV42" s="30">
        <f t="shared" si="58"/>
        <v>0</v>
      </c>
      <c r="AW42" s="30">
        <f t="shared" si="59"/>
        <v>0</v>
      </c>
      <c r="AX42" s="30">
        <f t="shared" si="60"/>
        <v>0</v>
      </c>
      <c r="AY42" s="31" t="s">
        <v>120</v>
      </c>
      <c r="AZ42" s="31" t="s">
        <v>121</v>
      </c>
      <c r="BA42" s="10" t="s">
        <v>60</v>
      </c>
      <c r="BC42" s="30">
        <f t="shared" si="61"/>
        <v>0</v>
      </c>
      <c r="BD42" s="30">
        <f t="shared" si="62"/>
        <v>0</v>
      </c>
      <c r="BE42" s="30">
        <v>0</v>
      </c>
      <c r="BF42" s="30">
        <f>42</f>
        <v>42</v>
      </c>
      <c r="BH42" s="30">
        <f t="shared" si="63"/>
        <v>0</v>
      </c>
      <c r="BI42" s="30">
        <f t="shared" si="64"/>
        <v>0</v>
      </c>
      <c r="BJ42" s="30">
        <f t="shared" si="65"/>
        <v>0</v>
      </c>
      <c r="BK42" s="30"/>
      <c r="BL42" s="30">
        <v>61</v>
      </c>
      <c r="BW42" s="30">
        <v>12</v>
      </c>
      <c r="BX42" s="4" t="s">
        <v>140</v>
      </c>
    </row>
    <row r="43" spans="1:76" x14ac:dyDescent="0.25">
      <c r="A43" s="32" t="s">
        <v>141</v>
      </c>
      <c r="B43" s="33" t="s">
        <v>142</v>
      </c>
      <c r="C43" s="125" t="s">
        <v>143</v>
      </c>
      <c r="D43" s="126"/>
      <c r="E43" s="33" t="s">
        <v>64</v>
      </c>
      <c r="F43" s="34">
        <v>15.39775</v>
      </c>
      <c r="G43" s="35">
        <v>0</v>
      </c>
      <c r="H43" s="34">
        <f t="shared" si="44"/>
        <v>0</v>
      </c>
      <c r="I43" s="34">
        <f t="shared" si="45"/>
        <v>0</v>
      </c>
      <c r="J43" s="34">
        <f t="shared" si="46"/>
        <v>0</v>
      </c>
      <c r="K43" s="36" t="s">
        <v>57</v>
      </c>
      <c r="Z43" s="30">
        <f t="shared" si="47"/>
        <v>0</v>
      </c>
      <c r="AB43" s="30">
        <f t="shared" si="48"/>
        <v>0</v>
      </c>
      <c r="AC43" s="30">
        <f t="shared" si="49"/>
        <v>0</v>
      </c>
      <c r="AD43" s="30">
        <f t="shared" si="50"/>
        <v>0</v>
      </c>
      <c r="AE43" s="30">
        <f t="shared" si="51"/>
        <v>0</v>
      </c>
      <c r="AF43" s="30">
        <f t="shared" si="52"/>
        <v>0</v>
      </c>
      <c r="AG43" s="30">
        <f t="shared" si="53"/>
        <v>0</v>
      </c>
      <c r="AH43" s="30">
        <f t="shared" si="54"/>
        <v>0</v>
      </c>
      <c r="AI43" s="10" t="s">
        <v>50</v>
      </c>
      <c r="AJ43" s="30">
        <f t="shared" si="55"/>
        <v>0</v>
      </c>
      <c r="AK43" s="30">
        <f t="shared" si="56"/>
        <v>0</v>
      </c>
      <c r="AL43" s="30">
        <f t="shared" si="57"/>
        <v>0</v>
      </c>
      <c r="AN43" s="30">
        <v>12</v>
      </c>
      <c r="AO43" s="30">
        <f>G43*0</f>
        <v>0</v>
      </c>
      <c r="AP43" s="30">
        <f>G43*(1-0)</f>
        <v>0</v>
      </c>
      <c r="AQ43" s="31" t="s">
        <v>53</v>
      </c>
      <c r="AV43" s="30">
        <f t="shared" si="58"/>
        <v>0</v>
      </c>
      <c r="AW43" s="30">
        <f t="shared" si="59"/>
        <v>0</v>
      </c>
      <c r="AX43" s="30">
        <f t="shared" si="60"/>
        <v>0</v>
      </c>
      <c r="AY43" s="31" t="s">
        <v>120</v>
      </c>
      <c r="AZ43" s="31" t="s">
        <v>121</v>
      </c>
      <c r="BA43" s="10" t="s">
        <v>60</v>
      </c>
      <c r="BC43" s="30">
        <f t="shared" si="61"/>
        <v>0</v>
      </c>
      <c r="BD43" s="30">
        <f t="shared" si="62"/>
        <v>0</v>
      </c>
      <c r="BE43" s="30">
        <v>0</v>
      </c>
      <c r="BF43" s="30">
        <f>43</f>
        <v>43</v>
      </c>
      <c r="BH43" s="30">
        <f t="shared" si="63"/>
        <v>0</v>
      </c>
      <c r="BI43" s="30">
        <f t="shared" si="64"/>
        <v>0</v>
      </c>
      <c r="BJ43" s="30">
        <f t="shared" si="65"/>
        <v>0</v>
      </c>
      <c r="BK43" s="30"/>
      <c r="BL43" s="30">
        <v>61</v>
      </c>
      <c r="BW43" s="30">
        <v>12</v>
      </c>
      <c r="BX43" s="4" t="s">
        <v>143</v>
      </c>
    </row>
    <row r="44" spans="1:76" x14ac:dyDescent="0.25">
      <c r="A44" s="32" t="s">
        <v>144</v>
      </c>
      <c r="B44" s="33" t="s">
        <v>145</v>
      </c>
      <c r="C44" s="125" t="s">
        <v>146</v>
      </c>
      <c r="D44" s="126"/>
      <c r="E44" s="33" t="s">
        <v>147</v>
      </c>
      <c r="F44" s="34">
        <v>48.50291</v>
      </c>
      <c r="G44" s="35">
        <v>0</v>
      </c>
      <c r="H44" s="34">
        <f t="shared" si="44"/>
        <v>0</v>
      </c>
      <c r="I44" s="34">
        <f t="shared" si="45"/>
        <v>0</v>
      </c>
      <c r="J44" s="34">
        <f t="shared" si="46"/>
        <v>0</v>
      </c>
      <c r="K44" s="36" t="s">
        <v>57</v>
      </c>
      <c r="Z44" s="30">
        <f t="shared" si="47"/>
        <v>0</v>
      </c>
      <c r="AB44" s="30">
        <f t="shared" si="48"/>
        <v>0</v>
      </c>
      <c r="AC44" s="30">
        <f t="shared" si="49"/>
        <v>0</v>
      </c>
      <c r="AD44" s="30">
        <f t="shared" si="50"/>
        <v>0</v>
      </c>
      <c r="AE44" s="30">
        <f t="shared" si="51"/>
        <v>0</v>
      </c>
      <c r="AF44" s="30">
        <f t="shared" si="52"/>
        <v>0</v>
      </c>
      <c r="AG44" s="30">
        <f t="shared" si="53"/>
        <v>0</v>
      </c>
      <c r="AH44" s="30">
        <f t="shared" si="54"/>
        <v>0</v>
      </c>
      <c r="AI44" s="10" t="s">
        <v>50</v>
      </c>
      <c r="AJ44" s="30">
        <f t="shared" si="55"/>
        <v>0</v>
      </c>
      <c r="AK44" s="30">
        <f t="shared" si="56"/>
        <v>0</v>
      </c>
      <c r="AL44" s="30">
        <f t="shared" si="57"/>
        <v>0</v>
      </c>
      <c r="AN44" s="30">
        <v>12</v>
      </c>
      <c r="AO44" s="30">
        <f>G44*1</f>
        <v>0</v>
      </c>
      <c r="AP44" s="30">
        <f>G44*(1-1)</f>
        <v>0</v>
      </c>
      <c r="AQ44" s="31" t="s">
        <v>53</v>
      </c>
      <c r="AV44" s="30">
        <f t="shared" si="58"/>
        <v>0</v>
      </c>
      <c r="AW44" s="30">
        <f t="shared" si="59"/>
        <v>0</v>
      </c>
      <c r="AX44" s="30">
        <f t="shared" si="60"/>
        <v>0</v>
      </c>
      <c r="AY44" s="31" t="s">
        <v>120</v>
      </c>
      <c r="AZ44" s="31" t="s">
        <v>121</v>
      </c>
      <c r="BA44" s="10" t="s">
        <v>60</v>
      </c>
      <c r="BC44" s="30">
        <f t="shared" si="61"/>
        <v>0</v>
      </c>
      <c r="BD44" s="30">
        <f t="shared" si="62"/>
        <v>0</v>
      </c>
      <c r="BE44" s="30">
        <v>0</v>
      </c>
      <c r="BF44" s="30">
        <f>44</f>
        <v>44</v>
      </c>
      <c r="BH44" s="30">
        <f t="shared" si="63"/>
        <v>0</v>
      </c>
      <c r="BI44" s="30">
        <f t="shared" si="64"/>
        <v>0</v>
      </c>
      <c r="BJ44" s="30">
        <f t="shared" si="65"/>
        <v>0</v>
      </c>
      <c r="BK44" s="30"/>
      <c r="BL44" s="30">
        <v>61</v>
      </c>
      <c r="BW44" s="30">
        <v>12</v>
      </c>
      <c r="BX44" s="4" t="s">
        <v>146</v>
      </c>
    </row>
    <row r="45" spans="1:76" x14ac:dyDescent="0.25">
      <c r="A45" s="32" t="s">
        <v>148</v>
      </c>
      <c r="B45" s="33" t="s">
        <v>149</v>
      </c>
      <c r="C45" s="125" t="s">
        <v>150</v>
      </c>
      <c r="D45" s="126"/>
      <c r="E45" s="33" t="s">
        <v>64</v>
      </c>
      <c r="F45" s="34">
        <v>15.39775</v>
      </c>
      <c r="G45" s="35">
        <v>0</v>
      </c>
      <c r="H45" s="34">
        <f t="shared" si="44"/>
        <v>0</v>
      </c>
      <c r="I45" s="34">
        <f t="shared" si="45"/>
        <v>0</v>
      </c>
      <c r="J45" s="34">
        <f t="shared" si="46"/>
        <v>0</v>
      </c>
      <c r="K45" s="36" t="s">
        <v>57</v>
      </c>
      <c r="Z45" s="30">
        <f t="shared" si="47"/>
        <v>0</v>
      </c>
      <c r="AB45" s="30">
        <f t="shared" si="48"/>
        <v>0</v>
      </c>
      <c r="AC45" s="30">
        <f t="shared" si="49"/>
        <v>0</v>
      </c>
      <c r="AD45" s="30">
        <f t="shared" si="50"/>
        <v>0</v>
      </c>
      <c r="AE45" s="30">
        <f t="shared" si="51"/>
        <v>0</v>
      </c>
      <c r="AF45" s="30">
        <f t="shared" si="52"/>
        <v>0</v>
      </c>
      <c r="AG45" s="30">
        <f t="shared" si="53"/>
        <v>0</v>
      </c>
      <c r="AH45" s="30">
        <f t="shared" si="54"/>
        <v>0</v>
      </c>
      <c r="AI45" s="10" t="s">
        <v>50</v>
      </c>
      <c r="AJ45" s="30">
        <f t="shared" si="55"/>
        <v>0</v>
      </c>
      <c r="AK45" s="30">
        <f t="shared" si="56"/>
        <v>0</v>
      </c>
      <c r="AL45" s="30">
        <f t="shared" si="57"/>
        <v>0</v>
      </c>
      <c r="AN45" s="30">
        <v>12</v>
      </c>
      <c r="AO45" s="30">
        <f>G45*0.254414497</f>
        <v>0</v>
      </c>
      <c r="AP45" s="30">
        <f>G45*(1-0.254414497)</f>
        <v>0</v>
      </c>
      <c r="AQ45" s="31" t="s">
        <v>53</v>
      </c>
      <c r="AV45" s="30">
        <f t="shared" si="58"/>
        <v>0</v>
      </c>
      <c r="AW45" s="30">
        <f t="shared" si="59"/>
        <v>0</v>
      </c>
      <c r="AX45" s="30">
        <f t="shared" si="60"/>
        <v>0</v>
      </c>
      <c r="AY45" s="31" t="s">
        <v>120</v>
      </c>
      <c r="AZ45" s="31" t="s">
        <v>121</v>
      </c>
      <c r="BA45" s="10" t="s">
        <v>60</v>
      </c>
      <c r="BC45" s="30">
        <f t="shared" si="61"/>
        <v>0</v>
      </c>
      <c r="BD45" s="30">
        <f t="shared" si="62"/>
        <v>0</v>
      </c>
      <c r="BE45" s="30">
        <v>0</v>
      </c>
      <c r="BF45" s="30">
        <f>45</f>
        <v>45</v>
      </c>
      <c r="BH45" s="30">
        <f t="shared" si="63"/>
        <v>0</v>
      </c>
      <c r="BI45" s="30">
        <f t="shared" si="64"/>
        <v>0</v>
      </c>
      <c r="BJ45" s="30">
        <f t="shared" si="65"/>
        <v>0</v>
      </c>
      <c r="BK45" s="30"/>
      <c r="BL45" s="30">
        <v>61</v>
      </c>
      <c r="BW45" s="30">
        <v>12</v>
      </c>
      <c r="BX45" s="4" t="s">
        <v>150</v>
      </c>
    </row>
    <row r="46" spans="1:76" x14ac:dyDescent="0.25">
      <c r="A46" s="32" t="s">
        <v>151</v>
      </c>
      <c r="B46" s="33" t="s">
        <v>152</v>
      </c>
      <c r="C46" s="125" t="s">
        <v>153</v>
      </c>
      <c r="D46" s="126"/>
      <c r="E46" s="33" t="s">
        <v>80</v>
      </c>
      <c r="F46" s="34">
        <v>22.95</v>
      </c>
      <c r="G46" s="35">
        <v>0</v>
      </c>
      <c r="H46" s="34">
        <f t="shared" si="44"/>
        <v>0</v>
      </c>
      <c r="I46" s="34">
        <f t="shared" si="45"/>
        <v>0</v>
      </c>
      <c r="J46" s="34">
        <f t="shared" si="46"/>
        <v>0</v>
      </c>
      <c r="K46" s="36" t="s">
        <v>57</v>
      </c>
      <c r="Z46" s="30">
        <f t="shared" si="47"/>
        <v>0</v>
      </c>
      <c r="AB46" s="30">
        <f t="shared" si="48"/>
        <v>0</v>
      </c>
      <c r="AC46" s="30">
        <f t="shared" si="49"/>
        <v>0</v>
      </c>
      <c r="AD46" s="30">
        <f t="shared" si="50"/>
        <v>0</v>
      </c>
      <c r="AE46" s="30">
        <f t="shared" si="51"/>
        <v>0</v>
      </c>
      <c r="AF46" s="30">
        <f t="shared" si="52"/>
        <v>0</v>
      </c>
      <c r="AG46" s="30">
        <f t="shared" si="53"/>
        <v>0</v>
      </c>
      <c r="AH46" s="30">
        <f t="shared" si="54"/>
        <v>0</v>
      </c>
      <c r="AI46" s="10" t="s">
        <v>50</v>
      </c>
      <c r="AJ46" s="30">
        <f t="shared" si="55"/>
        <v>0</v>
      </c>
      <c r="AK46" s="30">
        <f t="shared" si="56"/>
        <v>0</v>
      </c>
      <c r="AL46" s="30">
        <f t="shared" si="57"/>
        <v>0</v>
      </c>
      <c r="AN46" s="30">
        <v>12</v>
      </c>
      <c r="AO46" s="30">
        <f>G46*0.86306163</f>
        <v>0</v>
      </c>
      <c r="AP46" s="30">
        <f>G46*(1-0.86306163)</f>
        <v>0</v>
      </c>
      <c r="AQ46" s="31" t="s">
        <v>53</v>
      </c>
      <c r="AV46" s="30">
        <f t="shared" si="58"/>
        <v>0</v>
      </c>
      <c r="AW46" s="30">
        <f t="shared" si="59"/>
        <v>0</v>
      </c>
      <c r="AX46" s="30">
        <f t="shared" si="60"/>
        <v>0</v>
      </c>
      <c r="AY46" s="31" t="s">
        <v>120</v>
      </c>
      <c r="AZ46" s="31" t="s">
        <v>121</v>
      </c>
      <c r="BA46" s="10" t="s">
        <v>60</v>
      </c>
      <c r="BC46" s="30">
        <f t="shared" si="61"/>
        <v>0</v>
      </c>
      <c r="BD46" s="30">
        <f t="shared" si="62"/>
        <v>0</v>
      </c>
      <c r="BE46" s="30">
        <v>0</v>
      </c>
      <c r="BF46" s="30">
        <f>46</f>
        <v>46</v>
      </c>
      <c r="BH46" s="30">
        <f t="shared" si="63"/>
        <v>0</v>
      </c>
      <c r="BI46" s="30">
        <f t="shared" si="64"/>
        <v>0</v>
      </c>
      <c r="BJ46" s="30">
        <f t="shared" si="65"/>
        <v>0</v>
      </c>
      <c r="BK46" s="30"/>
      <c r="BL46" s="30">
        <v>61</v>
      </c>
      <c r="BW46" s="30">
        <v>12</v>
      </c>
      <c r="BX46" s="4" t="s">
        <v>153</v>
      </c>
    </row>
    <row r="47" spans="1:76" x14ac:dyDescent="0.25">
      <c r="A47" s="32" t="s">
        <v>154</v>
      </c>
      <c r="B47" s="33" t="s">
        <v>155</v>
      </c>
      <c r="C47" s="125" t="s">
        <v>156</v>
      </c>
      <c r="D47" s="126"/>
      <c r="E47" s="33" t="s">
        <v>64</v>
      </c>
      <c r="F47" s="34">
        <v>103.87475999999999</v>
      </c>
      <c r="G47" s="35">
        <v>0</v>
      </c>
      <c r="H47" s="34">
        <f t="shared" si="44"/>
        <v>0</v>
      </c>
      <c r="I47" s="34">
        <f t="shared" si="45"/>
        <v>0</v>
      </c>
      <c r="J47" s="34">
        <f t="shared" si="46"/>
        <v>0</v>
      </c>
      <c r="K47" s="36" t="s">
        <v>57</v>
      </c>
      <c r="Z47" s="30">
        <f t="shared" si="47"/>
        <v>0</v>
      </c>
      <c r="AB47" s="30">
        <f t="shared" si="48"/>
        <v>0</v>
      </c>
      <c r="AC47" s="30">
        <f t="shared" si="49"/>
        <v>0</v>
      </c>
      <c r="AD47" s="30">
        <f t="shared" si="50"/>
        <v>0</v>
      </c>
      <c r="AE47" s="30">
        <f t="shared" si="51"/>
        <v>0</v>
      </c>
      <c r="AF47" s="30">
        <f t="shared" si="52"/>
        <v>0</v>
      </c>
      <c r="AG47" s="30">
        <f t="shared" si="53"/>
        <v>0</v>
      </c>
      <c r="AH47" s="30">
        <f t="shared" si="54"/>
        <v>0</v>
      </c>
      <c r="AI47" s="10" t="s">
        <v>50</v>
      </c>
      <c r="AJ47" s="30">
        <f t="shared" si="55"/>
        <v>0</v>
      </c>
      <c r="AK47" s="30">
        <f t="shared" si="56"/>
        <v>0</v>
      </c>
      <c r="AL47" s="30">
        <f t="shared" si="57"/>
        <v>0</v>
      </c>
      <c r="AN47" s="30">
        <v>12</v>
      </c>
      <c r="AO47" s="30">
        <f>G47*0.347656959</f>
        <v>0</v>
      </c>
      <c r="AP47" s="30">
        <f>G47*(1-0.347656959)</f>
        <v>0</v>
      </c>
      <c r="AQ47" s="31" t="s">
        <v>53</v>
      </c>
      <c r="AV47" s="30">
        <f t="shared" si="58"/>
        <v>0</v>
      </c>
      <c r="AW47" s="30">
        <f t="shared" si="59"/>
        <v>0</v>
      </c>
      <c r="AX47" s="30">
        <f t="shared" si="60"/>
        <v>0</v>
      </c>
      <c r="AY47" s="31" t="s">
        <v>120</v>
      </c>
      <c r="AZ47" s="31" t="s">
        <v>121</v>
      </c>
      <c r="BA47" s="10" t="s">
        <v>60</v>
      </c>
      <c r="BC47" s="30">
        <f t="shared" si="61"/>
        <v>0</v>
      </c>
      <c r="BD47" s="30">
        <f t="shared" si="62"/>
        <v>0</v>
      </c>
      <c r="BE47" s="30">
        <v>0</v>
      </c>
      <c r="BF47" s="30">
        <f>47</f>
        <v>47</v>
      </c>
      <c r="BH47" s="30">
        <f t="shared" si="63"/>
        <v>0</v>
      </c>
      <c r="BI47" s="30">
        <f t="shared" si="64"/>
        <v>0</v>
      </c>
      <c r="BJ47" s="30">
        <f t="shared" si="65"/>
        <v>0</v>
      </c>
      <c r="BK47" s="30"/>
      <c r="BL47" s="30">
        <v>61</v>
      </c>
      <c r="BW47" s="30">
        <v>12</v>
      </c>
      <c r="BX47" s="4" t="s">
        <v>156</v>
      </c>
    </row>
    <row r="48" spans="1:76" ht="13.5" customHeight="1" x14ac:dyDescent="0.25">
      <c r="A48" s="37"/>
      <c r="B48" s="38" t="s">
        <v>68</v>
      </c>
      <c r="C48" s="127" t="s">
        <v>157</v>
      </c>
      <c r="D48" s="128"/>
      <c r="E48" s="128"/>
      <c r="F48" s="128"/>
      <c r="G48" s="129"/>
      <c r="H48" s="128"/>
      <c r="I48" s="128"/>
      <c r="J48" s="128"/>
      <c r="K48" s="130"/>
    </row>
    <row r="49" spans="1:76" x14ac:dyDescent="0.25">
      <c r="A49" s="25" t="s">
        <v>158</v>
      </c>
      <c r="B49" s="26" t="s">
        <v>159</v>
      </c>
      <c r="C49" s="123" t="s">
        <v>160</v>
      </c>
      <c r="D49" s="124"/>
      <c r="E49" s="26" t="s">
        <v>80</v>
      </c>
      <c r="F49" s="27">
        <v>39.590000000000003</v>
      </c>
      <c r="G49" s="28">
        <v>0</v>
      </c>
      <c r="H49" s="27">
        <f>F49*AO49</f>
        <v>0</v>
      </c>
      <c r="I49" s="27">
        <f>F49*AP49</f>
        <v>0</v>
      </c>
      <c r="J49" s="27">
        <f>F49*G49</f>
        <v>0</v>
      </c>
      <c r="K49" s="29" t="s">
        <v>57</v>
      </c>
      <c r="Z49" s="30">
        <f>IF(AQ49="5",BJ49,0)</f>
        <v>0</v>
      </c>
      <c r="AB49" s="30">
        <f>IF(AQ49="1",BH49,0)</f>
        <v>0</v>
      </c>
      <c r="AC49" s="30">
        <f>IF(AQ49="1",BI49,0)</f>
        <v>0</v>
      </c>
      <c r="AD49" s="30">
        <f>IF(AQ49="7",BH49,0)</f>
        <v>0</v>
      </c>
      <c r="AE49" s="30">
        <f>IF(AQ49="7",BI49,0)</f>
        <v>0</v>
      </c>
      <c r="AF49" s="30">
        <f>IF(AQ49="2",BH49,0)</f>
        <v>0</v>
      </c>
      <c r="AG49" s="30">
        <f>IF(AQ49="2",BI49,0)</f>
        <v>0</v>
      </c>
      <c r="AH49" s="30">
        <f>IF(AQ49="0",BJ49,0)</f>
        <v>0</v>
      </c>
      <c r="AI49" s="10" t="s">
        <v>50</v>
      </c>
      <c r="AJ49" s="30">
        <f>IF(AN49=0,J49,0)</f>
        <v>0</v>
      </c>
      <c r="AK49" s="30">
        <f>IF(AN49=12,J49,0)</f>
        <v>0</v>
      </c>
      <c r="AL49" s="30">
        <f>IF(AN49=21,J49,0)</f>
        <v>0</v>
      </c>
      <c r="AN49" s="30">
        <v>12</v>
      </c>
      <c r="AO49" s="30">
        <f>G49*0.636303431</f>
        <v>0</v>
      </c>
      <c r="AP49" s="30">
        <f>G49*(1-0.636303431)</f>
        <v>0</v>
      </c>
      <c r="AQ49" s="31" t="s">
        <v>53</v>
      </c>
      <c r="AV49" s="30">
        <f>AW49+AX49</f>
        <v>0</v>
      </c>
      <c r="AW49" s="30">
        <f>F49*AO49</f>
        <v>0</v>
      </c>
      <c r="AX49" s="30">
        <f>F49*AP49</f>
        <v>0</v>
      </c>
      <c r="AY49" s="31" t="s">
        <v>120</v>
      </c>
      <c r="AZ49" s="31" t="s">
        <v>121</v>
      </c>
      <c r="BA49" s="10" t="s">
        <v>60</v>
      </c>
      <c r="BC49" s="30">
        <f>AW49+AX49</f>
        <v>0</v>
      </c>
      <c r="BD49" s="30">
        <f>G49/(100-BE49)*100</f>
        <v>0</v>
      </c>
      <c r="BE49" s="30">
        <v>0</v>
      </c>
      <c r="BF49" s="30">
        <f>49</f>
        <v>49</v>
      </c>
      <c r="BH49" s="30">
        <f>F49*AO49</f>
        <v>0</v>
      </c>
      <c r="BI49" s="30">
        <f>F49*AP49</f>
        <v>0</v>
      </c>
      <c r="BJ49" s="30">
        <f>F49*G49</f>
        <v>0</v>
      </c>
      <c r="BK49" s="30"/>
      <c r="BL49" s="30">
        <v>61</v>
      </c>
      <c r="BW49" s="30">
        <v>12</v>
      </c>
      <c r="BX49" s="4" t="s">
        <v>160</v>
      </c>
    </row>
    <row r="50" spans="1:76" x14ac:dyDescent="0.25">
      <c r="A50" s="32" t="s">
        <v>161</v>
      </c>
      <c r="B50" s="33" t="s">
        <v>162</v>
      </c>
      <c r="C50" s="125" t="s">
        <v>163</v>
      </c>
      <c r="D50" s="126"/>
      <c r="E50" s="33" t="s">
        <v>64</v>
      </c>
      <c r="F50" s="34">
        <v>103.87475999999999</v>
      </c>
      <c r="G50" s="35">
        <v>0</v>
      </c>
      <c r="H50" s="34">
        <f>F50*AO50</f>
        <v>0</v>
      </c>
      <c r="I50" s="34">
        <f>F50*AP50</f>
        <v>0</v>
      </c>
      <c r="J50" s="34">
        <f>F50*G50</f>
        <v>0</v>
      </c>
      <c r="K50" s="36" t="s">
        <v>164</v>
      </c>
      <c r="Z50" s="30">
        <f>IF(AQ50="5",BJ50,0)</f>
        <v>0</v>
      </c>
      <c r="AB50" s="30">
        <f>IF(AQ50="1",BH50,0)</f>
        <v>0</v>
      </c>
      <c r="AC50" s="30">
        <f>IF(AQ50="1",BI50,0)</f>
        <v>0</v>
      </c>
      <c r="AD50" s="30">
        <f>IF(AQ50="7",BH50,0)</f>
        <v>0</v>
      </c>
      <c r="AE50" s="30">
        <f>IF(AQ50="7",BI50,0)</f>
        <v>0</v>
      </c>
      <c r="AF50" s="30">
        <f>IF(AQ50="2",BH50,0)</f>
        <v>0</v>
      </c>
      <c r="AG50" s="30">
        <f>IF(AQ50="2",BI50,0)</f>
        <v>0</v>
      </c>
      <c r="AH50" s="30">
        <f>IF(AQ50="0",BJ50,0)</f>
        <v>0</v>
      </c>
      <c r="AI50" s="10" t="s">
        <v>50</v>
      </c>
      <c r="AJ50" s="30">
        <f>IF(AN50=0,J50,0)</f>
        <v>0</v>
      </c>
      <c r="AK50" s="30">
        <f>IF(AN50=12,J50,0)</f>
        <v>0</v>
      </c>
      <c r="AL50" s="30">
        <f>IF(AN50=21,J50,0)</f>
        <v>0</v>
      </c>
      <c r="AN50" s="30">
        <v>12</v>
      </c>
      <c r="AO50" s="30">
        <f>G50*0.118661669</f>
        <v>0</v>
      </c>
      <c r="AP50" s="30">
        <f>G50*(1-0.118661669)</f>
        <v>0</v>
      </c>
      <c r="AQ50" s="31" t="s">
        <v>53</v>
      </c>
      <c r="AV50" s="30">
        <f>AW50+AX50</f>
        <v>0</v>
      </c>
      <c r="AW50" s="30">
        <f>F50*AO50</f>
        <v>0</v>
      </c>
      <c r="AX50" s="30">
        <f>F50*AP50</f>
        <v>0</v>
      </c>
      <c r="AY50" s="31" t="s">
        <v>120</v>
      </c>
      <c r="AZ50" s="31" t="s">
        <v>121</v>
      </c>
      <c r="BA50" s="10" t="s">
        <v>60</v>
      </c>
      <c r="BC50" s="30">
        <f>AW50+AX50</f>
        <v>0</v>
      </c>
      <c r="BD50" s="30">
        <f>G50/(100-BE50)*100</f>
        <v>0</v>
      </c>
      <c r="BE50" s="30">
        <v>0</v>
      </c>
      <c r="BF50" s="30">
        <f>50</f>
        <v>50</v>
      </c>
      <c r="BH50" s="30">
        <f>F50*AO50</f>
        <v>0</v>
      </c>
      <c r="BI50" s="30">
        <f>F50*AP50</f>
        <v>0</v>
      </c>
      <c r="BJ50" s="30">
        <f>F50*G50</f>
        <v>0</v>
      </c>
      <c r="BK50" s="30"/>
      <c r="BL50" s="30">
        <v>61</v>
      </c>
      <c r="BW50" s="30">
        <v>12</v>
      </c>
      <c r="BX50" s="4" t="s">
        <v>163</v>
      </c>
    </row>
    <row r="51" spans="1:76" x14ac:dyDescent="0.25">
      <c r="A51" s="32" t="s">
        <v>165</v>
      </c>
      <c r="B51" s="33" t="s">
        <v>166</v>
      </c>
      <c r="C51" s="125" t="s">
        <v>167</v>
      </c>
      <c r="D51" s="126"/>
      <c r="E51" s="33" t="s">
        <v>64</v>
      </c>
      <c r="F51" s="34">
        <v>33.36</v>
      </c>
      <c r="G51" s="35">
        <v>0</v>
      </c>
      <c r="H51" s="34">
        <f>F51*AO51</f>
        <v>0</v>
      </c>
      <c r="I51" s="34">
        <f>F51*AP51</f>
        <v>0</v>
      </c>
      <c r="J51" s="34">
        <f>F51*G51</f>
        <v>0</v>
      </c>
      <c r="K51" s="36" t="s">
        <v>57</v>
      </c>
      <c r="Z51" s="30">
        <f>IF(AQ51="5",BJ51,0)</f>
        <v>0</v>
      </c>
      <c r="AB51" s="30">
        <f>IF(AQ51="1",BH51,0)</f>
        <v>0</v>
      </c>
      <c r="AC51" s="30">
        <f>IF(AQ51="1",BI51,0)</f>
        <v>0</v>
      </c>
      <c r="AD51" s="30">
        <f>IF(AQ51="7",BH51,0)</f>
        <v>0</v>
      </c>
      <c r="AE51" s="30">
        <f>IF(AQ51="7",BI51,0)</f>
        <v>0</v>
      </c>
      <c r="AF51" s="30">
        <f>IF(AQ51="2",BH51,0)</f>
        <v>0</v>
      </c>
      <c r="AG51" s="30">
        <f>IF(AQ51="2",BI51,0)</f>
        <v>0</v>
      </c>
      <c r="AH51" s="30">
        <f>IF(AQ51="0",BJ51,0)</f>
        <v>0</v>
      </c>
      <c r="AI51" s="10" t="s">
        <v>50</v>
      </c>
      <c r="AJ51" s="30">
        <f>IF(AN51=0,J51,0)</f>
        <v>0</v>
      </c>
      <c r="AK51" s="30">
        <f>IF(AN51=12,J51,0)</f>
        <v>0</v>
      </c>
      <c r="AL51" s="30">
        <f>IF(AN51=21,J51,0)</f>
        <v>0</v>
      </c>
      <c r="AN51" s="30">
        <v>12</v>
      </c>
      <c r="AO51" s="30">
        <f>G51*0.308728606</f>
        <v>0</v>
      </c>
      <c r="AP51" s="30">
        <f>G51*(1-0.308728606)</f>
        <v>0</v>
      </c>
      <c r="AQ51" s="31" t="s">
        <v>53</v>
      </c>
      <c r="AV51" s="30">
        <f>AW51+AX51</f>
        <v>0</v>
      </c>
      <c r="AW51" s="30">
        <f>F51*AO51</f>
        <v>0</v>
      </c>
      <c r="AX51" s="30">
        <f>F51*AP51</f>
        <v>0</v>
      </c>
      <c r="AY51" s="31" t="s">
        <v>120</v>
      </c>
      <c r="AZ51" s="31" t="s">
        <v>121</v>
      </c>
      <c r="BA51" s="10" t="s">
        <v>60</v>
      </c>
      <c r="BC51" s="30">
        <f>AW51+AX51</f>
        <v>0</v>
      </c>
      <c r="BD51" s="30">
        <f>G51/(100-BE51)*100</f>
        <v>0</v>
      </c>
      <c r="BE51" s="30">
        <v>0</v>
      </c>
      <c r="BF51" s="30">
        <f>51</f>
        <v>51</v>
      </c>
      <c r="BH51" s="30">
        <f>F51*AO51</f>
        <v>0</v>
      </c>
      <c r="BI51" s="30">
        <f>F51*AP51</f>
        <v>0</v>
      </c>
      <c r="BJ51" s="30">
        <f>F51*G51</f>
        <v>0</v>
      </c>
      <c r="BK51" s="30"/>
      <c r="BL51" s="30">
        <v>61</v>
      </c>
      <c r="BW51" s="30">
        <v>12</v>
      </c>
      <c r="BX51" s="4" t="s">
        <v>167</v>
      </c>
    </row>
    <row r="52" spans="1:76" ht="13.5" customHeight="1" x14ac:dyDescent="0.25">
      <c r="A52" s="37"/>
      <c r="B52" s="38" t="s">
        <v>68</v>
      </c>
      <c r="C52" s="127" t="s">
        <v>168</v>
      </c>
      <c r="D52" s="128"/>
      <c r="E52" s="128"/>
      <c r="F52" s="128"/>
      <c r="G52" s="129"/>
      <c r="H52" s="128"/>
      <c r="I52" s="128"/>
      <c r="J52" s="128"/>
      <c r="K52" s="130"/>
    </row>
    <row r="53" spans="1:76" x14ac:dyDescent="0.25">
      <c r="A53" s="25" t="s">
        <v>169</v>
      </c>
      <c r="B53" s="26" t="s">
        <v>170</v>
      </c>
      <c r="C53" s="123" t="s">
        <v>171</v>
      </c>
      <c r="D53" s="124"/>
      <c r="E53" s="26" t="s">
        <v>64</v>
      </c>
      <c r="F53" s="27">
        <v>33.36</v>
      </c>
      <c r="G53" s="28">
        <v>0</v>
      </c>
      <c r="H53" s="27">
        <f>F53*AO53</f>
        <v>0</v>
      </c>
      <c r="I53" s="27">
        <f>F53*AP53</f>
        <v>0</v>
      </c>
      <c r="J53" s="27">
        <f>F53*G53</f>
        <v>0</v>
      </c>
      <c r="K53" s="29" t="s">
        <v>57</v>
      </c>
      <c r="Z53" s="30">
        <f>IF(AQ53="5",BJ53,0)</f>
        <v>0</v>
      </c>
      <c r="AB53" s="30">
        <f>IF(AQ53="1",BH53,0)</f>
        <v>0</v>
      </c>
      <c r="AC53" s="30">
        <f>IF(AQ53="1",BI53,0)</f>
        <v>0</v>
      </c>
      <c r="AD53" s="30">
        <f>IF(AQ53="7",BH53,0)</f>
        <v>0</v>
      </c>
      <c r="AE53" s="30">
        <f>IF(AQ53="7",BI53,0)</f>
        <v>0</v>
      </c>
      <c r="AF53" s="30">
        <f>IF(AQ53="2",BH53,0)</f>
        <v>0</v>
      </c>
      <c r="AG53" s="30">
        <f>IF(AQ53="2",BI53,0)</f>
        <v>0</v>
      </c>
      <c r="AH53" s="30">
        <f>IF(AQ53="0",BJ53,0)</f>
        <v>0</v>
      </c>
      <c r="AI53" s="10" t="s">
        <v>50</v>
      </c>
      <c r="AJ53" s="30">
        <f>IF(AN53=0,J53,0)</f>
        <v>0</v>
      </c>
      <c r="AK53" s="30">
        <f>IF(AN53=12,J53,0)</f>
        <v>0</v>
      </c>
      <c r="AL53" s="30">
        <f>IF(AN53=21,J53,0)</f>
        <v>0</v>
      </c>
      <c r="AN53" s="30">
        <v>12</v>
      </c>
      <c r="AO53" s="30">
        <f>G53*0.205990522</f>
        <v>0</v>
      </c>
      <c r="AP53" s="30">
        <f>G53*(1-0.205990522)</f>
        <v>0</v>
      </c>
      <c r="AQ53" s="31" t="s">
        <v>53</v>
      </c>
      <c r="AV53" s="30">
        <f>AW53+AX53</f>
        <v>0</v>
      </c>
      <c r="AW53" s="30">
        <f>F53*AO53</f>
        <v>0</v>
      </c>
      <c r="AX53" s="30">
        <f>F53*AP53</f>
        <v>0</v>
      </c>
      <c r="AY53" s="31" t="s">
        <v>120</v>
      </c>
      <c r="AZ53" s="31" t="s">
        <v>121</v>
      </c>
      <c r="BA53" s="10" t="s">
        <v>60</v>
      </c>
      <c r="BC53" s="30">
        <f>AW53+AX53</f>
        <v>0</v>
      </c>
      <c r="BD53" s="30">
        <f>G53/(100-BE53)*100</f>
        <v>0</v>
      </c>
      <c r="BE53" s="30">
        <v>0</v>
      </c>
      <c r="BF53" s="30">
        <f>53</f>
        <v>53</v>
      </c>
      <c r="BH53" s="30">
        <f>F53*AO53</f>
        <v>0</v>
      </c>
      <c r="BI53" s="30">
        <f>F53*AP53</f>
        <v>0</v>
      </c>
      <c r="BJ53" s="30">
        <f>F53*G53</f>
        <v>0</v>
      </c>
      <c r="BK53" s="30"/>
      <c r="BL53" s="30">
        <v>61</v>
      </c>
      <c r="BW53" s="30">
        <v>12</v>
      </c>
      <c r="BX53" s="4" t="s">
        <v>171</v>
      </c>
    </row>
    <row r="54" spans="1:76" x14ac:dyDescent="0.25">
      <c r="A54" s="32" t="s">
        <v>51</v>
      </c>
      <c r="B54" s="33" t="s">
        <v>172</v>
      </c>
      <c r="C54" s="125" t="s">
        <v>173</v>
      </c>
      <c r="D54" s="126"/>
      <c r="E54" s="33" t="s">
        <v>64</v>
      </c>
      <c r="F54" s="34">
        <v>4</v>
      </c>
      <c r="G54" s="35">
        <v>0</v>
      </c>
      <c r="H54" s="34">
        <f>F54*AO54</f>
        <v>0</v>
      </c>
      <c r="I54" s="34">
        <f>F54*AP54</f>
        <v>0</v>
      </c>
      <c r="J54" s="34">
        <f>F54*G54</f>
        <v>0</v>
      </c>
      <c r="K54" s="36" t="s">
        <v>57</v>
      </c>
      <c r="Z54" s="30">
        <f>IF(AQ54="5",BJ54,0)</f>
        <v>0</v>
      </c>
      <c r="AB54" s="30">
        <f>IF(AQ54="1",BH54,0)</f>
        <v>0</v>
      </c>
      <c r="AC54" s="30">
        <f>IF(AQ54="1",BI54,0)</f>
        <v>0</v>
      </c>
      <c r="AD54" s="30">
        <f>IF(AQ54="7",BH54,0)</f>
        <v>0</v>
      </c>
      <c r="AE54" s="30">
        <f>IF(AQ54="7",BI54,0)</f>
        <v>0</v>
      </c>
      <c r="AF54" s="30">
        <f>IF(AQ54="2",BH54,0)</f>
        <v>0</v>
      </c>
      <c r="AG54" s="30">
        <f>IF(AQ54="2",BI54,0)</f>
        <v>0</v>
      </c>
      <c r="AH54" s="30">
        <f>IF(AQ54="0",BJ54,0)</f>
        <v>0</v>
      </c>
      <c r="AI54" s="10" t="s">
        <v>50</v>
      </c>
      <c r="AJ54" s="30">
        <f>IF(AN54=0,J54,0)</f>
        <v>0</v>
      </c>
      <c r="AK54" s="30">
        <f>IF(AN54=12,J54,0)</f>
        <v>0</v>
      </c>
      <c r="AL54" s="30">
        <f>IF(AN54=21,J54,0)</f>
        <v>0</v>
      </c>
      <c r="AN54" s="30">
        <v>12</v>
      </c>
      <c r="AO54" s="30">
        <f>G54*0.328787276</f>
        <v>0</v>
      </c>
      <c r="AP54" s="30">
        <f>G54*(1-0.328787276)</f>
        <v>0</v>
      </c>
      <c r="AQ54" s="31" t="s">
        <v>53</v>
      </c>
      <c r="AV54" s="30">
        <f>AW54+AX54</f>
        <v>0</v>
      </c>
      <c r="AW54" s="30">
        <f>F54*AO54</f>
        <v>0</v>
      </c>
      <c r="AX54" s="30">
        <f>F54*AP54</f>
        <v>0</v>
      </c>
      <c r="AY54" s="31" t="s">
        <v>120</v>
      </c>
      <c r="AZ54" s="31" t="s">
        <v>121</v>
      </c>
      <c r="BA54" s="10" t="s">
        <v>60</v>
      </c>
      <c r="BC54" s="30">
        <f>AW54+AX54</f>
        <v>0</v>
      </c>
      <c r="BD54" s="30">
        <f>G54/(100-BE54)*100</f>
        <v>0</v>
      </c>
      <c r="BE54" s="30">
        <v>0</v>
      </c>
      <c r="BF54" s="30">
        <f>54</f>
        <v>54</v>
      </c>
      <c r="BH54" s="30">
        <f>F54*AO54</f>
        <v>0</v>
      </c>
      <c r="BI54" s="30">
        <f>F54*AP54</f>
        <v>0</v>
      </c>
      <c r="BJ54" s="30">
        <f>F54*G54</f>
        <v>0</v>
      </c>
      <c r="BK54" s="30"/>
      <c r="BL54" s="30">
        <v>61</v>
      </c>
      <c r="BW54" s="30">
        <v>12</v>
      </c>
      <c r="BX54" s="4" t="s">
        <v>173</v>
      </c>
    </row>
    <row r="55" spans="1:76" ht="13.5" customHeight="1" x14ac:dyDescent="0.25">
      <c r="A55" s="37"/>
      <c r="B55" s="38" t="s">
        <v>68</v>
      </c>
      <c r="C55" s="127" t="s">
        <v>174</v>
      </c>
      <c r="D55" s="128"/>
      <c r="E55" s="128"/>
      <c r="F55" s="128"/>
      <c r="G55" s="129"/>
      <c r="H55" s="128"/>
      <c r="I55" s="128"/>
      <c r="J55" s="128"/>
      <c r="K55" s="130"/>
    </row>
    <row r="56" spans="1:76" x14ac:dyDescent="0.25">
      <c r="A56" s="25" t="s">
        <v>175</v>
      </c>
      <c r="B56" s="26" t="s">
        <v>113</v>
      </c>
      <c r="C56" s="123" t="s">
        <v>114</v>
      </c>
      <c r="D56" s="124"/>
      <c r="E56" s="26" t="s">
        <v>90</v>
      </c>
      <c r="F56" s="27">
        <v>3.87182</v>
      </c>
      <c r="G56" s="28">
        <v>0</v>
      </c>
      <c r="H56" s="27">
        <f>F56*AO56</f>
        <v>0</v>
      </c>
      <c r="I56" s="27">
        <f>F56*AP56</f>
        <v>0</v>
      </c>
      <c r="J56" s="27">
        <f>F56*G56</f>
        <v>0</v>
      </c>
      <c r="K56" s="29" t="s">
        <v>57</v>
      </c>
      <c r="Z56" s="30">
        <f>IF(AQ56="5",BJ56,0)</f>
        <v>0</v>
      </c>
      <c r="AB56" s="30">
        <f>IF(AQ56="1",BH56,0)</f>
        <v>0</v>
      </c>
      <c r="AC56" s="30">
        <f>IF(AQ56="1",BI56,0)</f>
        <v>0</v>
      </c>
      <c r="AD56" s="30">
        <f>IF(AQ56="7",BH56,0)</f>
        <v>0</v>
      </c>
      <c r="AE56" s="30">
        <f>IF(AQ56="7",BI56,0)</f>
        <v>0</v>
      </c>
      <c r="AF56" s="30">
        <f>IF(AQ56="2",BH56,0)</f>
        <v>0</v>
      </c>
      <c r="AG56" s="30">
        <f>IF(AQ56="2",BI56,0)</f>
        <v>0</v>
      </c>
      <c r="AH56" s="30">
        <f>IF(AQ56="0",BJ56,0)</f>
        <v>0</v>
      </c>
      <c r="AI56" s="10" t="s">
        <v>50</v>
      </c>
      <c r="AJ56" s="30">
        <f>IF(AN56=0,J56,0)</f>
        <v>0</v>
      </c>
      <c r="AK56" s="30">
        <f>IF(AN56=12,J56,0)</f>
        <v>0</v>
      </c>
      <c r="AL56" s="30">
        <f>IF(AN56=21,J56,0)</f>
        <v>0</v>
      </c>
      <c r="AN56" s="30">
        <v>12</v>
      </c>
      <c r="AO56" s="30">
        <f>G56*0</f>
        <v>0</v>
      </c>
      <c r="AP56" s="30">
        <f>G56*(1-0)</f>
        <v>0</v>
      </c>
      <c r="AQ56" s="31" t="s">
        <v>74</v>
      </c>
      <c r="AV56" s="30">
        <f>AW56+AX56</f>
        <v>0</v>
      </c>
      <c r="AW56" s="30">
        <f>F56*AO56</f>
        <v>0</v>
      </c>
      <c r="AX56" s="30">
        <f>F56*AP56</f>
        <v>0</v>
      </c>
      <c r="AY56" s="31" t="s">
        <v>120</v>
      </c>
      <c r="AZ56" s="31" t="s">
        <v>121</v>
      </c>
      <c r="BA56" s="10" t="s">
        <v>60</v>
      </c>
      <c r="BC56" s="30">
        <f>AW56+AX56</f>
        <v>0</v>
      </c>
      <c r="BD56" s="30">
        <f>G56/(100-BE56)*100</f>
        <v>0</v>
      </c>
      <c r="BE56" s="30">
        <v>0</v>
      </c>
      <c r="BF56" s="30">
        <f>56</f>
        <v>56</v>
      </c>
      <c r="BH56" s="30">
        <f>F56*AO56</f>
        <v>0</v>
      </c>
      <c r="BI56" s="30">
        <f>F56*AP56</f>
        <v>0</v>
      </c>
      <c r="BJ56" s="30">
        <f>F56*G56</f>
        <v>0</v>
      </c>
      <c r="BK56" s="30"/>
      <c r="BL56" s="30">
        <v>61</v>
      </c>
      <c r="BW56" s="30">
        <v>12</v>
      </c>
      <c r="BX56" s="4" t="s">
        <v>114</v>
      </c>
    </row>
    <row r="57" spans="1:76" x14ac:dyDescent="0.25">
      <c r="A57" s="39" t="s">
        <v>50</v>
      </c>
      <c r="B57" s="40" t="s">
        <v>176</v>
      </c>
      <c r="C57" s="131" t="s">
        <v>177</v>
      </c>
      <c r="D57" s="132"/>
      <c r="E57" s="41" t="s">
        <v>4</v>
      </c>
      <c r="F57" s="41" t="s">
        <v>4</v>
      </c>
      <c r="G57" s="42" t="s">
        <v>4</v>
      </c>
      <c r="H57" s="43">
        <f>SUM(H58:H63)</f>
        <v>0</v>
      </c>
      <c r="I57" s="43">
        <f>SUM(I58:I63)</f>
        <v>0</v>
      </c>
      <c r="J57" s="43">
        <f>SUM(J58:J63)</f>
        <v>0</v>
      </c>
      <c r="K57" s="44" t="s">
        <v>50</v>
      </c>
      <c r="AI57" s="10" t="s">
        <v>50</v>
      </c>
      <c r="AS57" s="1">
        <f>SUM(AJ58:AJ63)</f>
        <v>0</v>
      </c>
      <c r="AT57" s="1">
        <f>SUM(AK58:AK63)</f>
        <v>0</v>
      </c>
      <c r="AU57" s="1">
        <f>SUM(AL58:AL63)</f>
        <v>0</v>
      </c>
    </row>
    <row r="58" spans="1:76" x14ac:dyDescent="0.25">
      <c r="A58" s="25" t="s">
        <v>178</v>
      </c>
      <c r="B58" s="26" t="s">
        <v>179</v>
      </c>
      <c r="C58" s="123" t="s">
        <v>180</v>
      </c>
      <c r="D58" s="124"/>
      <c r="E58" s="26" t="s">
        <v>56</v>
      </c>
      <c r="F58" s="27">
        <v>1</v>
      </c>
      <c r="G58" s="28">
        <v>0</v>
      </c>
      <c r="H58" s="27">
        <f>F58*AO58</f>
        <v>0</v>
      </c>
      <c r="I58" s="27">
        <f>F58*AP58</f>
        <v>0</v>
      </c>
      <c r="J58" s="27">
        <f>F58*G58</f>
        <v>0</v>
      </c>
      <c r="K58" s="29" t="s">
        <v>164</v>
      </c>
      <c r="Z58" s="30">
        <f>IF(AQ58="5",BJ58,0)</f>
        <v>0</v>
      </c>
      <c r="AB58" s="30">
        <f>IF(AQ58="1",BH58,0)</f>
        <v>0</v>
      </c>
      <c r="AC58" s="30">
        <f>IF(AQ58="1",BI58,0)</f>
        <v>0</v>
      </c>
      <c r="AD58" s="30">
        <f>IF(AQ58="7",BH58,0)</f>
        <v>0</v>
      </c>
      <c r="AE58" s="30">
        <f>IF(AQ58="7",BI58,0)</f>
        <v>0</v>
      </c>
      <c r="AF58" s="30">
        <f>IF(AQ58="2",BH58,0)</f>
        <v>0</v>
      </c>
      <c r="AG58" s="30">
        <f>IF(AQ58="2",BI58,0)</f>
        <v>0</v>
      </c>
      <c r="AH58" s="30">
        <f>IF(AQ58="0",BJ58,0)</f>
        <v>0</v>
      </c>
      <c r="AI58" s="10" t="s">
        <v>50</v>
      </c>
      <c r="AJ58" s="30">
        <f>IF(AN58=0,J58,0)</f>
        <v>0</v>
      </c>
      <c r="AK58" s="30">
        <f>IF(AN58=12,J58,0)</f>
        <v>0</v>
      </c>
      <c r="AL58" s="30">
        <f>IF(AN58=21,J58,0)</f>
        <v>0</v>
      </c>
      <c r="AN58" s="30">
        <v>12</v>
      </c>
      <c r="AO58" s="30">
        <f>G58*0.020754717</f>
        <v>0</v>
      </c>
      <c r="AP58" s="30">
        <f>G58*(1-0.020754717)</f>
        <v>0</v>
      </c>
      <c r="AQ58" s="31" t="s">
        <v>53</v>
      </c>
      <c r="AV58" s="30">
        <f>AW58+AX58</f>
        <v>0</v>
      </c>
      <c r="AW58" s="30">
        <f>F58*AO58</f>
        <v>0</v>
      </c>
      <c r="AX58" s="30">
        <f>F58*AP58</f>
        <v>0</v>
      </c>
      <c r="AY58" s="31" t="s">
        <v>181</v>
      </c>
      <c r="AZ58" s="31" t="s">
        <v>121</v>
      </c>
      <c r="BA58" s="10" t="s">
        <v>60</v>
      </c>
      <c r="BC58" s="30">
        <f>AW58+AX58</f>
        <v>0</v>
      </c>
      <c r="BD58" s="30">
        <f>G58/(100-BE58)*100</f>
        <v>0</v>
      </c>
      <c r="BE58" s="30">
        <v>0</v>
      </c>
      <c r="BF58" s="30">
        <f>58</f>
        <v>58</v>
      </c>
      <c r="BH58" s="30">
        <f>F58*AO58</f>
        <v>0</v>
      </c>
      <c r="BI58" s="30">
        <f>F58*AP58</f>
        <v>0</v>
      </c>
      <c r="BJ58" s="30">
        <f>F58*G58</f>
        <v>0</v>
      </c>
      <c r="BK58" s="30"/>
      <c r="BL58" s="30">
        <v>64</v>
      </c>
      <c r="BW58" s="30">
        <v>12</v>
      </c>
      <c r="BX58" s="4" t="s">
        <v>180</v>
      </c>
    </row>
    <row r="59" spans="1:76" x14ac:dyDescent="0.25">
      <c r="A59" s="32" t="s">
        <v>182</v>
      </c>
      <c r="B59" s="33" t="s">
        <v>183</v>
      </c>
      <c r="C59" s="125" t="s">
        <v>184</v>
      </c>
      <c r="D59" s="126"/>
      <c r="E59" s="33" t="s">
        <v>56</v>
      </c>
      <c r="F59" s="34">
        <v>1</v>
      </c>
      <c r="G59" s="35">
        <v>0</v>
      </c>
      <c r="H59" s="34">
        <f>F59*AO59</f>
        <v>0</v>
      </c>
      <c r="I59" s="34">
        <f>F59*AP59</f>
        <v>0</v>
      </c>
      <c r="J59" s="34">
        <f>F59*G59</f>
        <v>0</v>
      </c>
      <c r="K59" s="36" t="s">
        <v>57</v>
      </c>
      <c r="Z59" s="30">
        <f>IF(AQ59="5",BJ59,0)</f>
        <v>0</v>
      </c>
      <c r="AB59" s="30">
        <f>IF(AQ59="1",BH59,0)</f>
        <v>0</v>
      </c>
      <c r="AC59" s="30">
        <f>IF(AQ59="1",BI59,0)</f>
        <v>0</v>
      </c>
      <c r="AD59" s="30">
        <f>IF(AQ59="7",BH59,0)</f>
        <v>0</v>
      </c>
      <c r="AE59" s="30">
        <f>IF(AQ59="7",BI59,0)</f>
        <v>0</v>
      </c>
      <c r="AF59" s="30">
        <f>IF(AQ59="2",BH59,0)</f>
        <v>0</v>
      </c>
      <c r="AG59" s="30">
        <f>IF(AQ59="2",BI59,0)</f>
        <v>0</v>
      </c>
      <c r="AH59" s="30">
        <f>IF(AQ59="0",BJ59,0)</f>
        <v>0</v>
      </c>
      <c r="AI59" s="10" t="s">
        <v>50</v>
      </c>
      <c r="AJ59" s="30">
        <f>IF(AN59=0,J59,0)</f>
        <v>0</v>
      </c>
      <c r="AK59" s="30">
        <f>IF(AN59=12,J59,0)</f>
        <v>0</v>
      </c>
      <c r="AL59" s="30">
        <f>IF(AN59=21,J59,0)</f>
        <v>0</v>
      </c>
      <c r="AN59" s="30">
        <v>12</v>
      </c>
      <c r="AO59" s="30">
        <f>G59*0.902381803</f>
        <v>0</v>
      </c>
      <c r="AP59" s="30">
        <f>G59*(1-0.902381803)</f>
        <v>0</v>
      </c>
      <c r="AQ59" s="31" t="s">
        <v>53</v>
      </c>
      <c r="AV59" s="30">
        <f>AW59+AX59</f>
        <v>0</v>
      </c>
      <c r="AW59" s="30">
        <f>F59*AO59</f>
        <v>0</v>
      </c>
      <c r="AX59" s="30">
        <f>F59*AP59</f>
        <v>0</v>
      </c>
      <c r="AY59" s="31" t="s">
        <v>181</v>
      </c>
      <c r="AZ59" s="31" t="s">
        <v>121</v>
      </c>
      <c r="BA59" s="10" t="s">
        <v>60</v>
      </c>
      <c r="BC59" s="30">
        <f>AW59+AX59</f>
        <v>0</v>
      </c>
      <c r="BD59" s="30">
        <f>G59/(100-BE59)*100</f>
        <v>0</v>
      </c>
      <c r="BE59" s="30">
        <v>0</v>
      </c>
      <c r="BF59" s="30">
        <f>59</f>
        <v>59</v>
      </c>
      <c r="BH59" s="30">
        <f>F59*AO59</f>
        <v>0</v>
      </c>
      <c r="BI59" s="30">
        <f>F59*AP59</f>
        <v>0</v>
      </c>
      <c r="BJ59" s="30">
        <f>F59*G59</f>
        <v>0</v>
      </c>
      <c r="BK59" s="30"/>
      <c r="BL59" s="30">
        <v>64</v>
      </c>
      <c r="BW59" s="30">
        <v>12</v>
      </c>
      <c r="BX59" s="4" t="s">
        <v>184</v>
      </c>
    </row>
    <row r="60" spans="1:76" ht="13.5" customHeight="1" x14ac:dyDescent="0.25">
      <c r="A60" s="37"/>
      <c r="B60" s="38" t="s">
        <v>68</v>
      </c>
      <c r="C60" s="127" t="s">
        <v>185</v>
      </c>
      <c r="D60" s="128"/>
      <c r="E60" s="128"/>
      <c r="F60" s="128"/>
      <c r="G60" s="129"/>
      <c r="H60" s="128"/>
      <c r="I60" s="128"/>
      <c r="J60" s="128"/>
      <c r="K60" s="130"/>
    </row>
    <row r="61" spans="1:76" x14ac:dyDescent="0.25">
      <c r="A61" s="25" t="s">
        <v>186</v>
      </c>
      <c r="B61" s="26" t="s">
        <v>187</v>
      </c>
      <c r="C61" s="123" t="s">
        <v>188</v>
      </c>
      <c r="D61" s="124"/>
      <c r="E61" s="26" t="s">
        <v>56</v>
      </c>
      <c r="F61" s="27">
        <v>1</v>
      </c>
      <c r="G61" s="28">
        <v>0</v>
      </c>
      <c r="H61" s="27">
        <f>F61*AO61</f>
        <v>0</v>
      </c>
      <c r="I61" s="27">
        <f>F61*AP61</f>
        <v>0</v>
      </c>
      <c r="J61" s="27">
        <f>F61*G61</f>
        <v>0</v>
      </c>
      <c r="K61" s="29" t="s">
        <v>57</v>
      </c>
      <c r="Z61" s="30">
        <f>IF(AQ61="5",BJ61,0)</f>
        <v>0</v>
      </c>
      <c r="AB61" s="30">
        <f>IF(AQ61="1",BH61,0)</f>
        <v>0</v>
      </c>
      <c r="AC61" s="30">
        <f>IF(AQ61="1",BI61,0)</f>
        <v>0</v>
      </c>
      <c r="AD61" s="30">
        <f>IF(AQ61="7",BH61,0)</f>
        <v>0</v>
      </c>
      <c r="AE61" s="30">
        <f>IF(AQ61="7",BI61,0)</f>
        <v>0</v>
      </c>
      <c r="AF61" s="30">
        <f>IF(AQ61="2",BH61,0)</f>
        <v>0</v>
      </c>
      <c r="AG61" s="30">
        <f>IF(AQ61="2",BI61,0)</f>
        <v>0</v>
      </c>
      <c r="AH61" s="30">
        <f>IF(AQ61="0",BJ61,0)</f>
        <v>0</v>
      </c>
      <c r="AI61" s="10" t="s">
        <v>50</v>
      </c>
      <c r="AJ61" s="30">
        <f>IF(AN61=0,J61,0)</f>
        <v>0</v>
      </c>
      <c r="AK61" s="30">
        <f>IF(AN61=12,J61,0)</f>
        <v>0</v>
      </c>
      <c r="AL61" s="30">
        <f>IF(AN61=21,J61,0)</f>
        <v>0</v>
      </c>
      <c r="AN61" s="30">
        <v>12</v>
      </c>
      <c r="AO61" s="30">
        <f>G61*1</f>
        <v>0</v>
      </c>
      <c r="AP61" s="30">
        <f>G61*(1-1)</f>
        <v>0</v>
      </c>
      <c r="AQ61" s="31" t="s">
        <v>53</v>
      </c>
      <c r="AV61" s="30">
        <f>AW61+AX61</f>
        <v>0</v>
      </c>
      <c r="AW61" s="30">
        <f>F61*AO61</f>
        <v>0</v>
      </c>
      <c r="AX61" s="30">
        <f>F61*AP61</f>
        <v>0</v>
      </c>
      <c r="AY61" s="31" t="s">
        <v>181</v>
      </c>
      <c r="AZ61" s="31" t="s">
        <v>121</v>
      </c>
      <c r="BA61" s="10" t="s">
        <v>60</v>
      </c>
      <c r="BC61" s="30">
        <f>AW61+AX61</f>
        <v>0</v>
      </c>
      <c r="BD61" s="30">
        <f>G61/(100-BE61)*100</f>
        <v>0</v>
      </c>
      <c r="BE61" s="30">
        <v>0</v>
      </c>
      <c r="BF61" s="30">
        <f>61</f>
        <v>61</v>
      </c>
      <c r="BH61" s="30">
        <f>F61*AO61</f>
        <v>0</v>
      </c>
      <c r="BI61" s="30">
        <f>F61*AP61</f>
        <v>0</v>
      </c>
      <c r="BJ61" s="30">
        <f>F61*G61</f>
        <v>0</v>
      </c>
      <c r="BK61" s="30"/>
      <c r="BL61" s="30">
        <v>64</v>
      </c>
      <c r="BW61" s="30">
        <v>12</v>
      </c>
      <c r="BX61" s="4" t="s">
        <v>188</v>
      </c>
    </row>
    <row r="62" spans="1:76" x14ac:dyDescent="0.25">
      <c r="A62" s="32" t="s">
        <v>189</v>
      </c>
      <c r="B62" s="33" t="s">
        <v>190</v>
      </c>
      <c r="C62" s="125" t="s">
        <v>191</v>
      </c>
      <c r="D62" s="126"/>
      <c r="E62" s="33" t="s">
        <v>56</v>
      </c>
      <c r="F62" s="34">
        <v>4</v>
      </c>
      <c r="G62" s="35">
        <v>0</v>
      </c>
      <c r="H62" s="34">
        <f>F62*AO62</f>
        <v>0</v>
      </c>
      <c r="I62" s="34">
        <f>F62*AP62</f>
        <v>0</v>
      </c>
      <c r="J62" s="34">
        <f>F62*G62</f>
        <v>0</v>
      </c>
      <c r="K62" s="36" t="s">
        <v>164</v>
      </c>
      <c r="Z62" s="30">
        <f>IF(AQ62="5",BJ62,0)</f>
        <v>0</v>
      </c>
      <c r="AB62" s="30">
        <f>IF(AQ62="1",BH62,0)</f>
        <v>0</v>
      </c>
      <c r="AC62" s="30">
        <f>IF(AQ62="1",BI62,0)</f>
        <v>0</v>
      </c>
      <c r="AD62" s="30">
        <f>IF(AQ62="7",BH62,0)</f>
        <v>0</v>
      </c>
      <c r="AE62" s="30">
        <f>IF(AQ62="7",BI62,0)</f>
        <v>0</v>
      </c>
      <c r="AF62" s="30">
        <f>IF(AQ62="2",BH62,0)</f>
        <v>0</v>
      </c>
      <c r="AG62" s="30">
        <f>IF(AQ62="2",BI62,0)</f>
        <v>0</v>
      </c>
      <c r="AH62" s="30">
        <f>IF(AQ62="0",BJ62,0)</f>
        <v>0</v>
      </c>
      <c r="AI62" s="10" t="s">
        <v>50</v>
      </c>
      <c r="AJ62" s="30">
        <f>IF(AN62=0,J62,0)</f>
        <v>0</v>
      </c>
      <c r="AK62" s="30">
        <f>IF(AN62=12,J62,0)</f>
        <v>0</v>
      </c>
      <c r="AL62" s="30">
        <f>IF(AN62=21,J62,0)</f>
        <v>0</v>
      </c>
      <c r="AN62" s="30">
        <v>12</v>
      </c>
      <c r="AO62" s="30">
        <f>G62*0</f>
        <v>0</v>
      </c>
      <c r="AP62" s="30">
        <f>G62*(1-0)</f>
        <v>0</v>
      </c>
      <c r="AQ62" s="31" t="s">
        <v>53</v>
      </c>
      <c r="AV62" s="30">
        <f>AW62+AX62</f>
        <v>0</v>
      </c>
      <c r="AW62" s="30">
        <f>F62*AO62</f>
        <v>0</v>
      </c>
      <c r="AX62" s="30">
        <f>F62*AP62</f>
        <v>0</v>
      </c>
      <c r="AY62" s="31" t="s">
        <v>181</v>
      </c>
      <c r="AZ62" s="31" t="s">
        <v>121</v>
      </c>
      <c r="BA62" s="10" t="s">
        <v>60</v>
      </c>
      <c r="BC62" s="30">
        <f>AW62+AX62</f>
        <v>0</v>
      </c>
      <c r="BD62" s="30">
        <f>G62/(100-BE62)*100</f>
        <v>0</v>
      </c>
      <c r="BE62" s="30">
        <v>0</v>
      </c>
      <c r="BF62" s="30">
        <f>62</f>
        <v>62</v>
      </c>
      <c r="BH62" s="30">
        <f>F62*AO62</f>
        <v>0</v>
      </c>
      <c r="BI62" s="30">
        <f>F62*AP62</f>
        <v>0</v>
      </c>
      <c r="BJ62" s="30">
        <f>F62*G62</f>
        <v>0</v>
      </c>
      <c r="BK62" s="30"/>
      <c r="BL62" s="30">
        <v>64</v>
      </c>
      <c r="BW62" s="30">
        <v>12</v>
      </c>
      <c r="BX62" s="4" t="s">
        <v>191</v>
      </c>
    </row>
    <row r="63" spans="1:76" x14ac:dyDescent="0.25">
      <c r="A63" s="32" t="s">
        <v>192</v>
      </c>
      <c r="B63" s="33" t="s">
        <v>113</v>
      </c>
      <c r="C63" s="125" t="s">
        <v>114</v>
      </c>
      <c r="D63" s="126"/>
      <c r="E63" s="33" t="s">
        <v>90</v>
      </c>
      <c r="F63" s="34">
        <v>0.1203</v>
      </c>
      <c r="G63" s="35">
        <v>0</v>
      </c>
      <c r="H63" s="34">
        <f>F63*AO63</f>
        <v>0</v>
      </c>
      <c r="I63" s="34">
        <f>F63*AP63</f>
        <v>0</v>
      </c>
      <c r="J63" s="34">
        <f>F63*G63</f>
        <v>0</v>
      </c>
      <c r="K63" s="36" t="s">
        <v>57</v>
      </c>
      <c r="Z63" s="30">
        <f>IF(AQ63="5",BJ63,0)</f>
        <v>0</v>
      </c>
      <c r="AB63" s="30">
        <f>IF(AQ63="1",BH63,0)</f>
        <v>0</v>
      </c>
      <c r="AC63" s="30">
        <f>IF(AQ63="1",BI63,0)</f>
        <v>0</v>
      </c>
      <c r="AD63" s="30">
        <f>IF(AQ63="7",BH63,0)</f>
        <v>0</v>
      </c>
      <c r="AE63" s="30">
        <f>IF(AQ63="7",BI63,0)</f>
        <v>0</v>
      </c>
      <c r="AF63" s="30">
        <f>IF(AQ63="2",BH63,0)</f>
        <v>0</v>
      </c>
      <c r="AG63" s="30">
        <f>IF(AQ63="2",BI63,0)</f>
        <v>0</v>
      </c>
      <c r="AH63" s="30">
        <f>IF(AQ63="0",BJ63,0)</f>
        <v>0</v>
      </c>
      <c r="AI63" s="10" t="s">
        <v>50</v>
      </c>
      <c r="AJ63" s="30">
        <f>IF(AN63=0,J63,0)</f>
        <v>0</v>
      </c>
      <c r="AK63" s="30">
        <f>IF(AN63=12,J63,0)</f>
        <v>0</v>
      </c>
      <c r="AL63" s="30">
        <f>IF(AN63=21,J63,0)</f>
        <v>0</v>
      </c>
      <c r="AN63" s="30">
        <v>12</v>
      </c>
      <c r="AO63" s="30">
        <f>G63*0</f>
        <v>0</v>
      </c>
      <c r="AP63" s="30">
        <f>G63*(1-0)</f>
        <v>0</v>
      </c>
      <c r="AQ63" s="31" t="s">
        <v>74</v>
      </c>
      <c r="AV63" s="30">
        <f>AW63+AX63</f>
        <v>0</v>
      </c>
      <c r="AW63" s="30">
        <f>F63*AO63</f>
        <v>0</v>
      </c>
      <c r="AX63" s="30">
        <f>F63*AP63</f>
        <v>0</v>
      </c>
      <c r="AY63" s="31" t="s">
        <v>181</v>
      </c>
      <c r="AZ63" s="31" t="s">
        <v>121</v>
      </c>
      <c r="BA63" s="10" t="s">
        <v>60</v>
      </c>
      <c r="BC63" s="30">
        <f>AW63+AX63</f>
        <v>0</v>
      </c>
      <c r="BD63" s="30">
        <f>G63/(100-BE63)*100</f>
        <v>0</v>
      </c>
      <c r="BE63" s="30">
        <v>0</v>
      </c>
      <c r="BF63" s="30">
        <f>63</f>
        <v>63</v>
      </c>
      <c r="BH63" s="30">
        <f>F63*AO63</f>
        <v>0</v>
      </c>
      <c r="BI63" s="30">
        <f>F63*AP63</f>
        <v>0</v>
      </c>
      <c r="BJ63" s="30">
        <f>F63*G63</f>
        <v>0</v>
      </c>
      <c r="BK63" s="30"/>
      <c r="BL63" s="30">
        <v>64</v>
      </c>
      <c r="BW63" s="30">
        <v>12</v>
      </c>
      <c r="BX63" s="4" t="s">
        <v>114</v>
      </c>
    </row>
    <row r="64" spans="1:76" x14ac:dyDescent="0.25">
      <c r="A64" s="39" t="s">
        <v>50</v>
      </c>
      <c r="B64" s="40" t="s">
        <v>193</v>
      </c>
      <c r="C64" s="131" t="s">
        <v>194</v>
      </c>
      <c r="D64" s="132"/>
      <c r="E64" s="41" t="s">
        <v>4</v>
      </c>
      <c r="F64" s="41" t="s">
        <v>4</v>
      </c>
      <c r="G64" s="42" t="s">
        <v>4</v>
      </c>
      <c r="H64" s="43">
        <f>SUM(H65:H72)</f>
        <v>0</v>
      </c>
      <c r="I64" s="43">
        <f>SUM(I65:I72)</f>
        <v>0</v>
      </c>
      <c r="J64" s="43">
        <f>SUM(J65:J72)</f>
        <v>0</v>
      </c>
      <c r="K64" s="44" t="s">
        <v>50</v>
      </c>
      <c r="AI64" s="10" t="s">
        <v>50</v>
      </c>
      <c r="AS64" s="1">
        <f>SUM(AJ65:AJ72)</f>
        <v>0</v>
      </c>
      <c r="AT64" s="1">
        <f>SUM(AK65:AK72)</f>
        <v>0</v>
      </c>
      <c r="AU64" s="1">
        <f>SUM(AL65:AL72)</f>
        <v>0</v>
      </c>
    </row>
    <row r="65" spans="1:76" x14ac:dyDescent="0.25">
      <c r="A65" s="25" t="s">
        <v>195</v>
      </c>
      <c r="B65" s="26" t="s">
        <v>196</v>
      </c>
      <c r="C65" s="123" t="s">
        <v>197</v>
      </c>
      <c r="D65" s="124"/>
      <c r="E65" s="26" t="s">
        <v>80</v>
      </c>
      <c r="F65" s="27">
        <v>16</v>
      </c>
      <c r="G65" s="28">
        <v>0</v>
      </c>
      <c r="H65" s="27">
        <f t="shared" ref="H65:H72" si="66">F65*AO65</f>
        <v>0</v>
      </c>
      <c r="I65" s="27">
        <f t="shared" ref="I65:I72" si="67">F65*AP65</f>
        <v>0</v>
      </c>
      <c r="J65" s="27">
        <f t="shared" ref="J65:J72" si="68">F65*G65</f>
        <v>0</v>
      </c>
      <c r="K65" s="29" t="s">
        <v>57</v>
      </c>
      <c r="Z65" s="30">
        <f t="shared" ref="Z65:Z72" si="69">IF(AQ65="5",BJ65,0)</f>
        <v>0</v>
      </c>
      <c r="AB65" s="30">
        <f t="shared" ref="AB65:AB72" si="70">IF(AQ65="1",BH65,0)</f>
        <v>0</v>
      </c>
      <c r="AC65" s="30">
        <f t="shared" ref="AC65:AC72" si="71">IF(AQ65="1",BI65,0)</f>
        <v>0</v>
      </c>
      <c r="AD65" s="30">
        <f t="shared" ref="AD65:AD72" si="72">IF(AQ65="7",BH65,0)</f>
        <v>0</v>
      </c>
      <c r="AE65" s="30">
        <f t="shared" ref="AE65:AE72" si="73">IF(AQ65="7",BI65,0)</f>
        <v>0</v>
      </c>
      <c r="AF65" s="30">
        <f t="shared" ref="AF65:AF72" si="74">IF(AQ65="2",BH65,0)</f>
        <v>0</v>
      </c>
      <c r="AG65" s="30">
        <f t="shared" ref="AG65:AG72" si="75">IF(AQ65="2",BI65,0)</f>
        <v>0</v>
      </c>
      <c r="AH65" s="30">
        <f t="shared" ref="AH65:AH72" si="76">IF(AQ65="0",BJ65,0)</f>
        <v>0</v>
      </c>
      <c r="AI65" s="10" t="s">
        <v>50</v>
      </c>
      <c r="AJ65" s="30">
        <f t="shared" ref="AJ65:AJ72" si="77">IF(AN65=0,J65,0)</f>
        <v>0</v>
      </c>
      <c r="AK65" s="30">
        <f t="shared" ref="AK65:AK72" si="78">IF(AN65=12,J65,0)</f>
        <v>0</v>
      </c>
      <c r="AL65" s="30">
        <f t="shared" ref="AL65:AL72" si="79">IF(AN65=21,J65,0)</f>
        <v>0</v>
      </c>
      <c r="AN65" s="30">
        <v>12</v>
      </c>
      <c r="AO65" s="30">
        <f>G65*0.340586899</f>
        <v>0</v>
      </c>
      <c r="AP65" s="30">
        <f>G65*(1-0.340586899)</f>
        <v>0</v>
      </c>
      <c r="AQ65" s="31" t="s">
        <v>81</v>
      </c>
      <c r="AV65" s="30">
        <f t="shared" ref="AV65:AV72" si="80">AW65+AX65</f>
        <v>0</v>
      </c>
      <c r="AW65" s="30">
        <f t="shared" ref="AW65:AW72" si="81">F65*AO65</f>
        <v>0</v>
      </c>
      <c r="AX65" s="30">
        <f t="shared" ref="AX65:AX72" si="82">F65*AP65</f>
        <v>0</v>
      </c>
      <c r="AY65" s="31" t="s">
        <v>198</v>
      </c>
      <c r="AZ65" s="31" t="s">
        <v>199</v>
      </c>
      <c r="BA65" s="10" t="s">
        <v>60</v>
      </c>
      <c r="BC65" s="30">
        <f t="shared" ref="BC65:BC72" si="83">AW65+AX65</f>
        <v>0</v>
      </c>
      <c r="BD65" s="30">
        <f t="shared" ref="BD65:BD72" si="84">G65/(100-BE65)*100</f>
        <v>0</v>
      </c>
      <c r="BE65" s="30">
        <v>0</v>
      </c>
      <c r="BF65" s="30">
        <f>65</f>
        <v>65</v>
      </c>
      <c r="BH65" s="30">
        <f t="shared" ref="BH65:BH72" si="85">F65*AO65</f>
        <v>0</v>
      </c>
      <c r="BI65" s="30">
        <f t="shared" ref="BI65:BI72" si="86">F65*AP65</f>
        <v>0</v>
      </c>
      <c r="BJ65" s="30">
        <f t="shared" ref="BJ65:BJ72" si="87">F65*G65</f>
        <v>0</v>
      </c>
      <c r="BK65" s="30"/>
      <c r="BL65" s="30">
        <v>721</v>
      </c>
      <c r="BW65" s="30">
        <v>12</v>
      </c>
      <c r="BX65" s="4" t="s">
        <v>197</v>
      </c>
    </row>
    <row r="66" spans="1:76" x14ac:dyDescent="0.25">
      <c r="A66" s="32" t="s">
        <v>200</v>
      </c>
      <c r="B66" s="33" t="s">
        <v>201</v>
      </c>
      <c r="C66" s="125" t="s">
        <v>202</v>
      </c>
      <c r="D66" s="126"/>
      <c r="E66" s="33" t="s">
        <v>80</v>
      </c>
      <c r="F66" s="34">
        <v>1</v>
      </c>
      <c r="G66" s="35">
        <v>0</v>
      </c>
      <c r="H66" s="34">
        <f t="shared" si="66"/>
        <v>0</v>
      </c>
      <c r="I66" s="34">
        <f t="shared" si="67"/>
        <v>0</v>
      </c>
      <c r="J66" s="34">
        <f t="shared" si="68"/>
        <v>0</v>
      </c>
      <c r="K66" s="36" t="s">
        <v>57</v>
      </c>
      <c r="Z66" s="30">
        <f t="shared" si="69"/>
        <v>0</v>
      </c>
      <c r="AB66" s="30">
        <f t="shared" si="70"/>
        <v>0</v>
      </c>
      <c r="AC66" s="30">
        <f t="shared" si="71"/>
        <v>0</v>
      </c>
      <c r="AD66" s="30">
        <f t="shared" si="72"/>
        <v>0</v>
      </c>
      <c r="AE66" s="30">
        <f t="shared" si="73"/>
        <v>0</v>
      </c>
      <c r="AF66" s="30">
        <f t="shared" si="74"/>
        <v>0</v>
      </c>
      <c r="AG66" s="30">
        <f t="shared" si="75"/>
        <v>0</v>
      </c>
      <c r="AH66" s="30">
        <f t="shared" si="76"/>
        <v>0</v>
      </c>
      <c r="AI66" s="10" t="s">
        <v>50</v>
      </c>
      <c r="AJ66" s="30">
        <f t="shared" si="77"/>
        <v>0</v>
      </c>
      <c r="AK66" s="30">
        <f t="shared" si="78"/>
        <v>0</v>
      </c>
      <c r="AL66" s="30">
        <f t="shared" si="79"/>
        <v>0</v>
      </c>
      <c r="AN66" s="30">
        <v>12</v>
      </c>
      <c r="AO66" s="30">
        <f>G66*0.317436677</f>
        <v>0</v>
      </c>
      <c r="AP66" s="30">
        <f>G66*(1-0.317436677)</f>
        <v>0</v>
      </c>
      <c r="AQ66" s="31" t="s">
        <v>81</v>
      </c>
      <c r="AV66" s="30">
        <f t="shared" si="80"/>
        <v>0</v>
      </c>
      <c r="AW66" s="30">
        <f t="shared" si="81"/>
        <v>0</v>
      </c>
      <c r="AX66" s="30">
        <f t="shared" si="82"/>
        <v>0</v>
      </c>
      <c r="AY66" s="31" t="s">
        <v>198</v>
      </c>
      <c r="AZ66" s="31" t="s">
        <v>199</v>
      </c>
      <c r="BA66" s="10" t="s">
        <v>60</v>
      </c>
      <c r="BC66" s="30">
        <f t="shared" si="83"/>
        <v>0</v>
      </c>
      <c r="BD66" s="30">
        <f t="shared" si="84"/>
        <v>0</v>
      </c>
      <c r="BE66" s="30">
        <v>0</v>
      </c>
      <c r="BF66" s="30">
        <f>66</f>
        <v>66</v>
      </c>
      <c r="BH66" s="30">
        <f t="shared" si="85"/>
        <v>0</v>
      </c>
      <c r="BI66" s="30">
        <f t="shared" si="86"/>
        <v>0</v>
      </c>
      <c r="BJ66" s="30">
        <f t="shared" si="87"/>
        <v>0</v>
      </c>
      <c r="BK66" s="30"/>
      <c r="BL66" s="30">
        <v>721</v>
      </c>
      <c r="BW66" s="30">
        <v>12</v>
      </c>
      <c r="BX66" s="4" t="s">
        <v>202</v>
      </c>
    </row>
    <row r="67" spans="1:76" x14ac:dyDescent="0.25">
      <c r="A67" s="32" t="s">
        <v>203</v>
      </c>
      <c r="B67" s="33" t="s">
        <v>204</v>
      </c>
      <c r="C67" s="125" t="s">
        <v>205</v>
      </c>
      <c r="D67" s="126"/>
      <c r="E67" s="33" t="s">
        <v>56</v>
      </c>
      <c r="F67" s="34">
        <v>8</v>
      </c>
      <c r="G67" s="35">
        <v>0</v>
      </c>
      <c r="H67" s="34">
        <f t="shared" si="66"/>
        <v>0</v>
      </c>
      <c r="I67" s="34">
        <f t="shared" si="67"/>
        <v>0</v>
      </c>
      <c r="J67" s="34">
        <f t="shared" si="68"/>
        <v>0</v>
      </c>
      <c r="K67" s="36" t="s">
        <v>57</v>
      </c>
      <c r="Z67" s="30">
        <f t="shared" si="69"/>
        <v>0</v>
      </c>
      <c r="AB67" s="30">
        <f t="shared" si="70"/>
        <v>0</v>
      </c>
      <c r="AC67" s="30">
        <f t="shared" si="71"/>
        <v>0</v>
      </c>
      <c r="AD67" s="30">
        <f t="shared" si="72"/>
        <v>0</v>
      </c>
      <c r="AE67" s="30">
        <f t="shared" si="73"/>
        <v>0</v>
      </c>
      <c r="AF67" s="30">
        <f t="shared" si="74"/>
        <v>0</v>
      </c>
      <c r="AG67" s="30">
        <f t="shared" si="75"/>
        <v>0</v>
      </c>
      <c r="AH67" s="30">
        <f t="shared" si="76"/>
        <v>0</v>
      </c>
      <c r="AI67" s="10" t="s">
        <v>50</v>
      </c>
      <c r="AJ67" s="30">
        <f t="shared" si="77"/>
        <v>0</v>
      </c>
      <c r="AK67" s="30">
        <f t="shared" si="78"/>
        <v>0</v>
      </c>
      <c r="AL67" s="30">
        <f t="shared" si="79"/>
        <v>0</v>
      </c>
      <c r="AN67" s="30">
        <v>12</v>
      </c>
      <c r="AO67" s="30">
        <f>G67*0</f>
        <v>0</v>
      </c>
      <c r="AP67" s="30">
        <f>G67*(1-0)</f>
        <v>0</v>
      </c>
      <c r="AQ67" s="31" t="s">
        <v>81</v>
      </c>
      <c r="AV67" s="30">
        <f t="shared" si="80"/>
        <v>0</v>
      </c>
      <c r="AW67" s="30">
        <f t="shared" si="81"/>
        <v>0</v>
      </c>
      <c r="AX67" s="30">
        <f t="shared" si="82"/>
        <v>0</v>
      </c>
      <c r="AY67" s="31" t="s">
        <v>198</v>
      </c>
      <c r="AZ67" s="31" t="s">
        <v>199</v>
      </c>
      <c r="BA67" s="10" t="s">
        <v>60</v>
      </c>
      <c r="BC67" s="30">
        <f t="shared" si="83"/>
        <v>0</v>
      </c>
      <c r="BD67" s="30">
        <f t="shared" si="84"/>
        <v>0</v>
      </c>
      <c r="BE67" s="30">
        <v>0</v>
      </c>
      <c r="BF67" s="30">
        <f>67</f>
        <v>67</v>
      </c>
      <c r="BH67" s="30">
        <f t="shared" si="85"/>
        <v>0</v>
      </c>
      <c r="BI67" s="30">
        <f t="shared" si="86"/>
        <v>0</v>
      </c>
      <c r="BJ67" s="30">
        <f t="shared" si="87"/>
        <v>0</v>
      </c>
      <c r="BK67" s="30"/>
      <c r="BL67" s="30">
        <v>721</v>
      </c>
      <c r="BW67" s="30">
        <v>12</v>
      </c>
      <c r="BX67" s="4" t="s">
        <v>205</v>
      </c>
    </row>
    <row r="68" spans="1:76" x14ac:dyDescent="0.25">
      <c r="A68" s="32" t="s">
        <v>206</v>
      </c>
      <c r="B68" s="33" t="s">
        <v>207</v>
      </c>
      <c r="C68" s="125" t="s">
        <v>208</v>
      </c>
      <c r="D68" s="126"/>
      <c r="E68" s="33" t="s">
        <v>56</v>
      </c>
      <c r="F68" s="34">
        <v>1</v>
      </c>
      <c r="G68" s="35">
        <v>0</v>
      </c>
      <c r="H68" s="34">
        <f t="shared" si="66"/>
        <v>0</v>
      </c>
      <c r="I68" s="34">
        <f t="shared" si="67"/>
        <v>0</v>
      </c>
      <c r="J68" s="34">
        <f t="shared" si="68"/>
        <v>0</v>
      </c>
      <c r="K68" s="36" t="s">
        <v>57</v>
      </c>
      <c r="Z68" s="30">
        <f t="shared" si="69"/>
        <v>0</v>
      </c>
      <c r="AB68" s="30">
        <f t="shared" si="70"/>
        <v>0</v>
      </c>
      <c r="AC68" s="30">
        <f t="shared" si="71"/>
        <v>0</v>
      </c>
      <c r="AD68" s="30">
        <f t="shared" si="72"/>
        <v>0</v>
      </c>
      <c r="AE68" s="30">
        <f t="shared" si="73"/>
        <v>0</v>
      </c>
      <c r="AF68" s="30">
        <f t="shared" si="74"/>
        <v>0</v>
      </c>
      <c r="AG68" s="30">
        <f t="shared" si="75"/>
        <v>0</v>
      </c>
      <c r="AH68" s="30">
        <f t="shared" si="76"/>
        <v>0</v>
      </c>
      <c r="AI68" s="10" t="s">
        <v>50</v>
      </c>
      <c r="AJ68" s="30">
        <f t="shared" si="77"/>
        <v>0</v>
      </c>
      <c r="AK68" s="30">
        <f t="shared" si="78"/>
        <v>0</v>
      </c>
      <c r="AL68" s="30">
        <f t="shared" si="79"/>
        <v>0</v>
      </c>
      <c r="AN68" s="30">
        <v>12</v>
      </c>
      <c r="AO68" s="30">
        <f>G68*0</f>
        <v>0</v>
      </c>
      <c r="AP68" s="30">
        <f>G68*(1-0)</f>
        <v>0</v>
      </c>
      <c r="AQ68" s="31" t="s">
        <v>81</v>
      </c>
      <c r="AV68" s="30">
        <f t="shared" si="80"/>
        <v>0</v>
      </c>
      <c r="AW68" s="30">
        <f t="shared" si="81"/>
        <v>0</v>
      </c>
      <c r="AX68" s="30">
        <f t="shared" si="82"/>
        <v>0</v>
      </c>
      <c r="AY68" s="31" t="s">
        <v>198</v>
      </c>
      <c r="AZ68" s="31" t="s">
        <v>199</v>
      </c>
      <c r="BA68" s="10" t="s">
        <v>60</v>
      </c>
      <c r="BC68" s="30">
        <f t="shared" si="83"/>
        <v>0</v>
      </c>
      <c r="BD68" s="30">
        <f t="shared" si="84"/>
        <v>0</v>
      </c>
      <c r="BE68" s="30">
        <v>0</v>
      </c>
      <c r="BF68" s="30">
        <f>68</f>
        <v>68</v>
      </c>
      <c r="BH68" s="30">
        <f t="shared" si="85"/>
        <v>0</v>
      </c>
      <c r="BI68" s="30">
        <f t="shared" si="86"/>
        <v>0</v>
      </c>
      <c r="BJ68" s="30">
        <f t="shared" si="87"/>
        <v>0</v>
      </c>
      <c r="BK68" s="30"/>
      <c r="BL68" s="30">
        <v>721</v>
      </c>
      <c r="BW68" s="30">
        <v>12</v>
      </c>
      <c r="BX68" s="4" t="s">
        <v>208</v>
      </c>
    </row>
    <row r="69" spans="1:76" ht="25.5" x14ac:dyDescent="0.25">
      <c r="A69" s="32" t="s">
        <v>209</v>
      </c>
      <c r="B69" s="33" t="s">
        <v>210</v>
      </c>
      <c r="C69" s="125" t="s">
        <v>211</v>
      </c>
      <c r="D69" s="126"/>
      <c r="E69" s="33" t="s">
        <v>56</v>
      </c>
      <c r="F69" s="34">
        <v>1</v>
      </c>
      <c r="G69" s="35">
        <v>0</v>
      </c>
      <c r="H69" s="34">
        <f t="shared" si="66"/>
        <v>0</v>
      </c>
      <c r="I69" s="34">
        <f t="shared" si="67"/>
        <v>0</v>
      </c>
      <c r="J69" s="34">
        <f t="shared" si="68"/>
        <v>0</v>
      </c>
      <c r="K69" s="36" t="s">
        <v>57</v>
      </c>
      <c r="Z69" s="30">
        <f t="shared" si="69"/>
        <v>0</v>
      </c>
      <c r="AB69" s="30">
        <f t="shared" si="70"/>
        <v>0</v>
      </c>
      <c r="AC69" s="30">
        <f t="shared" si="71"/>
        <v>0</v>
      </c>
      <c r="AD69" s="30">
        <f t="shared" si="72"/>
        <v>0</v>
      </c>
      <c r="AE69" s="30">
        <f t="shared" si="73"/>
        <v>0</v>
      </c>
      <c r="AF69" s="30">
        <f t="shared" si="74"/>
        <v>0</v>
      </c>
      <c r="AG69" s="30">
        <f t="shared" si="75"/>
        <v>0</v>
      </c>
      <c r="AH69" s="30">
        <f t="shared" si="76"/>
        <v>0</v>
      </c>
      <c r="AI69" s="10" t="s">
        <v>50</v>
      </c>
      <c r="AJ69" s="30">
        <f t="shared" si="77"/>
        <v>0</v>
      </c>
      <c r="AK69" s="30">
        <f t="shared" si="78"/>
        <v>0</v>
      </c>
      <c r="AL69" s="30">
        <f t="shared" si="79"/>
        <v>0</v>
      </c>
      <c r="AN69" s="30">
        <v>12</v>
      </c>
      <c r="AO69" s="30">
        <f>G69*0.234419254</f>
        <v>0</v>
      </c>
      <c r="AP69" s="30">
        <f>G69*(1-0.234419254)</f>
        <v>0</v>
      </c>
      <c r="AQ69" s="31" t="s">
        <v>81</v>
      </c>
      <c r="AV69" s="30">
        <f t="shared" si="80"/>
        <v>0</v>
      </c>
      <c r="AW69" s="30">
        <f t="shared" si="81"/>
        <v>0</v>
      </c>
      <c r="AX69" s="30">
        <f t="shared" si="82"/>
        <v>0</v>
      </c>
      <c r="AY69" s="31" t="s">
        <v>198</v>
      </c>
      <c r="AZ69" s="31" t="s">
        <v>199</v>
      </c>
      <c r="BA69" s="10" t="s">
        <v>60</v>
      </c>
      <c r="BC69" s="30">
        <f t="shared" si="83"/>
        <v>0</v>
      </c>
      <c r="BD69" s="30">
        <f t="shared" si="84"/>
        <v>0</v>
      </c>
      <c r="BE69" s="30">
        <v>0</v>
      </c>
      <c r="BF69" s="30">
        <f>69</f>
        <v>69</v>
      </c>
      <c r="BH69" s="30">
        <f t="shared" si="85"/>
        <v>0</v>
      </c>
      <c r="BI69" s="30">
        <f t="shared" si="86"/>
        <v>0</v>
      </c>
      <c r="BJ69" s="30">
        <f t="shared" si="87"/>
        <v>0</v>
      </c>
      <c r="BK69" s="30"/>
      <c r="BL69" s="30">
        <v>721</v>
      </c>
      <c r="BW69" s="30">
        <v>12</v>
      </c>
      <c r="BX69" s="4" t="s">
        <v>211</v>
      </c>
    </row>
    <row r="70" spans="1:76" ht="25.5" x14ac:dyDescent="0.25">
      <c r="A70" s="32" t="s">
        <v>212</v>
      </c>
      <c r="B70" s="33" t="s">
        <v>213</v>
      </c>
      <c r="C70" s="125" t="s">
        <v>214</v>
      </c>
      <c r="D70" s="126"/>
      <c r="E70" s="33" t="s">
        <v>56</v>
      </c>
      <c r="F70" s="34">
        <v>1</v>
      </c>
      <c r="G70" s="35">
        <v>0</v>
      </c>
      <c r="H70" s="34">
        <f t="shared" si="66"/>
        <v>0</v>
      </c>
      <c r="I70" s="34">
        <f t="shared" si="67"/>
        <v>0</v>
      </c>
      <c r="J70" s="34">
        <f t="shared" si="68"/>
        <v>0</v>
      </c>
      <c r="K70" s="36" t="s">
        <v>57</v>
      </c>
      <c r="Z70" s="30">
        <f t="shared" si="69"/>
        <v>0</v>
      </c>
      <c r="AB70" s="30">
        <f t="shared" si="70"/>
        <v>0</v>
      </c>
      <c r="AC70" s="30">
        <f t="shared" si="71"/>
        <v>0</v>
      </c>
      <c r="AD70" s="30">
        <f t="shared" si="72"/>
        <v>0</v>
      </c>
      <c r="AE70" s="30">
        <f t="shared" si="73"/>
        <v>0</v>
      </c>
      <c r="AF70" s="30">
        <f t="shared" si="74"/>
        <v>0</v>
      </c>
      <c r="AG70" s="30">
        <f t="shared" si="75"/>
        <v>0</v>
      </c>
      <c r="AH70" s="30">
        <f t="shared" si="76"/>
        <v>0</v>
      </c>
      <c r="AI70" s="10" t="s">
        <v>50</v>
      </c>
      <c r="AJ70" s="30">
        <f t="shared" si="77"/>
        <v>0</v>
      </c>
      <c r="AK70" s="30">
        <f t="shared" si="78"/>
        <v>0</v>
      </c>
      <c r="AL70" s="30">
        <f t="shared" si="79"/>
        <v>0</v>
      </c>
      <c r="AN70" s="30">
        <v>12</v>
      </c>
      <c r="AO70" s="30">
        <f>G70*0.281444992</f>
        <v>0</v>
      </c>
      <c r="AP70" s="30">
        <f>G70*(1-0.281444992)</f>
        <v>0</v>
      </c>
      <c r="AQ70" s="31" t="s">
        <v>81</v>
      </c>
      <c r="AV70" s="30">
        <f t="shared" si="80"/>
        <v>0</v>
      </c>
      <c r="AW70" s="30">
        <f t="shared" si="81"/>
        <v>0</v>
      </c>
      <c r="AX70" s="30">
        <f t="shared" si="82"/>
        <v>0</v>
      </c>
      <c r="AY70" s="31" t="s">
        <v>198</v>
      </c>
      <c r="AZ70" s="31" t="s">
        <v>199</v>
      </c>
      <c r="BA70" s="10" t="s">
        <v>60</v>
      </c>
      <c r="BC70" s="30">
        <f t="shared" si="83"/>
        <v>0</v>
      </c>
      <c r="BD70" s="30">
        <f t="shared" si="84"/>
        <v>0</v>
      </c>
      <c r="BE70" s="30">
        <v>0</v>
      </c>
      <c r="BF70" s="30">
        <f>70</f>
        <v>70</v>
      </c>
      <c r="BH70" s="30">
        <f t="shared" si="85"/>
        <v>0</v>
      </c>
      <c r="BI70" s="30">
        <f t="shared" si="86"/>
        <v>0</v>
      </c>
      <c r="BJ70" s="30">
        <f t="shared" si="87"/>
        <v>0</v>
      </c>
      <c r="BK70" s="30"/>
      <c r="BL70" s="30">
        <v>721</v>
      </c>
      <c r="BW70" s="30">
        <v>12</v>
      </c>
      <c r="BX70" s="4" t="s">
        <v>214</v>
      </c>
    </row>
    <row r="71" spans="1:76" x14ac:dyDescent="0.25">
      <c r="A71" s="32" t="s">
        <v>215</v>
      </c>
      <c r="B71" s="33" t="s">
        <v>216</v>
      </c>
      <c r="C71" s="125" t="s">
        <v>217</v>
      </c>
      <c r="D71" s="126"/>
      <c r="E71" s="33" t="s">
        <v>80</v>
      </c>
      <c r="F71" s="34">
        <v>17</v>
      </c>
      <c r="G71" s="35">
        <v>0</v>
      </c>
      <c r="H71" s="34">
        <f t="shared" si="66"/>
        <v>0</v>
      </c>
      <c r="I71" s="34">
        <f t="shared" si="67"/>
        <v>0</v>
      </c>
      <c r="J71" s="34">
        <f t="shared" si="68"/>
        <v>0</v>
      </c>
      <c r="K71" s="36" t="s">
        <v>57</v>
      </c>
      <c r="Z71" s="30">
        <f t="shared" si="69"/>
        <v>0</v>
      </c>
      <c r="AB71" s="30">
        <f t="shared" si="70"/>
        <v>0</v>
      </c>
      <c r="AC71" s="30">
        <f t="shared" si="71"/>
        <v>0</v>
      </c>
      <c r="AD71" s="30">
        <f t="shared" si="72"/>
        <v>0</v>
      </c>
      <c r="AE71" s="30">
        <f t="shared" si="73"/>
        <v>0</v>
      </c>
      <c r="AF71" s="30">
        <f t="shared" si="74"/>
        <v>0</v>
      </c>
      <c r="AG71" s="30">
        <f t="shared" si="75"/>
        <v>0</v>
      </c>
      <c r="AH71" s="30">
        <f t="shared" si="76"/>
        <v>0</v>
      </c>
      <c r="AI71" s="10" t="s">
        <v>50</v>
      </c>
      <c r="AJ71" s="30">
        <f t="shared" si="77"/>
        <v>0</v>
      </c>
      <c r="AK71" s="30">
        <f t="shared" si="78"/>
        <v>0</v>
      </c>
      <c r="AL71" s="30">
        <f t="shared" si="79"/>
        <v>0</v>
      </c>
      <c r="AN71" s="30">
        <v>12</v>
      </c>
      <c r="AO71" s="30">
        <f>G71*0.029824561</f>
        <v>0</v>
      </c>
      <c r="AP71" s="30">
        <f>G71*(1-0.029824561)</f>
        <v>0</v>
      </c>
      <c r="AQ71" s="31" t="s">
        <v>81</v>
      </c>
      <c r="AV71" s="30">
        <f t="shared" si="80"/>
        <v>0</v>
      </c>
      <c r="AW71" s="30">
        <f t="shared" si="81"/>
        <v>0</v>
      </c>
      <c r="AX71" s="30">
        <f t="shared" si="82"/>
        <v>0</v>
      </c>
      <c r="AY71" s="31" t="s">
        <v>198</v>
      </c>
      <c r="AZ71" s="31" t="s">
        <v>199</v>
      </c>
      <c r="BA71" s="10" t="s">
        <v>60</v>
      </c>
      <c r="BC71" s="30">
        <f t="shared" si="83"/>
        <v>0</v>
      </c>
      <c r="BD71" s="30">
        <f t="shared" si="84"/>
        <v>0</v>
      </c>
      <c r="BE71" s="30">
        <v>0</v>
      </c>
      <c r="BF71" s="30">
        <f>71</f>
        <v>71</v>
      </c>
      <c r="BH71" s="30">
        <f t="shared" si="85"/>
        <v>0</v>
      </c>
      <c r="BI71" s="30">
        <f t="shared" si="86"/>
        <v>0</v>
      </c>
      <c r="BJ71" s="30">
        <f t="shared" si="87"/>
        <v>0</v>
      </c>
      <c r="BK71" s="30"/>
      <c r="BL71" s="30">
        <v>721</v>
      </c>
      <c r="BW71" s="30">
        <v>12</v>
      </c>
      <c r="BX71" s="4" t="s">
        <v>217</v>
      </c>
    </row>
    <row r="72" spans="1:76" x14ac:dyDescent="0.25">
      <c r="A72" s="32" t="s">
        <v>218</v>
      </c>
      <c r="B72" s="33" t="s">
        <v>219</v>
      </c>
      <c r="C72" s="125" t="s">
        <v>220</v>
      </c>
      <c r="D72" s="126"/>
      <c r="E72" s="33" t="s">
        <v>90</v>
      </c>
      <c r="F72" s="34">
        <v>9.0399999999999994E-3</v>
      </c>
      <c r="G72" s="35">
        <v>0</v>
      </c>
      <c r="H72" s="34">
        <f t="shared" si="66"/>
        <v>0</v>
      </c>
      <c r="I72" s="34">
        <f t="shared" si="67"/>
        <v>0</v>
      </c>
      <c r="J72" s="34">
        <f t="shared" si="68"/>
        <v>0</v>
      </c>
      <c r="K72" s="36" t="s">
        <v>57</v>
      </c>
      <c r="Z72" s="30">
        <f t="shared" si="69"/>
        <v>0</v>
      </c>
      <c r="AB72" s="30">
        <f t="shared" si="70"/>
        <v>0</v>
      </c>
      <c r="AC72" s="30">
        <f t="shared" si="71"/>
        <v>0</v>
      </c>
      <c r="AD72" s="30">
        <f t="shared" si="72"/>
        <v>0</v>
      </c>
      <c r="AE72" s="30">
        <f t="shared" si="73"/>
        <v>0</v>
      </c>
      <c r="AF72" s="30">
        <f t="shared" si="74"/>
        <v>0</v>
      </c>
      <c r="AG72" s="30">
        <f t="shared" si="75"/>
        <v>0</v>
      </c>
      <c r="AH72" s="30">
        <f t="shared" si="76"/>
        <v>0</v>
      </c>
      <c r="AI72" s="10" t="s">
        <v>50</v>
      </c>
      <c r="AJ72" s="30">
        <f t="shared" si="77"/>
        <v>0</v>
      </c>
      <c r="AK72" s="30">
        <f t="shared" si="78"/>
        <v>0</v>
      </c>
      <c r="AL72" s="30">
        <f t="shared" si="79"/>
        <v>0</v>
      </c>
      <c r="AN72" s="30">
        <v>12</v>
      </c>
      <c r="AO72" s="30">
        <f>G72*0</f>
        <v>0</v>
      </c>
      <c r="AP72" s="30">
        <f>G72*(1-0)</f>
        <v>0</v>
      </c>
      <c r="AQ72" s="31" t="s">
        <v>74</v>
      </c>
      <c r="AV72" s="30">
        <f t="shared" si="80"/>
        <v>0</v>
      </c>
      <c r="AW72" s="30">
        <f t="shared" si="81"/>
        <v>0</v>
      </c>
      <c r="AX72" s="30">
        <f t="shared" si="82"/>
        <v>0</v>
      </c>
      <c r="AY72" s="31" t="s">
        <v>198</v>
      </c>
      <c r="AZ72" s="31" t="s">
        <v>199</v>
      </c>
      <c r="BA72" s="10" t="s">
        <v>60</v>
      </c>
      <c r="BC72" s="30">
        <f t="shared" si="83"/>
        <v>0</v>
      </c>
      <c r="BD72" s="30">
        <f t="shared" si="84"/>
        <v>0</v>
      </c>
      <c r="BE72" s="30">
        <v>0</v>
      </c>
      <c r="BF72" s="30">
        <f>72</f>
        <v>72</v>
      </c>
      <c r="BH72" s="30">
        <f t="shared" si="85"/>
        <v>0</v>
      </c>
      <c r="BI72" s="30">
        <f t="shared" si="86"/>
        <v>0</v>
      </c>
      <c r="BJ72" s="30">
        <f t="shared" si="87"/>
        <v>0</v>
      </c>
      <c r="BK72" s="30"/>
      <c r="BL72" s="30">
        <v>721</v>
      </c>
      <c r="BW72" s="30">
        <v>12</v>
      </c>
      <c r="BX72" s="4" t="s">
        <v>220</v>
      </c>
    </row>
    <row r="73" spans="1:76" x14ac:dyDescent="0.25">
      <c r="A73" s="39" t="s">
        <v>50</v>
      </c>
      <c r="B73" s="40" t="s">
        <v>221</v>
      </c>
      <c r="C73" s="131" t="s">
        <v>222</v>
      </c>
      <c r="D73" s="132"/>
      <c r="E73" s="41" t="s">
        <v>4</v>
      </c>
      <c r="F73" s="41" t="s">
        <v>4</v>
      </c>
      <c r="G73" s="42" t="s">
        <v>4</v>
      </c>
      <c r="H73" s="43">
        <f>SUM(H74:H95)</f>
        <v>0</v>
      </c>
      <c r="I73" s="43">
        <f>SUM(I74:I95)</f>
        <v>0</v>
      </c>
      <c r="J73" s="43">
        <f>SUM(J74:J95)</f>
        <v>0</v>
      </c>
      <c r="K73" s="44" t="s">
        <v>50</v>
      </c>
      <c r="AI73" s="10" t="s">
        <v>50</v>
      </c>
      <c r="AS73" s="1">
        <f>SUM(AJ74:AJ95)</f>
        <v>0</v>
      </c>
      <c r="AT73" s="1">
        <f>SUM(AK74:AK95)</f>
        <v>0</v>
      </c>
      <c r="AU73" s="1">
        <f>SUM(AL74:AL95)</f>
        <v>0</v>
      </c>
    </row>
    <row r="74" spans="1:76" x14ac:dyDescent="0.25">
      <c r="A74" s="25" t="s">
        <v>223</v>
      </c>
      <c r="B74" s="26" t="s">
        <v>224</v>
      </c>
      <c r="C74" s="123" t="s">
        <v>225</v>
      </c>
      <c r="D74" s="124"/>
      <c r="E74" s="26" t="s">
        <v>80</v>
      </c>
      <c r="F74" s="27">
        <v>15.4</v>
      </c>
      <c r="G74" s="28">
        <v>0</v>
      </c>
      <c r="H74" s="27">
        <f t="shared" ref="H74:H80" si="88">F74*AO74</f>
        <v>0</v>
      </c>
      <c r="I74" s="27">
        <f t="shared" ref="I74:I80" si="89">F74*AP74</f>
        <v>0</v>
      </c>
      <c r="J74" s="27">
        <f t="shared" ref="J74:J80" si="90">F74*G74</f>
        <v>0</v>
      </c>
      <c r="K74" s="29" t="s">
        <v>57</v>
      </c>
      <c r="Z74" s="30">
        <f t="shared" ref="Z74:Z80" si="91">IF(AQ74="5",BJ74,0)</f>
        <v>0</v>
      </c>
      <c r="AB74" s="30">
        <f t="shared" ref="AB74:AB80" si="92">IF(AQ74="1",BH74,0)</f>
        <v>0</v>
      </c>
      <c r="AC74" s="30">
        <f t="shared" ref="AC74:AC80" si="93">IF(AQ74="1",BI74,0)</f>
        <v>0</v>
      </c>
      <c r="AD74" s="30">
        <f t="shared" ref="AD74:AD80" si="94">IF(AQ74="7",BH74,0)</f>
        <v>0</v>
      </c>
      <c r="AE74" s="30">
        <f t="shared" ref="AE74:AE80" si="95">IF(AQ74="7",BI74,0)</f>
        <v>0</v>
      </c>
      <c r="AF74" s="30">
        <f t="shared" ref="AF74:AF80" si="96">IF(AQ74="2",BH74,0)</f>
        <v>0</v>
      </c>
      <c r="AG74" s="30">
        <f t="shared" ref="AG74:AG80" si="97">IF(AQ74="2",BI74,0)</f>
        <v>0</v>
      </c>
      <c r="AH74" s="30">
        <f t="shared" ref="AH74:AH80" si="98">IF(AQ74="0",BJ74,0)</f>
        <v>0</v>
      </c>
      <c r="AI74" s="10" t="s">
        <v>50</v>
      </c>
      <c r="AJ74" s="30">
        <f t="shared" ref="AJ74:AJ80" si="99">IF(AN74=0,J74,0)</f>
        <v>0</v>
      </c>
      <c r="AK74" s="30">
        <f t="shared" ref="AK74:AK80" si="100">IF(AN74=12,J74,0)</f>
        <v>0</v>
      </c>
      <c r="AL74" s="30">
        <f t="shared" ref="AL74:AL80" si="101">IF(AN74=21,J74,0)</f>
        <v>0</v>
      </c>
      <c r="AN74" s="30">
        <v>12</v>
      </c>
      <c r="AO74" s="30">
        <f>G74*0.226815203</f>
        <v>0</v>
      </c>
      <c r="AP74" s="30">
        <f>G74*(1-0.226815203)</f>
        <v>0</v>
      </c>
      <c r="AQ74" s="31" t="s">
        <v>81</v>
      </c>
      <c r="AV74" s="30">
        <f t="shared" ref="AV74:AV80" si="102">AW74+AX74</f>
        <v>0</v>
      </c>
      <c r="AW74" s="30">
        <f t="shared" ref="AW74:AW80" si="103">F74*AO74</f>
        <v>0</v>
      </c>
      <c r="AX74" s="30">
        <f t="shared" ref="AX74:AX80" si="104">F74*AP74</f>
        <v>0</v>
      </c>
      <c r="AY74" s="31" t="s">
        <v>226</v>
      </c>
      <c r="AZ74" s="31" t="s">
        <v>199</v>
      </c>
      <c r="BA74" s="10" t="s">
        <v>60</v>
      </c>
      <c r="BC74" s="30">
        <f t="shared" ref="BC74:BC80" si="105">AW74+AX74</f>
        <v>0</v>
      </c>
      <c r="BD74" s="30">
        <f t="shared" ref="BD74:BD80" si="106">G74/(100-BE74)*100</f>
        <v>0</v>
      </c>
      <c r="BE74" s="30">
        <v>0</v>
      </c>
      <c r="BF74" s="30">
        <f>74</f>
        <v>74</v>
      </c>
      <c r="BH74" s="30">
        <f t="shared" ref="BH74:BH80" si="107">F74*AO74</f>
        <v>0</v>
      </c>
      <c r="BI74" s="30">
        <f t="shared" ref="BI74:BI80" si="108">F74*AP74</f>
        <v>0</v>
      </c>
      <c r="BJ74" s="30">
        <f t="shared" ref="BJ74:BJ80" si="109">F74*G74</f>
        <v>0</v>
      </c>
      <c r="BK74" s="30"/>
      <c r="BL74" s="30">
        <v>722</v>
      </c>
      <c r="BW74" s="30">
        <v>12</v>
      </c>
      <c r="BX74" s="4" t="s">
        <v>225</v>
      </c>
    </row>
    <row r="75" spans="1:76" x14ac:dyDescent="0.25">
      <c r="A75" s="32" t="s">
        <v>227</v>
      </c>
      <c r="B75" s="33" t="s">
        <v>228</v>
      </c>
      <c r="C75" s="125" t="s">
        <v>229</v>
      </c>
      <c r="D75" s="126"/>
      <c r="E75" s="33" t="s">
        <v>80</v>
      </c>
      <c r="F75" s="34">
        <v>5.4</v>
      </c>
      <c r="G75" s="35">
        <v>0</v>
      </c>
      <c r="H75" s="34">
        <f t="shared" si="88"/>
        <v>0</v>
      </c>
      <c r="I75" s="34">
        <f t="shared" si="89"/>
        <v>0</v>
      </c>
      <c r="J75" s="34">
        <f t="shared" si="90"/>
        <v>0</v>
      </c>
      <c r="K75" s="36" t="s">
        <v>57</v>
      </c>
      <c r="Z75" s="30">
        <f t="shared" si="91"/>
        <v>0</v>
      </c>
      <c r="AB75" s="30">
        <f t="shared" si="92"/>
        <v>0</v>
      </c>
      <c r="AC75" s="30">
        <f t="shared" si="93"/>
        <v>0</v>
      </c>
      <c r="AD75" s="30">
        <f t="shared" si="94"/>
        <v>0</v>
      </c>
      <c r="AE75" s="30">
        <f t="shared" si="95"/>
        <v>0</v>
      </c>
      <c r="AF75" s="30">
        <f t="shared" si="96"/>
        <v>0</v>
      </c>
      <c r="AG75" s="30">
        <f t="shared" si="97"/>
        <v>0</v>
      </c>
      <c r="AH75" s="30">
        <f t="shared" si="98"/>
        <v>0</v>
      </c>
      <c r="AI75" s="10" t="s">
        <v>50</v>
      </c>
      <c r="AJ75" s="30">
        <f t="shared" si="99"/>
        <v>0</v>
      </c>
      <c r="AK75" s="30">
        <f t="shared" si="100"/>
        <v>0</v>
      </c>
      <c r="AL75" s="30">
        <f t="shared" si="101"/>
        <v>0</v>
      </c>
      <c r="AN75" s="30">
        <v>12</v>
      </c>
      <c r="AO75" s="30">
        <f>G75*0.254655172</f>
        <v>0</v>
      </c>
      <c r="AP75" s="30">
        <f>G75*(1-0.254655172)</f>
        <v>0</v>
      </c>
      <c r="AQ75" s="31" t="s">
        <v>81</v>
      </c>
      <c r="AV75" s="30">
        <f t="shared" si="102"/>
        <v>0</v>
      </c>
      <c r="AW75" s="30">
        <f t="shared" si="103"/>
        <v>0</v>
      </c>
      <c r="AX75" s="30">
        <f t="shared" si="104"/>
        <v>0</v>
      </c>
      <c r="AY75" s="31" t="s">
        <v>226</v>
      </c>
      <c r="AZ75" s="31" t="s">
        <v>199</v>
      </c>
      <c r="BA75" s="10" t="s">
        <v>60</v>
      </c>
      <c r="BC75" s="30">
        <f t="shared" si="105"/>
        <v>0</v>
      </c>
      <c r="BD75" s="30">
        <f t="shared" si="106"/>
        <v>0</v>
      </c>
      <c r="BE75" s="30">
        <v>0</v>
      </c>
      <c r="BF75" s="30">
        <f>75</f>
        <v>75</v>
      </c>
      <c r="BH75" s="30">
        <f t="shared" si="107"/>
        <v>0</v>
      </c>
      <c r="BI75" s="30">
        <f t="shared" si="108"/>
        <v>0</v>
      </c>
      <c r="BJ75" s="30">
        <f t="shared" si="109"/>
        <v>0</v>
      </c>
      <c r="BK75" s="30"/>
      <c r="BL75" s="30">
        <v>722</v>
      </c>
      <c r="BW75" s="30">
        <v>12</v>
      </c>
      <c r="BX75" s="4" t="s">
        <v>229</v>
      </c>
    </row>
    <row r="76" spans="1:76" x14ac:dyDescent="0.25">
      <c r="A76" s="32" t="s">
        <v>230</v>
      </c>
      <c r="B76" s="33" t="s">
        <v>231</v>
      </c>
      <c r="C76" s="125" t="s">
        <v>232</v>
      </c>
      <c r="D76" s="126"/>
      <c r="E76" s="33" t="s">
        <v>80</v>
      </c>
      <c r="F76" s="34">
        <v>9</v>
      </c>
      <c r="G76" s="35">
        <v>0</v>
      </c>
      <c r="H76" s="34">
        <f t="shared" si="88"/>
        <v>0</v>
      </c>
      <c r="I76" s="34">
        <f t="shared" si="89"/>
        <v>0</v>
      </c>
      <c r="J76" s="34">
        <f t="shared" si="90"/>
        <v>0</v>
      </c>
      <c r="K76" s="36" t="s">
        <v>57</v>
      </c>
      <c r="Z76" s="30">
        <f t="shared" si="91"/>
        <v>0</v>
      </c>
      <c r="AB76" s="30">
        <f t="shared" si="92"/>
        <v>0</v>
      </c>
      <c r="AC76" s="30">
        <f t="shared" si="93"/>
        <v>0</v>
      </c>
      <c r="AD76" s="30">
        <f t="shared" si="94"/>
        <v>0</v>
      </c>
      <c r="AE76" s="30">
        <f t="shared" si="95"/>
        <v>0</v>
      </c>
      <c r="AF76" s="30">
        <f t="shared" si="96"/>
        <v>0</v>
      </c>
      <c r="AG76" s="30">
        <f t="shared" si="97"/>
        <v>0</v>
      </c>
      <c r="AH76" s="30">
        <f t="shared" si="98"/>
        <v>0</v>
      </c>
      <c r="AI76" s="10" t="s">
        <v>50</v>
      </c>
      <c r="AJ76" s="30">
        <f t="shared" si="99"/>
        <v>0</v>
      </c>
      <c r="AK76" s="30">
        <f t="shared" si="100"/>
        <v>0</v>
      </c>
      <c r="AL76" s="30">
        <f t="shared" si="101"/>
        <v>0</v>
      </c>
      <c r="AN76" s="30">
        <v>12</v>
      </c>
      <c r="AO76" s="30">
        <f>G76*0.331127013</f>
        <v>0</v>
      </c>
      <c r="AP76" s="30">
        <f>G76*(1-0.331127013)</f>
        <v>0</v>
      </c>
      <c r="AQ76" s="31" t="s">
        <v>81</v>
      </c>
      <c r="AV76" s="30">
        <f t="shared" si="102"/>
        <v>0</v>
      </c>
      <c r="AW76" s="30">
        <f t="shared" si="103"/>
        <v>0</v>
      </c>
      <c r="AX76" s="30">
        <f t="shared" si="104"/>
        <v>0</v>
      </c>
      <c r="AY76" s="31" t="s">
        <v>226</v>
      </c>
      <c r="AZ76" s="31" t="s">
        <v>199</v>
      </c>
      <c r="BA76" s="10" t="s">
        <v>60</v>
      </c>
      <c r="BC76" s="30">
        <f t="shared" si="105"/>
        <v>0</v>
      </c>
      <c r="BD76" s="30">
        <f t="shared" si="106"/>
        <v>0</v>
      </c>
      <c r="BE76" s="30">
        <v>0</v>
      </c>
      <c r="BF76" s="30">
        <f>76</f>
        <v>76</v>
      </c>
      <c r="BH76" s="30">
        <f t="shared" si="107"/>
        <v>0</v>
      </c>
      <c r="BI76" s="30">
        <f t="shared" si="108"/>
        <v>0</v>
      </c>
      <c r="BJ76" s="30">
        <f t="shared" si="109"/>
        <v>0</v>
      </c>
      <c r="BK76" s="30"/>
      <c r="BL76" s="30">
        <v>722</v>
      </c>
      <c r="BW76" s="30">
        <v>12</v>
      </c>
      <c r="BX76" s="4" t="s">
        <v>232</v>
      </c>
    </row>
    <row r="77" spans="1:76" x14ac:dyDescent="0.25">
      <c r="A77" s="32" t="s">
        <v>233</v>
      </c>
      <c r="B77" s="33" t="s">
        <v>234</v>
      </c>
      <c r="C77" s="125" t="s">
        <v>235</v>
      </c>
      <c r="D77" s="126"/>
      <c r="E77" s="33" t="s">
        <v>80</v>
      </c>
      <c r="F77" s="34">
        <v>15.4</v>
      </c>
      <c r="G77" s="35">
        <v>0</v>
      </c>
      <c r="H77" s="34">
        <f t="shared" si="88"/>
        <v>0</v>
      </c>
      <c r="I77" s="34">
        <f t="shared" si="89"/>
        <v>0</v>
      </c>
      <c r="J77" s="34">
        <f t="shared" si="90"/>
        <v>0</v>
      </c>
      <c r="K77" s="36" t="s">
        <v>57</v>
      </c>
      <c r="Z77" s="30">
        <f t="shared" si="91"/>
        <v>0</v>
      </c>
      <c r="AB77" s="30">
        <f t="shared" si="92"/>
        <v>0</v>
      </c>
      <c r="AC77" s="30">
        <f t="shared" si="93"/>
        <v>0</v>
      </c>
      <c r="AD77" s="30">
        <f t="shared" si="94"/>
        <v>0</v>
      </c>
      <c r="AE77" s="30">
        <f t="shared" si="95"/>
        <v>0</v>
      </c>
      <c r="AF77" s="30">
        <f t="shared" si="96"/>
        <v>0</v>
      </c>
      <c r="AG77" s="30">
        <f t="shared" si="97"/>
        <v>0</v>
      </c>
      <c r="AH77" s="30">
        <f t="shared" si="98"/>
        <v>0</v>
      </c>
      <c r="AI77" s="10" t="s">
        <v>50</v>
      </c>
      <c r="AJ77" s="30">
        <f t="shared" si="99"/>
        <v>0</v>
      </c>
      <c r="AK77" s="30">
        <f t="shared" si="100"/>
        <v>0</v>
      </c>
      <c r="AL77" s="30">
        <f t="shared" si="101"/>
        <v>0</v>
      </c>
      <c r="AN77" s="30">
        <v>12</v>
      </c>
      <c r="AO77" s="30">
        <f>G77*0.099876391</f>
        <v>0</v>
      </c>
      <c r="AP77" s="30">
        <f>G77*(1-0.099876391)</f>
        <v>0</v>
      </c>
      <c r="AQ77" s="31" t="s">
        <v>81</v>
      </c>
      <c r="AV77" s="30">
        <f t="shared" si="102"/>
        <v>0</v>
      </c>
      <c r="AW77" s="30">
        <f t="shared" si="103"/>
        <v>0</v>
      </c>
      <c r="AX77" s="30">
        <f t="shared" si="104"/>
        <v>0</v>
      </c>
      <c r="AY77" s="31" t="s">
        <v>226</v>
      </c>
      <c r="AZ77" s="31" t="s">
        <v>199</v>
      </c>
      <c r="BA77" s="10" t="s">
        <v>60</v>
      </c>
      <c r="BC77" s="30">
        <f t="shared" si="105"/>
        <v>0</v>
      </c>
      <c r="BD77" s="30">
        <f t="shared" si="106"/>
        <v>0</v>
      </c>
      <c r="BE77" s="30">
        <v>0</v>
      </c>
      <c r="BF77" s="30">
        <f>77</f>
        <v>77</v>
      </c>
      <c r="BH77" s="30">
        <f t="shared" si="107"/>
        <v>0</v>
      </c>
      <c r="BI77" s="30">
        <f t="shared" si="108"/>
        <v>0</v>
      </c>
      <c r="BJ77" s="30">
        <f t="shared" si="109"/>
        <v>0</v>
      </c>
      <c r="BK77" s="30"/>
      <c r="BL77" s="30">
        <v>722</v>
      </c>
      <c r="BW77" s="30">
        <v>12</v>
      </c>
      <c r="BX77" s="4" t="s">
        <v>235</v>
      </c>
    </row>
    <row r="78" spans="1:76" x14ac:dyDescent="0.25">
      <c r="A78" s="32" t="s">
        <v>236</v>
      </c>
      <c r="B78" s="33" t="s">
        <v>237</v>
      </c>
      <c r="C78" s="125" t="s">
        <v>238</v>
      </c>
      <c r="D78" s="126"/>
      <c r="E78" s="33" t="s">
        <v>80</v>
      </c>
      <c r="F78" s="34">
        <v>5.4</v>
      </c>
      <c r="G78" s="35">
        <v>0</v>
      </c>
      <c r="H78" s="34">
        <f t="shared" si="88"/>
        <v>0</v>
      </c>
      <c r="I78" s="34">
        <f t="shared" si="89"/>
        <v>0</v>
      </c>
      <c r="J78" s="34">
        <f t="shared" si="90"/>
        <v>0</v>
      </c>
      <c r="K78" s="36" t="s">
        <v>57</v>
      </c>
      <c r="Z78" s="30">
        <f t="shared" si="91"/>
        <v>0</v>
      </c>
      <c r="AB78" s="30">
        <f t="shared" si="92"/>
        <v>0</v>
      </c>
      <c r="AC78" s="30">
        <f t="shared" si="93"/>
        <v>0</v>
      </c>
      <c r="AD78" s="30">
        <f t="shared" si="94"/>
        <v>0</v>
      </c>
      <c r="AE78" s="30">
        <f t="shared" si="95"/>
        <v>0</v>
      </c>
      <c r="AF78" s="30">
        <f t="shared" si="96"/>
        <v>0</v>
      </c>
      <c r="AG78" s="30">
        <f t="shared" si="97"/>
        <v>0</v>
      </c>
      <c r="AH78" s="30">
        <f t="shared" si="98"/>
        <v>0</v>
      </c>
      <c r="AI78" s="10" t="s">
        <v>50</v>
      </c>
      <c r="AJ78" s="30">
        <f t="shared" si="99"/>
        <v>0</v>
      </c>
      <c r="AK78" s="30">
        <f t="shared" si="100"/>
        <v>0</v>
      </c>
      <c r="AL78" s="30">
        <f t="shared" si="101"/>
        <v>0</v>
      </c>
      <c r="AN78" s="30">
        <v>12</v>
      </c>
      <c r="AO78" s="30">
        <f>G78*0.097243085</f>
        <v>0</v>
      </c>
      <c r="AP78" s="30">
        <f>G78*(1-0.097243085)</f>
        <v>0</v>
      </c>
      <c r="AQ78" s="31" t="s">
        <v>81</v>
      </c>
      <c r="AV78" s="30">
        <f t="shared" si="102"/>
        <v>0</v>
      </c>
      <c r="AW78" s="30">
        <f t="shared" si="103"/>
        <v>0</v>
      </c>
      <c r="AX78" s="30">
        <f t="shared" si="104"/>
        <v>0</v>
      </c>
      <c r="AY78" s="31" t="s">
        <v>226</v>
      </c>
      <c r="AZ78" s="31" t="s">
        <v>199</v>
      </c>
      <c r="BA78" s="10" t="s">
        <v>60</v>
      </c>
      <c r="BC78" s="30">
        <f t="shared" si="105"/>
        <v>0</v>
      </c>
      <c r="BD78" s="30">
        <f t="shared" si="106"/>
        <v>0</v>
      </c>
      <c r="BE78" s="30">
        <v>0</v>
      </c>
      <c r="BF78" s="30">
        <f>78</f>
        <v>78</v>
      </c>
      <c r="BH78" s="30">
        <f t="shared" si="107"/>
        <v>0</v>
      </c>
      <c r="BI78" s="30">
        <f t="shared" si="108"/>
        <v>0</v>
      </c>
      <c r="BJ78" s="30">
        <f t="shared" si="109"/>
        <v>0</v>
      </c>
      <c r="BK78" s="30"/>
      <c r="BL78" s="30">
        <v>722</v>
      </c>
      <c r="BW78" s="30">
        <v>12</v>
      </c>
      <c r="BX78" s="4" t="s">
        <v>238</v>
      </c>
    </row>
    <row r="79" spans="1:76" x14ac:dyDescent="0.25">
      <c r="A79" s="32" t="s">
        <v>239</v>
      </c>
      <c r="B79" s="33" t="s">
        <v>240</v>
      </c>
      <c r="C79" s="125" t="s">
        <v>241</v>
      </c>
      <c r="D79" s="126"/>
      <c r="E79" s="33" t="s">
        <v>80</v>
      </c>
      <c r="F79" s="34">
        <v>15.4</v>
      </c>
      <c r="G79" s="35">
        <v>0</v>
      </c>
      <c r="H79" s="34">
        <f t="shared" si="88"/>
        <v>0</v>
      </c>
      <c r="I79" s="34">
        <f t="shared" si="89"/>
        <v>0</v>
      </c>
      <c r="J79" s="34">
        <f t="shared" si="90"/>
        <v>0</v>
      </c>
      <c r="K79" s="36" t="s">
        <v>57</v>
      </c>
      <c r="Z79" s="30">
        <f t="shared" si="91"/>
        <v>0</v>
      </c>
      <c r="AB79" s="30">
        <f t="shared" si="92"/>
        <v>0</v>
      </c>
      <c r="AC79" s="30">
        <f t="shared" si="93"/>
        <v>0</v>
      </c>
      <c r="AD79" s="30">
        <f t="shared" si="94"/>
        <v>0</v>
      </c>
      <c r="AE79" s="30">
        <f t="shared" si="95"/>
        <v>0</v>
      </c>
      <c r="AF79" s="30">
        <f t="shared" si="96"/>
        <v>0</v>
      </c>
      <c r="AG79" s="30">
        <f t="shared" si="97"/>
        <v>0</v>
      </c>
      <c r="AH79" s="30">
        <f t="shared" si="98"/>
        <v>0</v>
      </c>
      <c r="AI79" s="10" t="s">
        <v>50</v>
      </c>
      <c r="AJ79" s="30">
        <f t="shared" si="99"/>
        <v>0</v>
      </c>
      <c r="AK79" s="30">
        <f t="shared" si="100"/>
        <v>0</v>
      </c>
      <c r="AL79" s="30">
        <f t="shared" si="101"/>
        <v>0</v>
      </c>
      <c r="AN79" s="30">
        <v>12</v>
      </c>
      <c r="AO79" s="30">
        <f>G79*0.0858661</f>
        <v>0</v>
      </c>
      <c r="AP79" s="30">
        <f>G79*(1-0.0858661)</f>
        <v>0</v>
      </c>
      <c r="AQ79" s="31" t="s">
        <v>81</v>
      </c>
      <c r="AV79" s="30">
        <f t="shared" si="102"/>
        <v>0</v>
      </c>
      <c r="AW79" s="30">
        <f t="shared" si="103"/>
        <v>0</v>
      </c>
      <c r="AX79" s="30">
        <f t="shared" si="104"/>
        <v>0</v>
      </c>
      <c r="AY79" s="31" t="s">
        <v>226</v>
      </c>
      <c r="AZ79" s="31" t="s">
        <v>199</v>
      </c>
      <c r="BA79" s="10" t="s">
        <v>60</v>
      </c>
      <c r="BC79" s="30">
        <f t="shared" si="105"/>
        <v>0</v>
      </c>
      <c r="BD79" s="30">
        <f t="shared" si="106"/>
        <v>0</v>
      </c>
      <c r="BE79" s="30">
        <v>0</v>
      </c>
      <c r="BF79" s="30">
        <f>79</f>
        <v>79</v>
      </c>
      <c r="BH79" s="30">
        <f t="shared" si="107"/>
        <v>0</v>
      </c>
      <c r="BI79" s="30">
        <f t="shared" si="108"/>
        <v>0</v>
      </c>
      <c r="BJ79" s="30">
        <f t="shared" si="109"/>
        <v>0</v>
      </c>
      <c r="BK79" s="30"/>
      <c r="BL79" s="30">
        <v>722</v>
      </c>
      <c r="BW79" s="30">
        <v>12</v>
      </c>
      <c r="BX79" s="4" t="s">
        <v>241</v>
      </c>
    </row>
    <row r="80" spans="1:76" x14ac:dyDescent="0.25">
      <c r="A80" s="32" t="s">
        <v>242</v>
      </c>
      <c r="B80" s="33" t="s">
        <v>243</v>
      </c>
      <c r="C80" s="125" t="s">
        <v>244</v>
      </c>
      <c r="D80" s="126"/>
      <c r="E80" s="33" t="s">
        <v>80</v>
      </c>
      <c r="F80" s="34">
        <v>15.4</v>
      </c>
      <c r="G80" s="35">
        <v>0</v>
      </c>
      <c r="H80" s="34">
        <f t="shared" si="88"/>
        <v>0</v>
      </c>
      <c r="I80" s="34">
        <f t="shared" si="89"/>
        <v>0</v>
      </c>
      <c r="J80" s="34">
        <f t="shared" si="90"/>
        <v>0</v>
      </c>
      <c r="K80" s="36" t="s">
        <v>57</v>
      </c>
      <c r="Z80" s="30">
        <f t="shared" si="91"/>
        <v>0</v>
      </c>
      <c r="AB80" s="30">
        <f t="shared" si="92"/>
        <v>0</v>
      </c>
      <c r="AC80" s="30">
        <f t="shared" si="93"/>
        <v>0</v>
      </c>
      <c r="AD80" s="30">
        <f t="shared" si="94"/>
        <v>0</v>
      </c>
      <c r="AE80" s="30">
        <f t="shared" si="95"/>
        <v>0</v>
      </c>
      <c r="AF80" s="30">
        <f t="shared" si="96"/>
        <v>0</v>
      </c>
      <c r="AG80" s="30">
        <f t="shared" si="97"/>
        <v>0</v>
      </c>
      <c r="AH80" s="30">
        <f t="shared" si="98"/>
        <v>0</v>
      </c>
      <c r="AI80" s="10" t="s">
        <v>50</v>
      </c>
      <c r="AJ80" s="30">
        <f t="shared" si="99"/>
        <v>0</v>
      </c>
      <c r="AK80" s="30">
        <f t="shared" si="100"/>
        <v>0</v>
      </c>
      <c r="AL80" s="30">
        <f t="shared" si="101"/>
        <v>0</v>
      </c>
      <c r="AN80" s="30">
        <v>12</v>
      </c>
      <c r="AO80" s="30">
        <f>G80*0.287627599</f>
        <v>0</v>
      </c>
      <c r="AP80" s="30">
        <f>G80*(1-0.287627599)</f>
        <v>0</v>
      </c>
      <c r="AQ80" s="31" t="s">
        <v>81</v>
      </c>
      <c r="AV80" s="30">
        <f t="shared" si="102"/>
        <v>0</v>
      </c>
      <c r="AW80" s="30">
        <f t="shared" si="103"/>
        <v>0</v>
      </c>
      <c r="AX80" s="30">
        <f t="shared" si="104"/>
        <v>0</v>
      </c>
      <c r="AY80" s="31" t="s">
        <v>226</v>
      </c>
      <c r="AZ80" s="31" t="s">
        <v>199</v>
      </c>
      <c r="BA80" s="10" t="s">
        <v>60</v>
      </c>
      <c r="BC80" s="30">
        <f t="shared" si="105"/>
        <v>0</v>
      </c>
      <c r="BD80" s="30">
        <f t="shared" si="106"/>
        <v>0</v>
      </c>
      <c r="BE80" s="30">
        <v>0</v>
      </c>
      <c r="BF80" s="30">
        <f>80</f>
        <v>80</v>
      </c>
      <c r="BH80" s="30">
        <f t="shared" si="107"/>
        <v>0</v>
      </c>
      <c r="BI80" s="30">
        <f t="shared" si="108"/>
        <v>0</v>
      </c>
      <c r="BJ80" s="30">
        <f t="shared" si="109"/>
        <v>0</v>
      </c>
      <c r="BK80" s="30"/>
      <c r="BL80" s="30">
        <v>722</v>
      </c>
      <c r="BW80" s="30">
        <v>12</v>
      </c>
      <c r="BX80" s="4" t="s">
        <v>244</v>
      </c>
    </row>
    <row r="81" spans="1:76" ht="13.5" customHeight="1" x14ac:dyDescent="0.25">
      <c r="A81" s="37"/>
      <c r="B81" s="38" t="s">
        <v>68</v>
      </c>
      <c r="C81" s="127" t="s">
        <v>245</v>
      </c>
      <c r="D81" s="128"/>
      <c r="E81" s="128"/>
      <c r="F81" s="128"/>
      <c r="G81" s="129"/>
      <c r="H81" s="128"/>
      <c r="I81" s="128"/>
      <c r="J81" s="128"/>
      <c r="K81" s="130"/>
    </row>
    <row r="82" spans="1:76" x14ac:dyDescent="0.25">
      <c r="A82" s="25" t="s">
        <v>246</v>
      </c>
      <c r="B82" s="26" t="s">
        <v>247</v>
      </c>
      <c r="C82" s="123" t="s">
        <v>244</v>
      </c>
      <c r="D82" s="124"/>
      <c r="E82" s="26" t="s">
        <v>80</v>
      </c>
      <c r="F82" s="27">
        <v>5.4</v>
      </c>
      <c r="G82" s="28">
        <v>0</v>
      </c>
      <c r="H82" s="27">
        <f>F82*AO82</f>
        <v>0</v>
      </c>
      <c r="I82" s="27">
        <f>F82*AP82</f>
        <v>0</v>
      </c>
      <c r="J82" s="27">
        <f>F82*G82</f>
        <v>0</v>
      </c>
      <c r="K82" s="29" t="s">
        <v>57</v>
      </c>
      <c r="Z82" s="30">
        <f>IF(AQ82="5",BJ82,0)</f>
        <v>0</v>
      </c>
      <c r="AB82" s="30">
        <f>IF(AQ82="1",BH82,0)</f>
        <v>0</v>
      </c>
      <c r="AC82" s="30">
        <f>IF(AQ82="1",BI82,0)</f>
        <v>0</v>
      </c>
      <c r="AD82" s="30">
        <f>IF(AQ82="7",BH82,0)</f>
        <v>0</v>
      </c>
      <c r="AE82" s="30">
        <f>IF(AQ82="7",BI82,0)</f>
        <v>0</v>
      </c>
      <c r="AF82" s="30">
        <f>IF(AQ82="2",BH82,0)</f>
        <v>0</v>
      </c>
      <c r="AG82" s="30">
        <f>IF(AQ82="2",BI82,0)</f>
        <v>0</v>
      </c>
      <c r="AH82" s="30">
        <f>IF(AQ82="0",BJ82,0)</f>
        <v>0</v>
      </c>
      <c r="AI82" s="10" t="s">
        <v>50</v>
      </c>
      <c r="AJ82" s="30">
        <f>IF(AN82=0,J82,0)</f>
        <v>0</v>
      </c>
      <c r="AK82" s="30">
        <f>IF(AN82=12,J82,0)</f>
        <v>0</v>
      </c>
      <c r="AL82" s="30">
        <f>IF(AN82=21,J82,0)</f>
        <v>0</v>
      </c>
      <c r="AN82" s="30">
        <v>12</v>
      </c>
      <c r="AO82" s="30">
        <f>G82*0.30969739</f>
        <v>0</v>
      </c>
      <c r="AP82" s="30">
        <f>G82*(1-0.30969739)</f>
        <v>0</v>
      </c>
      <c r="AQ82" s="31" t="s">
        <v>81</v>
      </c>
      <c r="AV82" s="30">
        <f>AW82+AX82</f>
        <v>0</v>
      </c>
      <c r="AW82" s="30">
        <f>F82*AO82</f>
        <v>0</v>
      </c>
      <c r="AX82" s="30">
        <f>F82*AP82</f>
        <v>0</v>
      </c>
      <c r="AY82" s="31" t="s">
        <v>226</v>
      </c>
      <c r="AZ82" s="31" t="s">
        <v>199</v>
      </c>
      <c r="BA82" s="10" t="s">
        <v>60</v>
      </c>
      <c r="BC82" s="30">
        <f>AW82+AX82</f>
        <v>0</v>
      </c>
      <c r="BD82" s="30">
        <f>G82/(100-BE82)*100</f>
        <v>0</v>
      </c>
      <c r="BE82" s="30">
        <v>0</v>
      </c>
      <c r="BF82" s="30">
        <f>82</f>
        <v>82</v>
      </c>
      <c r="BH82" s="30">
        <f>F82*AO82</f>
        <v>0</v>
      </c>
      <c r="BI82" s="30">
        <f>F82*AP82</f>
        <v>0</v>
      </c>
      <c r="BJ82" s="30">
        <f>F82*G82</f>
        <v>0</v>
      </c>
      <c r="BK82" s="30"/>
      <c r="BL82" s="30">
        <v>722</v>
      </c>
      <c r="BW82" s="30">
        <v>12</v>
      </c>
      <c r="BX82" s="4" t="s">
        <v>244</v>
      </c>
    </row>
    <row r="83" spans="1:76" ht="13.5" customHeight="1" x14ac:dyDescent="0.25">
      <c r="A83" s="37"/>
      <c r="B83" s="38" t="s">
        <v>68</v>
      </c>
      <c r="C83" s="127" t="s">
        <v>248</v>
      </c>
      <c r="D83" s="128"/>
      <c r="E83" s="128"/>
      <c r="F83" s="128"/>
      <c r="G83" s="129"/>
      <c r="H83" s="128"/>
      <c r="I83" s="128"/>
      <c r="J83" s="128"/>
      <c r="K83" s="130"/>
    </row>
    <row r="84" spans="1:76" x14ac:dyDescent="0.25">
      <c r="A84" s="25" t="s">
        <v>249</v>
      </c>
      <c r="B84" s="26" t="s">
        <v>250</v>
      </c>
      <c r="C84" s="123" t="s">
        <v>244</v>
      </c>
      <c r="D84" s="124"/>
      <c r="E84" s="26" t="s">
        <v>80</v>
      </c>
      <c r="F84" s="27">
        <v>9</v>
      </c>
      <c r="G84" s="28">
        <v>0</v>
      </c>
      <c r="H84" s="27">
        <f>F84*AO84</f>
        <v>0</v>
      </c>
      <c r="I84" s="27">
        <f>F84*AP84</f>
        <v>0</v>
      </c>
      <c r="J84" s="27">
        <f>F84*G84</f>
        <v>0</v>
      </c>
      <c r="K84" s="29" t="s">
        <v>57</v>
      </c>
      <c r="Z84" s="30">
        <f>IF(AQ84="5",BJ84,0)</f>
        <v>0</v>
      </c>
      <c r="AB84" s="30">
        <f>IF(AQ84="1",BH84,0)</f>
        <v>0</v>
      </c>
      <c r="AC84" s="30">
        <f>IF(AQ84="1",BI84,0)</f>
        <v>0</v>
      </c>
      <c r="AD84" s="30">
        <f>IF(AQ84="7",BH84,0)</f>
        <v>0</v>
      </c>
      <c r="AE84" s="30">
        <f>IF(AQ84="7",BI84,0)</f>
        <v>0</v>
      </c>
      <c r="AF84" s="30">
        <f>IF(AQ84="2",BH84,0)</f>
        <v>0</v>
      </c>
      <c r="AG84" s="30">
        <f>IF(AQ84="2",BI84,0)</f>
        <v>0</v>
      </c>
      <c r="AH84" s="30">
        <f>IF(AQ84="0",BJ84,0)</f>
        <v>0</v>
      </c>
      <c r="AI84" s="10" t="s">
        <v>50</v>
      </c>
      <c r="AJ84" s="30">
        <f>IF(AN84=0,J84,0)</f>
        <v>0</v>
      </c>
      <c r="AK84" s="30">
        <f>IF(AN84=12,J84,0)</f>
        <v>0</v>
      </c>
      <c r="AL84" s="30">
        <f>IF(AN84=21,J84,0)</f>
        <v>0</v>
      </c>
      <c r="AN84" s="30">
        <v>12</v>
      </c>
      <c r="AO84" s="30">
        <f>G84*0.331339286</f>
        <v>0</v>
      </c>
      <c r="AP84" s="30">
        <f>G84*(1-0.331339286)</f>
        <v>0</v>
      </c>
      <c r="AQ84" s="31" t="s">
        <v>81</v>
      </c>
      <c r="AV84" s="30">
        <f>AW84+AX84</f>
        <v>0</v>
      </c>
      <c r="AW84" s="30">
        <f>F84*AO84</f>
        <v>0</v>
      </c>
      <c r="AX84" s="30">
        <f>F84*AP84</f>
        <v>0</v>
      </c>
      <c r="AY84" s="31" t="s">
        <v>226</v>
      </c>
      <c r="AZ84" s="31" t="s">
        <v>199</v>
      </c>
      <c r="BA84" s="10" t="s">
        <v>60</v>
      </c>
      <c r="BC84" s="30">
        <f>AW84+AX84</f>
        <v>0</v>
      </c>
      <c r="BD84" s="30">
        <f>G84/(100-BE84)*100</f>
        <v>0</v>
      </c>
      <c r="BE84" s="30">
        <v>0</v>
      </c>
      <c r="BF84" s="30">
        <f>84</f>
        <v>84</v>
      </c>
      <c r="BH84" s="30">
        <f>F84*AO84</f>
        <v>0</v>
      </c>
      <c r="BI84" s="30">
        <f>F84*AP84</f>
        <v>0</v>
      </c>
      <c r="BJ84" s="30">
        <f>F84*G84</f>
        <v>0</v>
      </c>
      <c r="BK84" s="30"/>
      <c r="BL84" s="30">
        <v>722</v>
      </c>
      <c r="BW84" s="30">
        <v>12</v>
      </c>
      <c r="BX84" s="4" t="s">
        <v>244</v>
      </c>
    </row>
    <row r="85" spans="1:76" ht="13.5" customHeight="1" x14ac:dyDescent="0.25">
      <c r="A85" s="37"/>
      <c r="B85" s="38" t="s">
        <v>68</v>
      </c>
      <c r="C85" s="127" t="s">
        <v>251</v>
      </c>
      <c r="D85" s="128"/>
      <c r="E85" s="128"/>
      <c r="F85" s="128"/>
      <c r="G85" s="129"/>
      <c r="H85" s="128"/>
      <c r="I85" s="128"/>
      <c r="J85" s="128"/>
      <c r="K85" s="130"/>
    </row>
    <row r="86" spans="1:76" x14ac:dyDescent="0.25">
      <c r="A86" s="25" t="s">
        <v>252</v>
      </c>
      <c r="B86" s="26" t="s">
        <v>253</v>
      </c>
      <c r="C86" s="123" t="s">
        <v>254</v>
      </c>
      <c r="D86" s="124"/>
      <c r="E86" s="26" t="s">
        <v>56</v>
      </c>
      <c r="F86" s="27">
        <v>10</v>
      </c>
      <c r="G86" s="28">
        <v>0</v>
      </c>
      <c r="H86" s="27">
        <f t="shared" ref="H86:H95" si="110">F86*AO86</f>
        <v>0</v>
      </c>
      <c r="I86" s="27">
        <f t="shared" ref="I86:I95" si="111">F86*AP86</f>
        <v>0</v>
      </c>
      <c r="J86" s="27">
        <f t="shared" ref="J86:J95" si="112">F86*G86</f>
        <v>0</v>
      </c>
      <c r="K86" s="29" t="s">
        <v>57</v>
      </c>
      <c r="Z86" s="30">
        <f t="shared" ref="Z86:Z95" si="113">IF(AQ86="5",BJ86,0)</f>
        <v>0</v>
      </c>
      <c r="AB86" s="30">
        <f t="shared" ref="AB86:AB95" si="114">IF(AQ86="1",BH86,0)</f>
        <v>0</v>
      </c>
      <c r="AC86" s="30">
        <f t="shared" ref="AC86:AC95" si="115">IF(AQ86="1",BI86,0)</f>
        <v>0</v>
      </c>
      <c r="AD86" s="30">
        <f t="shared" ref="AD86:AD95" si="116">IF(AQ86="7",BH86,0)</f>
        <v>0</v>
      </c>
      <c r="AE86" s="30">
        <f t="shared" ref="AE86:AE95" si="117">IF(AQ86="7",BI86,0)</f>
        <v>0</v>
      </c>
      <c r="AF86" s="30">
        <f t="shared" ref="AF86:AF95" si="118">IF(AQ86="2",BH86,0)</f>
        <v>0</v>
      </c>
      <c r="AG86" s="30">
        <f t="shared" ref="AG86:AG95" si="119">IF(AQ86="2",BI86,0)</f>
        <v>0</v>
      </c>
      <c r="AH86" s="30">
        <f t="shared" ref="AH86:AH95" si="120">IF(AQ86="0",BJ86,0)</f>
        <v>0</v>
      </c>
      <c r="AI86" s="10" t="s">
        <v>50</v>
      </c>
      <c r="AJ86" s="30">
        <f t="shared" ref="AJ86:AJ95" si="121">IF(AN86=0,J86,0)</f>
        <v>0</v>
      </c>
      <c r="AK86" s="30">
        <f t="shared" ref="AK86:AK95" si="122">IF(AN86=12,J86,0)</f>
        <v>0</v>
      </c>
      <c r="AL86" s="30">
        <f t="shared" ref="AL86:AL95" si="123">IF(AN86=21,J86,0)</f>
        <v>0</v>
      </c>
      <c r="AN86" s="30">
        <v>12</v>
      </c>
      <c r="AO86" s="30">
        <f>G86*0</f>
        <v>0</v>
      </c>
      <c r="AP86" s="30">
        <f>G86*(1-0)</f>
        <v>0</v>
      </c>
      <c r="AQ86" s="31" t="s">
        <v>81</v>
      </c>
      <c r="AV86" s="30">
        <f t="shared" ref="AV86:AV95" si="124">AW86+AX86</f>
        <v>0</v>
      </c>
      <c r="AW86" s="30">
        <f t="shared" ref="AW86:AW95" si="125">F86*AO86</f>
        <v>0</v>
      </c>
      <c r="AX86" s="30">
        <f t="shared" ref="AX86:AX95" si="126">F86*AP86</f>
        <v>0</v>
      </c>
      <c r="AY86" s="31" t="s">
        <v>226</v>
      </c>
      <c r="AZ86" s="31" t="s">
        <v>199</v>
      </c>
      <c r="BA86" s="10" t="s">
        <v>60</v>
      </c>
      <c r="BC86" s="30">
        <f t="shared" ref="BC86:BC95" si="127">AW86+AX86</f>
        <v>0</v>
      </c>
      <c r="BD86" s="30">
        <f t="shared" ref="BD86:BD95" si="128">G86/(100-BE86)*100</f>
        <v>0</v>
      </c>
      <c r="BE86" s="30">
        <v>0</v>
      </c>
      <c r="BF86" s="30">
        <f>86</f>
        <v>86</v>
      </c>
      <c r="BH86" s="30">
        <f t="shared" ref="BH86:BH95" si="129">F86*AO86</f>
        <v>0</v>
      </c>
      <c r="BI86" s="30">
        <f t="shared" ref="BI86:BI95" si="130">F86*AP86</f>
        <v>0</v>
      </c>
      <c r="BJ86" s="30">
        <f t="shared" ref="BJ86:BJ95" si="131">F86*G86</f>
        <v>0</v>
      </c>
      <c r="BK86" s="30"/>
      <c r="BL86" s="30">
        <v>722</v>
      </c>
      <c r="BW86" s="30">
        <v>12</v>
      </c>
      <c r="BX86" s="4" t="s">
        <v>254</v>
      </c>
    </row>
    <row r="87" spans="1:76" x14ac:dyDescent="0.25">
      <c r="A87" s="32" t="s">
        <v>255</v>
      </c>
      <c r="B87" s="33" t="s">
        <v>256</v>
      </c>
      <c r="C87" s="125" t="s">
        <v>257</v>
      </c>
      <c r="D87" s="126"/>
      <c r="E87" s="33" t="s">
        <v>56</v>
      </c>
      <c r="F87" s="34">
        <v>2</v>
      </c>
      <c r="G87" s="35">
        <v>0</v>
      </c>
      <c r="H87" s="34">
        <f t="shared" si="110"/>
        <v>0</v>
      </c>
      <c r="I87" s="34">
        <f t="shared" si="111"/>
        <v>0</v>
      </c>
      <c r="J87" s="34">
        <f t="shared" si="112"/>
        <v>0</v>
      </c>
      <c r="K87" s="36" t="s">
        <v>57</v>
      </c>
      <c r="Z87" s="30">
        <f t="shared" si="113"/>
        <v>0</v>
      </c>
      <c r="AB87" s="30">
        <f t="shared" si="114"/>
        <v>0</v>
      </c>
      <c r="AC87" s="30">
        <f t="shared" si="115"/>
        <v>0</v>
      </c>
      <c r="AD87" s="30">
        <f t="shared" si="116"/>
        <v>0</v>
      </c>
      <c r="AE87" s="30">
        <f t="shared" si="117"/>
        <v>0</v>
      </c>
      <c r="AF87" s="30">
        <f t="shared" si="118"/>
        <v>0</v>
      </c>
      <c r="AG87" s="30">
        <f t="shared" si="119"/>
        <v>0</v>
      </c>
      <c r="AH87" s="30">
        <f t="shared" si="120"/>
        <v>0</v>
      </c>
      <c r="AI87" s="10" t="s">
        <v>50</v>
      </c>
      <c r="AJ87" s="30">
        <f t="shared" si="121"/>
        <v>0</v>
      </c>
      <c r="AK87" s="30">
        <f t="shared" si="122"/>
        <v>0</v>
      </c>
      <c r="AL87" s="30">
        <f t="shared" si="123"/>
        <v>0</v>
      </c>
      <c r="AN87" s="30">
        <v>12</v>
      </c>
      <c r="AO87" s="30">
        <f>G87*0</f>
        <v>0</v>
      </c>
      <c r="AP87" s="30">
        <f>G87*(1-0)</f>
        <v>0</v>
      </c>
      <c r="AQ87" s="31" t="s">
        <v>81</v>
      </c>
      <c r="AV87" s="30">
        <f t="shared" si="124"/>
        <v>0</v>
      </c>
      <c r="AW87" s="30">
        <f t="shared" si="125"/>
        <v>0</v>
      </c>
      <c r="AX87" s="30">
        <f t="shared" si="126"/>
        <v>0</v>
      </c>
      <c r="AY87" s="31" t="s">
        <v>226</v>
      </c>
      <c r="AZ87" s="31" t="s">
        <v>199</v>
      </c>
      <c r="BA87" s="10" t="s">
        <v>60</v>
      </c>
      <c r="BC87" s="30">
        <f t="shared" si="127"/>
        <v>0</v>
      </c>
      <c r="BD87" s="30">
        <f t="shared" si="128"/>
        <v>0</v>
      </c>
      <c r="BE87" s="30">
        <v>0</v>
      </c>
      <c r="BF87" s="30">
        <f>87</f>
        <v>87</v>
      </c>
      <c r="BH87" s="30">
        <f t="shared" si="129"/>
        <v>0</v>
      </c>
      <c r="BI87" s="30">
        <f t="shared" si="130"/>
        <v>0</v>
      </c>
      <c r="BJ87" s="30">
        <f t="shared" si="131"/>
        <v>0</v>
      </c>
      <c r="BK87" s="30"/>
      <c r="BL87" s="30">
        <v>722</v>
      </c>
      <c r="BW87" s="30">
        <v>12</v>
      </c>
      <c r="BX87" s="4" t="s">
        <v>257</v>
      </c>
    </row>
    <row r="88" spans="1:76" x14ac:dyDescent="0.25">
      <c r="A88" s="32" t="s">
        <v>258</v>
      </c>
      <c r="B88" s="33" t="s">
        <v>259</v>
      </c>
      <c r="C88" s="125" t="s">
        <v>260</v>
      </c>
      <c r="D88" s="126"/>
      <c r="E88" s="33" t="s">
        <v>56</v>
      </c>
      <c r="F88" s="34">
        <v>2</v>
      </c>
      <c r="G88" s="35">
        <v>0</v>
      </c>
      <c r="H88" s="34">
        <f t="shared" si="110"/>
        <v>0</v>
      </c>
      <c r="I88" s="34">
        <f t="shared" si="111"/>
        <v>0</v>
      </c>
      <c r="J88" s="34">
        <f t="shared" si="112"/>
        <v>0</v>
      </c>
      <c r="K88" s="36" t="s">
        <v>57</v>
      </c>
      <c r="Z88" s="30">
        <f t="shared" si="113"/>
        <v>0</v>
      </c>
      <c r="AB88" s="30">
        <f t="shared" si="114"/>
        <v>0</v>
      </c>
      <c r="AC88" s="30">
        <f t="shared" si="115"/>
        <v>0</v>
      </c>
      <c r="AD88" s="30">
        <f t="shared" si="116"/>
        <v>0</v>
      </c>
      <c r="AE88" s="30">
        <f t="shared" si="117"/>
        <v>0</v>
      </c>
      <c r="AF88" s="30">
        <f t="shared" si="118"/>
        <v>0</v>
      </c>
      <c r="AG88" s="30">
        <f t="shared" si="119"/>
        <v>0</v>
      </c>
      <c r="AH88" s="30">
        <f t="shared" si="120"/>
        <v>0</v>
      </c>
      <c r="AI88" s="10" t="s">
        <v>50</v>
      </c>
      <c r="AJ88" s="30">
        <f t="shared" si="121"/>
        <v>0</v>
      </c>
      <c r="AK88" s="30">
        <f t="shared" si="122"/>
        <v>0</v>
      </c>
      <c r="AL88" s="30">
        <f t="shared" si="123"/>
        <v>0</v>
      </c>
      <c r="AN88" s="30">
        <v>12</v>
      </c>
      <c r="AO88" s="30">
        <f>G88*0.868746239</f>
        <v>0</v>
      </c>
      <c r="AP88" s="30">
        <f>G88*(1-0.868746239)</f>
        <v>0</v>
      </c>
      <c r="AQ88" s="31" t="s">
        <v>81</v>
      </c>
      <c r="AV88" s="30">
        <f t="shared" si="124"/>
        <v>0</v>
      </c>
      <c r="AW88" s="30">
        <f t="shared" si="125"/>
        <v>0</v>
      </c>
      <c r="AX88" s="30">
        <f t="shared" si="126"/>
        <v>0</v>
      </c>
      <c r="AY88" s="31" t="s">
        <v>226</v>
      </c>
      <c r="AZ88" s="31" t="s">
        <v>199</v>
      </c>
      <c r="BA88" s="10" t="s">
        <v>60</v>
      </c>
      <c r="BC88" s="30">
        <f t="shared" si="127"/>
        <v>0</v>
      </c>
      <c r="BD88" s="30">
        <f t="shared" si="128"/>
        <v>0</v>
      </c>
      <c r="BE88" s="30">
        <v>0</v>
      </c>
      <c r="BF88" s="30">
        <f>88</f>
        <v>88</v>
      </c>
      <c r="BH88" s="30">
        <f t="shared" si="129"/>
        <v>0</v>
      </c>
      <c r="BI88" s="30">
        <f t="shared" si="130"/>
        <v>0</v>
      </c>
      <c r="BJ88" s="30">
        <f t="shared" si="131"/>
        <v>0</v>
      </c>
      <c r="BK88" s="30"/>
      <c r="BL88" s="30">
        <v>722</v>
      </c>
      <c r="BW88" s="30">
        <v>12</v>
      </c>
      <c r="BX88" s="4" t="s">
        <v>260</v>
      </c>
    </row>
    <row r="89" spans="1:76" x14ac:dyDescent="0.25">
      <c r="A89" s="32" t="s">
        <v>115</v>
      </c>
      <c r="B89" s="33" t="s">
        <v>261</v>
      </c>
      <c r="C89" s="125" t="s">
        <v>262</v>
      </c>
      <c r="D89" s="126"/>
      <c r="E89" s="33" t="s">
        <v>56</v>
      </c>
      <c r="F89" s="34">
        <v>10</v>
      </c>
      <c r="G89" s="35">
        <v>0</v>
      </c>
      <c r="H89" s="34">
        <f t="shared" si="110"/>
        <v>0</v>
      </c>
      <c r="I89" s="34">
        <f t="shared" si="111"/>
        <v>0</v>
      </c>
      <c r="J89" s="34">
        <f t="shared" si="112"/>
        <v>0</v>
      </c>
      <c r="K89" s="36" t="s">
        <v>57</v>
      </c>
      <c r="Z89" s="30">
        <f t="shared" si="113"/>
        <v>0</v>
      </c>
      <c r="AB89" s="30">
        <f t="shared" si="114"/>
        <v>0</v>
      </c>
      <c r="AC89" s="30">
        <f t="shared" si="115"/>
        <v>0</v>
      </c>
      <c r="AD89" s="30">
        <f t="shared" si="116"/>
        <v>0</v>
      </c>
      <c r="AE89" s="30">
        <f t="shared" si="117"/>
        <v>0</v>
      </c>
      <c r="AF89" s="30">
        <f t="shared" si="118"/>
        <v>0</v>
      </c>
      <c r="AG89" s="30">
        <f t="shared" si="119"/>
        <v>0</v>
      </c>
      <c r="AH89" s="30">
        <f t="shared" si="120"/>
        <v>0</v>
      </c>
      <c r="AI89" s="10" t="s">
        <v>50</v>
      </c>
      <c r="AJ89" s="30">
        <f t="shared" si="121"/>
        <v>0</v>
      </c>
      <c r="AK89" s="30">
        <f t="shared" si="122"/>
        <v>0</v>
      </c>
      <c r="AL89" s="30">
        <f t="shared" si="123"/>
        <v>0</v>
      </c>
      <c r="AN89" s="30">
        <v>12</v>
      </c>
      <c r="AO89" s="30">
        <f>G89*0.52306338</f>
        <v>0</v>
      </c>
      <c r="AP89" s="30">
        <f>G89*(1-0.52306338)</f>
        <v>0</v>
      </c>
      <c r="AQ89" s="31" t="s">
        <v>81</v>
      </c>
      <c r="AV89" s="30">
        <f t="shared" si="124"/>
        <v>0</v>
      </c>
      <c r="AW89" s="30">
        <f t="shared" si="125"/>
        <v>0</v>
      </c>
      <c r="AX89" s="30">
        <f t="shared" si="126"/>
        <v>0</v>
      </c>
      <c r="AY89" s="31" t="s">
        <v>226</v>
      </c>
      <c r="AZ89" s="31" t="s">
        <v>199</v>
      </c>
      <c r="BA89" s="10" t="s">
        <v>60</v>
      </c>
      <c r="BC89" s="30">
        <f t="shared" si="127"/>
        <v>0</v>
      </c>
      <c r="BD89" s="30">
        <f t="shared" si="128"/>
        <v>0</v>
      </c>
      <c r="BE89" s="30">
        <v>0</v>
      </c>
      <c r="BF89" s="30">
        <f>89</f>
        <v>89</v>
      </c>
      <c r="BH89" s="30">
        <f t="shared" si="129"/>
        <v>0</v>
      </c>
      <c r="BI89" s="30">
        <f t="shared" si="130"/>
        <v>0</v>
      </c>
      <c r="BJ89" s="30">
        <f t="shared" si="131"/>
        <v>0</v>
      </c>
      <c r="BK89" s="30"/>
      <c r="BL89" s="30">
        <v>722</v>
      </c>
      <c r="BW89" s="30">
        <v>12</v>
      </c>
      <c r="BX89" s="4" t="s">
        <v>262</v>
      </c>
    </row>
    <row r="90" spans="1:76" x14ac:dyDescent="0.25">
      <c r="A90" s="32" t="s">
        <v>263</v>
      </c>
      <c r="B90" s="33" t="s">
        <v>264</v>
      </c>
      <c r="C90" s="125" t="s">
        <v>265</v>
      </c>
      <c r="D90" s="126"/>
      <c r="E90" s="33" t="s">
        <v>56</v>
      </c>
      <c r="F90" s="34">
        <v>2</v>
      </c>
      <c r="G90" s="35">
        <v>0</v>
      </c>
      <c r="H90" s="34">
        <f t="shared" si="110"/>
        <v>0</v>
      </c>
      <c r="I90" s="34">
        <f t="shared" si="111"/>
        <v>0</v>
      </c>
      <c r="J90" s="34">
        <f t="shared" si="112"/>
        <v>0</v>
      </c>
      <c r="K90" s="36" t="s">
        <v>57</v>
      </c>
      <c r="Z90" s="30">
        <f t="shared" si="113"/>
        <v>0</v>
      </c>
      <c r="AB90" s="30">
        <f t="shared" si="114"/>
        <v>0</v>
      </c>
      <c r="AC90" s="30">
        <f t="shared" si="115"/>
        <v>0</v>
      </c>
      <c r="AD90" s="30">
        <f t="shared" si="116"/>
        <v>0</v>
      </c>
      <c r="AE90" s="30">
        <f t="shared" si="117"/>
        <v>0</v>
      </c>
      <c r="AF90" s="30">
        <f t="shared" si="118"/>
        <v>0</v>
      </c>
      <c r="AG90" s="30">
        <f t="shared" si="119"/>
        <v>0</v>
      </c>
      <c r="AH90" s="30">
        <f t="shared" si="120"/>
        <v>0</v>
      </c>
      <c r="AI90" s="10" t="s">
        <v>50</v>
      </c>
      <c r="AJ90" s="30">
        <f t="shared" si="121"/>
        <v>0</v>
      </c>
      <c r="AK90" s="30">
        <f t="shared" si="122"/>
        <v>0</v>
      </c>
      <c r="AL90" s="30">
        <f t="shared" si="123"/>
        <v>0</v>
      </c>
      <c r="AN90" s="30">
        <v>12</v>
      </c>
      <c r="AO90" s="30">
        <f>G90*0.511456</f>
        <v>0</v>
      </c>
      <c r="AP90" s="30">
        <f>G90*(1-0.511456)</f>
        <v>0</v>
      </c>
      <c r="AQ90" s="31" t="s">
        <v>81</v>
      </c>
      <c r="AV90" s="30">
        <f t="shared" si="124"/>
        <v>0</v>
      </c>
      <c r="AW90" s="30">
        <f t="shared" si="125"/>
        <v>0</v>
      </c>
      <c r="AX90" s="30">
        <f t="shared" si="126"/>
        <v>0</v>
      </c>
      <c r="AY90" s="31" t="s">
        <v>226</v>
      </c>
      <c r="AZ90" s="31" t="s">
        <v>199</v>
      </c>
      <c r="BA90" s="10" t="s">
        <v>60</v>
      </c>
      <c r="BC90" s="30">
        <f t="shared" si="127"/>
        <v>0</v>
      </c>
      <c r="BD90" s="30">
        <f t="shared" si="128"/>
        <v>0</v>
      </c>
      <c r="BE90" s="30">
        <v>0</v>
      </c>
      <c r="BF90" s="30">
        <f>90</f>
        <v>90</v>
      </c>
      <c r="BH90" s="30">
        <f t="shared" si="129"/>
        <v>0</v>
      </c>
      <c r="BI90" s="30">
        <f t="shared" si="130"/>
        <v>0</v>
      </c>
      <c r="BJ90" s="30">
        <f t="shared" si="131"/>
        <v>0</v>
      </c>
      <c r="BK90" s="30"/>
      <c r="BL90" s="30">
        <v>722</v>
      </c>
      <c r="BW90" s="30">
        <v>12</v>
      </c>
      <c r="BX90" s="4" t="s">
        <v>265</v>
      </c>
    </row>
    <row r="91" spans="1:76" x14ac:dyDescent="0.25">
      <c r="A91" s="32" t="s">
        <v>266</v>
      </c>
      <c r="B91" s="33" t="s">
        <v>267</v>
      </c>
      <c r="C91" s="125" t="s">
        <v>268</v>
      </c>
      <c r="D91" s="126"/>
      <c r="E91" s="33" t="s">
        <v>269</v>
      </c>
      <c r="F91" s="34">
        <v>1</v>
      </c>
      <c r="G91" s="35">
        <v>0</v>
      </c>
      <c r="H91" s="34">
        <f t="shared" si="110"/>
        <v>0</v>
      </c>
      <c r="I91" s="34">
        <f t="shared" si="111"/>
        <v>0</v>
      </c>
      <c r="J91" s="34">
        <f t="shared" si="112"/>
        <v>0</v>
      </c>
      <c r="K91" s="36" t="s">
        <v>57</v>
      </c>
      <c r="Z91" s="30">
        <f t="shared" si="113"/>
        <v>0</v>
      </c>
      <c r="AB91" s="30">
        <f t="shared" si="114"/>
        <v>0</v>
      </c>
      <c r="AC91" s="30">
        <f t="shared" si="115"/>
        <v>0</v>
      </c>
      <c r="AD91" s="30">
        <f t="shared" si="116"/>
        <v>0</v>
      </c>
      <c r="AE91" s="30">
        <f t="shared" si="117"/>
        <v>0</v>
      </c>
      <c r="AF91" s="30">
        <f t="shared" si="118"/>
        <v>0</v>
      </c>
      <c r="AG91" s="30">
        <f t="shared" si="119"/>
        <v>0</v>
      </c>
      <c r="AH91" s="30">
        <f t="shared" si="120"/>
        <v>0</v>
      </c>
      <c r="AI91" s="10" t="s">
        <v>50</v>
      </c>
      <c r="AJ91" s="30">
        <f t="shared" si="121"/>
        <v>0</v>
      </c>
      <c r="AK91" s="30">
        <f t="shared" si="122"/>
        <v>0</v>
      </c>
      <c r="AL91" s="30">
        <f t="shared" si="123"/>
        <v>0</v>
      </c>
      <c r="AN91" s="30">
        <v>12</v>
      </c>
      <c r="AO91" s="30">
        <f>G91*0.529089317</f>
        <v>0</v>
      </c>
      <c r="AP91" s="30">
        <f>G91*(1-0.529089317)</f>
        <v>0</v>
      </c>
      <c r="AQ91" s="31" t="s">
        <v>81</v>
      </c>
      <c r="AV91" s="30">
        <f t="shared" si="124"/>
        <v>0</v>
      </c>
      <c r="AW91" s="30">
        <f t="shared" si="125"/>
        <v>0</v>
      </c>
      <c r="AX91" s="30">
        <f t="shared" si="126"/>
        <v>0</v>
      </c>
      <c r="AY91" s="31" t="s">
        <v>226</v>
      </c>
      <c r="AZ91" s="31" t="s">
        <v>199</v>
      </c>
      <c r="BA91" s="10" t="s">
        <v>60</v>
      </c>
      <c r="BC91" s="30">
        <f t="shared" si="127"/>
        <v>0</v>
      </c>
      <c r="BD91" s="30">
        <f t="shared" si="128"/>
        <v>0</v>
      </c>
      <c r="BE91" s="30">
        <v>0</v>
      </c>
      <c r="BF91" s="30">
        <f>91</f>
        <v>91</v>
      </c>
      <c r="BH91" s="30">
        <f t="shared" si="129"/>
        <v>0</v>
      </c>
      <c r="BI91" s="30">
        <f t="shared" si="130"/>
        <v>0</v>
      </c>
      <c r="BJ91" s="30">
        <f t="shared" si="131"/>
        <v>0</v>
      </c>
      <c r="BK91" s="30"/>
      <c r="BL91" s="30">
        <v>722</v>
      </c>
      <c r="BW91" s="30">
        <v>12</v>
      </c>
      <c r="BX91" s="4" t="s">
        <v>268</v>
      </c>
    </row>
    <row r="92" spans="1:76" x14ac:dyDescent="0.25">
      <c r="A92" s="32" t="s">
        <v>176</v>
      </c>
      <c r="B92" s="33" t="s">
        <v>270</v>
      </c>
      <c r="C92" s="125" t="s">
        <v>271</v>
      </c>
      <c r="D92" s="126"/>
      <c r="E92" s="33" t="s">
        <v>56</v>
      </c>
      <c r="F92" s="34">
        <v>10</v>
      </c>
      <c r="G92" s="35">
        <v>0</v>
      </c>
      <c r="H92" s="34">
        <f t="shared" si="110"/>
        <v>0</v>
      </c>
      <c r="I92" s="34">
        <f t="shared" si="111"/>
        <v>0</v>
      </c>
      <c r="J92" s="34">
        <f t="shared" si="112"/>
        <v>0</v>
      </c>
      <c r="K92" s="36" t="s">
        <v>57</v>
      </c>
      <c r="Z92" s="30">
        <f t="shared" si="113"/>
        <v>0</v>
      </c>
      <c r="AB92" s="30">
        <f t="shared" si="114"/>
        <v>0</v>
      </c>
      <c r="AC92" s="30">
        <f t="shared" si="115"/>
        <v>0</v>
      </c>
      <c r="AD92" s="30">
        <f t="shared" si="116"/>
        <v>0</v>
      </c>
      <c r="AE92" s="30">
        <f t="shared" si="117"/>
        <v>0</v>
      </c>
      <c r="AF92" s="30">
        <f t="shared" si="118"/>
        <v>0</v>
      </c>
      <c r="AG92" s="30">
        <f t="shared" si="119"/>
        <v>0</v>
      </c>
      <c r="AH92" s="30">
        <f t="shared" si="120"/>
        <v>0</v>
      </c>
      <c r="AI92" s="10" t="s">
        <v>50</v>
      </c>
      <c r="AJ92" s="30">
        <f t="shared" si="121"/>
        <v>0</v>
      </c>
      <c r="AK92" s="30">
        <f t="shared" si="122"/>
        <v>0</v>
      </c>
      <c r="AL92" s="30">
        <f t="shared" si="123"/>
        <v>0</v>
      </c>
      <c r="AN92" s="30">
        <v>12</v>
      </c>
      <c r="AO92" s="30">
        <f>G92*0.65240367</f>
        <v>0</v>
      </c>
      <c r="AP92" s="30">
        <f>G92*(1-0.65240367)</f>
        <v>0</v>
      </c>
      <c r="AQ92" s="31" t="s">
        <v>81</v>
      </c>
      <c r="AV92" s="30">
        <f t="shared" si="124"/>
        <v>0</v>
      </c>
      <c r="AW92" s="30">
        <f t="shared" si="125"/>
        <v>0</v>
      </c>
      <c r="AX92" s="30">
        <f t="shared" si="126"/>
        <v>0</v>
      </c>
      <c r="AY92" s="31" t="s">
        <v>226</v>
      </c>
      <c r="AZ92" s="31" t="s">
        <v>199</v>
      </c>
      <c r="BA92" s="10" t="s">
        <v>60</v>
      </c>
      <c r="BC92" s="30">
        <f t="shared" si="127"/>
        <v>0</v>
      </c>
      <c r="BD92" s="30">
        <f t="shared" si="128"/>
        <v>0</v>
      </c>
      <c r="BE92" s="30">
        <v>0</v>
      </c>
      <c r="BF92" s="30">
        <f>92</f>
        <v>92</v>
      </c>
      <c r="BH92" s="30">
        <f t="shared" si="129"/>
        <v>0</v>
      </c>
      <c r="BI92" s="30">
        <f t="shared" si="130"/>
        <v>0</v>
      </c>
      <c r="BJ92" s="30">
        <f t="shared" si="131"/>
        <v>0</v>
      </c>
      <c r="BK92" s="30"/>
      <c r="BL92" s="30">
        <v>722</v>
      </c>
      <c r="BW92" s="30">
        <v>12</v>
      </c>
      <c r="BX92" s="4" t="s">
        <v>271</v>
      </c>
    </row>
    <row r="93" spans="1:76" x14ac:dyDescent="0.25">
      <c r="A93" s="32" t="s">
        <v>272</v>
      </c>
      <c r="B93" s="33" t="s">
        <v>273</v>
      </c>
      <c r="C93" s="125" t="s">
        <v>274</v>
      </c>
      <c r="D93" s="126"/>
      <c r="E93" s="33" t="s">
        <v>80</v>
      </c>
      <c r="F93" s="34">
        <v>29.8</v>
      </c>
      <c r="G93" s="35">
        <v>0</v>
      </c>
      <c r="H93" s="34">
        <f t="shared" si="110"/>
        <v>0</v>
      </c>
      <c r="I93" s="34">
        <f t="shared" si="111"/>
        <v>0</v>
      </c>
      <c r="J93" s="34">
        <f t="shared" si="112"/>
        <v>0</v>
      </c>
      <c r="K93" s="36" t="s">
        <v>57</v>
      </c>
      <c r="Z93" s="30">
        <f t="shared" si="113"/>
        <v>0</v>
      </c>
      <c r="AB93" s="30">
        <f t="shared" si="114"/>
        <v>0</v>
      </c>
      <c r="AC93" s="30">
        <f t="shared" si="115"/>
        <v>0</v>
      </c>
      <c r="AD93" s="30">
        <f t="shared" si="116"/>
        <v>0</v>
      </c>
      <c r="AE93" s="30">
        <f t="shared" si="117"/>
        <v>0</v>
      </c>
      <c r="AF93" s="30">
        <f t="shared" si="118"/>
        <v>0</v>
      </c>
      <c r="AG93" s="30">
        <f t="shared" si="119"/>
        <v>0</v>
      </c>
      <c r="AH93" s="30">
        <f t="shared" si="120"/>
        <v>0</v>
      </c>
      <c r="AI93" s="10" t="s">
        <v>50</v>
      </c>
      <c r="AJ93" s="30">
        <f t="shared" si="121"/>
        <v>0</v>
      </c>
      <c r="AK93" s="30">
        <f t="shared" si="122"/>
        <v>0</v>
      </c>
      <c r="AL93" s="30">
        <f t="shared" si="123"/>
        <v>0</v>
      </c>
      <c r="AN93" s="30">
        <v>12</v>
      </c>
      <c r="AO93" s="30">
        <f>G93*0.239779006</f>
        <v>0</v>
      </c>
      <c r="AP93" s="30">
        <f>G93*(1-0.239779006)</f>
        <v>0</v>
      </c>
      <c r="AQ93" s="31" t="s">
        <v>81</v>
      </c>
      <c r="AV93" s="30">
        <f t="shared" si="124"/>
        <v>0</v>
      </c>
      <c r="AW93" s="30">
        <f t="shared" si="125"/>
        <v>0</v>
      </c>
      <c r="AX93" s="30">
        <f t="shared" si="126"/>
        <v>0</v>
      </c>
      <c r="AY93" s="31" t="s">
        <v>226</v>
      </c>
      <c r="AZ93" s="31" t="s">
        <v>199</v>
      </c>
      <c r="BA93" s="10" t="s">
        <v>60</v>
      </c>
      <c r="BC93" s="30">
        <f t="shared" si="127"/>
        <v>0</v>
      </c>
      <c r="BD93" s="30">
        <f t="shared" si="128"/>
        <v>0</v>
      </c>
      <c r="BE93" s="30">
        <v>0</v>
      </c>
      <c r="BF93" s="30">
        <f>93</f>
        <v>93</v>
      </c>
      <c r="BH93" s="30">
        <f t="shared" si="129"/>
        <v>0</v>
      </c>
      <c r="BI93" s="30">
        <f t="shared" si="130"/>
        <v>0</v>
      </c>
      <c r="BJ93" s="30">
        <f t="shared" si="131"/>
        <v>0</v>
      </c>
      <c r="BK93" s="30"/>
      <c r="BL93" s="30">
        <v>722</v>
      </c>
      <c r="BW93" s="30">
        <v>12</v>
      </c>
      <c r="BX93" s="4" t="s">
        <v>274</v>
      </c>
    </row>
    <row r="94" spans="1:76" x14ac:dyDescent="0.25">
      <c r="A94" s="32" t="s">
        <v>275</v>
      </c>
      <c r="B94" s="33" t="s">
        <v>276</v>
      </c>
      <c r="C94" s="125" t="s">
        <v>277</v>
      </c>
      <c r="D94" s="126"/>
      <c r="E94" s="33" t="s">
        <v>80</v>
      </c>
      <c r="F94" s="34">
        <v>29.8</v>
      </c>
      <c r="G94" s="35">
        <v>0</v>
      </c>
      <c r="H94" s="34">
        <f t="shared" si="110"/>
        <v>0</v>
      </c>
      <c r="I94" s="34">
        <f t="shared" si="111"/>
        <v>0</v>
      </c>
      <c r="J94" s="34">
        <f t="shared" si="112"/>
        <v>0</v>
      </c>
      <c r="K94" s="36" t="s">
        <v>57</v>
      </c>
      <c r="Z94" s="30">
        <f t="shared" si="113"/>
        <v>0</v>
      </c>
      <c r="AB94" s="30">
        <f t="shared" si="114"/>
        <v>0</v>
      </c>
      <c r="AC94" s="30">
        <f t="shared" si="115"/>
        <v>0</v>
      </c>
      <c r="AD94" s="30">
        <f t="shared" si="116"/>
        <v>0</v>
      </c>
      <c r="AE94" s="30">
        <f t="shared" si="117"/>
        <v>0</v>
      </c>
      <c r="AF94" s="30">
        <f t="shared" si="118"/>
        <v>0</v>
      </c>
      <c r="AG94" s="30">
        <f t="shared" si="119"/>
        <v>0</v>
      </c>
      <c r="AH94" s="30">
        <f t="shared" si="120"/>
        <v>0</v>
      </c>
      <c r="AI94" s="10" t="s">
        <v>50</v>
      </c>
      <c r="AJ94" s="30">
        <f t="shared" si="121"/>
        <v>0</v>
      </c>
      <c r="AK94" s="30">
        <f t="shared" si="122"/>
        <v>0</v>
      </c>
      <c r="AL94" s="30">
        <f t="shared" si="123"/>
        <v>0</v>
      </c>
      <c r="AN94" s="30">
        <v>12</v>
      </c>
      <c r="AO94" s="30">
        <f>G94*0.05464191</f>
        <v>0</v>
      </c>
      <c r="AP94" s="30">
        <f>G94*(1-0.05464191)</f>
        <v>0</v>
      </c>
      <c r="AQ94" s="31" t="s">
        <v>81</v>
      </c>
      <c r="AV94" s="30">
        <f t="shared" si="124"/>
        <v>0</v>
      </c>
      <c r="AW94" s="30">
        <f t="shared" si="125"/>
        <v>0</v>
      </c>
      <c r="AX94" s="30">
        <f t="shared" si="126"/>
        <v>0</v>
      </c>
      <c r="AY94" s="31" t="s">
        <v>226</v>
      </c>
      <c r="AZ94" s="31" t="s">
        <v>199</v>
      </c>
      <c r="BA94" s="10" t="s">
        <v>60</v>
      </c>
      <c r="BC94" s="30">
        <f t="shared" si="127"/>
        <v>0</v>
      </c>
      <c r="BD94" s="30">
        <f t="shared" si="128"/>
        <v>0</v>
      </c>
      <c r="BE94" s="30">
        <v>0</v>
      </c>
      <c r="BF94" s="30">
        <f>94</f>
        <v>94</v>
      </c>
      <c r="BH94" s="30">
        <f t="shared" si="129"/>
        <v>0</v>
      </c>
      <c r="BI94" s="30">
        <f t="shared" si="130"/>
        <v>0</v>
      </c>
      <c r="BJ94" s="30">
        <f t="shared" si="131"/>
        <v>0</v>
      </c>
      <c r="BK94" s="30"/>
      <c r="BL94" s="30">
        <v>722</v>
      </c>
      <c r="BW94" s="30">
        <v>12</v>
      </c>
      <c r="BX94" s="4" t="s">
        <v>277</v>
      </c>
    </row>
    <row r="95" spans="1:76" x14ac:dyDescent="0.25">
      <c r="A95" s="32" t="s">
        <v>278</v>
      </c>
      <c r="B95" s="33" t="s">
        <v>279</v>
      </c>
      <c r="C95" s="125" t="s">
        <v>280</v>
      </c>
      <c r="D95" s="126"/>
      <c r="E95" s="33" t="s">
        <v>90</v>
      </c>
      <c r="F95" s="34">
        <v>0.10738</v>
      </c>
      <c r="G95" s="35">
        <v>0</v>
      </c>
      <c r="H95" s="34">
        <f t="shared" si="110"/>
        <v>0</v>
      </c>
      <c r="I95" s="34">
        <f t="shared" si="111"/>
        <v>0</v>
      </c>
      <c r="J95" s="34">
        <f t="shared" si="112"/>
        <v>0</v>
      </c>
      <c r="K95" s="36" t="s">
        <v>57</v>
      </c>
      <c r="Z95" s="30">
        <f t="shared" si="113"/>
        <v>0</v>
      </c>
      <c r="AB95" s="30">
        <f t="shared" si="114"/>
        <v>0</v>
      </c>
      <c r="AC95" s="30">
        <f t="shared" si="115"/>
        <v>0</v>
      </c>
      <c r="AD95" s="30">
        <f t="shared" si="116"/>
        <v>0</v>
      </c>
      <c r="AE95" s="30">
        <f t="shared" si="117"/>
        <v>0</v>
      </c>
      <c r="AF95" s="30">
        <f t="shared" si="118"/>
        <v>0</v>
      </c>
      <c r="AG95" s="30">
        <f t="shared" si="119"/>
        <v>0</v>
      </c>
      <c r="AH95" s="30">
        <f t="shared" si="120"/>
        <v>0</v>
      </c>
      <c r="AI95" s="10" t="s">
        <v>50</v>
      </c>
      <c r="AJ95" s="30">
        <f t="shared" si="121"/>
        <v>0</v>
      </c>
      <c r="AK95" s="30">
        <f t="shared" si="122"/>
        <v>0</v>
      </c>
      <c r="AL95" s="30">
        <f t="shared" si="123"/>
        <v>0</v>
      </c>
      <c r="AN95" s="30">
        <v>12</v>
      </c>
      <c r="AO95" s="30">
        <f>G95*0</f>
        <v>0</v>
      </c>
      <c r="AP95" s="30">
        <f>G95*(1-0)</f>
        <v>0</v>
      </c>
      <c r="AQ95" s="31" t="s">
        <v>74</v>
      </c>
      <c r="AV95" s="30">
        <f t="shared" si="124"/>
        <v>0</v>
      </c>
      <c r="AW95" s="30">
        <f t="shared" si="125"/>
        <v>0</v>
      </c>
      <c r="AX95" s="30">
        <f t="shared" si="126"/>
        <v>0</v>
      </c>
      <c r="AY95" s="31" t="s">
        <v>226</v>
      </c>
      <c r="AZ95" s="31" t="s">
        <v>199</v>
      </c>
      <c r="BA95" s="10" t="s">
        <v>60</v>
      </c>
      <c r="BC95" s="30">
        <f t="shared" si="127"/>
        <v>0</v>
      </c>
      <c r="BD95" s="30">
        <f t="shared" si="128"/>
        <v>0</v>
      </c>
      <c r="BE95" s="30">
        <v>0</v>
      </c>
      <c r="BF95" s="30">
        <f>95</f>
        <v>95</v>
      </c>
      <c r="BH95" s="30">
        <f t="shared" si="129"/>
        <v>0</v>
      </c>
      <c r="BI95" s="30">
        <f t="shared" si="130"/>
        <v>0</v>
      </c>
      <c r="BJ95" s="30">
        <f t="shared" si="131"/>
        <v>0</v>
      </c>
      <c r="BK95" s="30"/>
      <c r="BL95" s="30">
        <v>722</v>
      </c>
      <c r="BW95" s="30">
        <v>12</v>
      </c>
      <c r="BX95" s="4" t="s">
        <v>280</v>
      </c>
    </row>
    <row r="96" spans="1:76" x14ac:dyDescent="0.25">
      <c r="A96" s="39" t="s">
        <v>50</v>
      </c>
      <c r="B96" s="40" t="s">
        <v>281</v>
      </c>
      <c r="C96" s="131" t="s">
        <v>282</v>
      </c>
      <c r="D96" s="132"/>
      <c r="E96" s="41" t="s">
        <v>4</v>
      </c>
      <c r="F96" s="41" t="s">
        <v>4</v>
      </c>
      <c r="G96" s="42" t="s">
        <v>4</v>
      </c>
      <c r="H96" s="43">
        <f>SUM(H97:H102)</f>
        <v>0</v>
      </c>
      <c r="I96" s="43">
        <f>SUM(I97:I102)</f>
        <v>0</v>
      </c>
      <c r="J96" s="43">
        <f>SUM(J97:J102)</f>
        <v>0</v>
      </c>
      <c r="K96" s="44" t="s">
        <v>50</v>
      </c>
      <c r="AI96" s="10" t="s">
        <v>50</v>
      </c>
      <c r="AS96" s="1">
        <f>SUM(AJ97:AJ102)</f>
        <v>0</v>
      </c>
      <c r="AT96" s="1">
        <f>SUM(AK97:AK102)</f>
        <v>0</v>
      </c>
      <c r="AU96" s="1">
        <f>SUM(AL97:AL102)</f>
        <v>0</v>
      </c>
    </row>
    <row r="97" spans="1:76" x14ac:dyDescent="0.25">
      <c r="A97" s="25" t="s">
        <v>283</v>
      </c>
      <c r="B97" s="26" t="s">
        <v>284</v>
      </c>
      <c r="C97" s="123" t="s">
        <v>285</v>
      </c>
      <c r="D97" s="124"/>
      <c r="E97" s="26" t="s">
        <v>80</v>
      </c>
      <c r="F97" s="27">
        <v>20.5</v>
      </c>
      <c r="G97" s="28">
        <v>0</v>
      </c>
      <c r="H97" s="27">
        <f t="shared" ref="H97:H102" si="132">F97*AO97</f>
        <v>0</v>
      </c>
      <c r="I97" s="27">
        <f t="shared" ref="I97:I102" si="133">F97*AP97</f>
        <v>0</v>
      </c>
      <c r="J97" s="27">
        <f t="shared" ref="J97:J102" si="134">F97*G97</f>
        <v>0</v>
      </c>
      <c r="K97" s="29" t="s">
        <v>57</v>
      </c>
      <c r="Z97" s="30">
        <f t="shared" ref="Z97:Z102" si="135">IF(AQ97="5",BJ97,0)</f>
        <v>0</v>
      </c>
      <c r="AB97" s="30">
        <f t="shared" ref="AB97:AB102" si="136">IF(AQ97="1",BH97,0)</f>
        <v>0</v>
      </c>
      <c r="AC97" s="30">
        <f t="shared" ref="AC97:AC102" si="137">IF(AQ97="1",BI97,0)</f>
        <v>0</v>
      </c>
      <c r="AD97" s="30">
        <f t="shared" ref="AD97:AD102" si="138">IF(AQ97="7",BH97,0)</f>
        <v>0</v>
      </c>
      <c r="AE97" s="30">
        <f t="shared" ref="AE97:AE102" si="139">IF(AQ97="7",BI97,0)</f>
        <v>0</v>
      </c>
      <c r="AF97" s="30">
        <f t="shared" ref="AF97:AF102" si="140">IF(AQ97="2",BH97,0)</f>
        <v>0</v>
      </c>
      <c r="AG97" s="30">
        <f t="shared" ref="AG97:AG102" si="141">IF(AQ97="2",BI97,0)</f>
        <v>0</v>
      </c>
      <c r="AH97" s="30">
        <f t="shared" ref="AH97:AH102" si="142">IF(AQ97="0",BJ97,0)</f>
        <v>0</v>
      </c>
      <c r="AI97" s="10" t="s">
        <v>50</v>
      </c>
      <c r="AJ97" s="30">
        <f t="shared" ref="AJ97:AJ102" si="143">IF(AN97=0,J97,0)</f>
        <v>0</v>
      </c>
      <c r="AK97" s="30">
        <f t="shared" ref="AK97:AK102" si="144">IF(AN97=12,J97,0)</f>
        <v>0</v>
      </c>
      <c r="AL97" s="30">
        <f t="shared" ref="AL97:AL102" si="145">IF(AN97=21,J97,0)</f>
        <v>0</v>
      </c>
      <c r="AN97" s="30">
        <v>12</v>
      </c>
      <c r="AO97" s="30">
        <f>G97*0.894490618</f>
        <v>0</v>
      </c>
      <c r="AP97" s="30">
        <f>G97*(1-0.894490618)</f>
        <v>0</v>
      </c>
      <c r="AQ97" s="31" t="s">
        <v>81</v>
      </c>
      <c r="AV97" s="30">
        <f t="shared" ref="AV97:AV102" si="146">AW97+AX97</f>
        <v>0</v>
      </c>
      <c r="AW97" s="30">
        <f t="shared" ref="AW97:AW102" si="147">F97*AO97</f>
        <v>0</v>
      </c>
      <c r="AX97" s="30">
        <f t="shared" ref="AX97:AX102" si="148">F97*AP97</f>
        <v>0</v>
      </c>
      <c r="AY97" s="31" t="s">
        <v>286</v>
      </c>
      <c r="AZ97" s="31" t="s">
        <v>199</v>
      </c>
      <c r="BA97" s="10" t="s">
        <v>60</v>
      </c>
      <c r="BC97" s="30">
        <f t="shared" ref="BC97:BC102" si="149">AW97+AX97</f>
        <v>0</v>
      </c>
      <c r="BD97" s="30">
        <f t="shared" ref="BD97:BD102" si="150">G97/(100-BE97)*100</f>
        <v>0</v>
      </c>
      <c r="BE97" s="30">
        <v>0</v>
      </c>
      <c r="BF97" s="30">
        <f>97</f>
        <v>97</v>
      </c>
      <c r="BH97" s="30">
        <f t="shared" ref="BH97:BH102" si="151">F97*AO97</f>
        <v>0</v>
      </c>
      <c r="BI97" s="30">
        <f t="shared" ref="BI97:BI102" si="152">F97*AP97</f>
        <v>0</v>
      </c>
      <c r="BJ97" s="30">
        <f t="shared" ref="BJ97:BJ102" si="153">F97*G97</f>
        <v>0</v>
      </c>
      <c r="BK97" s="30"/>
      <c r="BL97" s="30">
        <v>723</v>
      </c>
      <c r="BW97" s="30">
        <v>12</v>
      </c>
      <c r="BX97" s="4" t="s">
        <v>285</v>
      </c>
    </row>
    <row r="98" spans="1:76" ht="25.5" x14ac:dyDescent="0.25">
      <c r="A98" s="32" t="s">
        <v>287</v>
      </c>
      <c r="B98" s="33" t="s">
        <v>288</v>
      </c>
      <c r="C98" s="125" t="s">
        <v>289</v>
      </c>
      <c r="D98" s="126"/>
      <c r="E98" s="33" t="s">
        <v>80</v>
      </c>
      <c r="F98" s="34">
        <v>7.5</v>
      </c>
      <c r="G98" s="35">
        <v>0</v>
      </c>
      <c r="H98" s="34">
        <f t="shared" si="132"/>
        <v>0</v>
      </c>
      <c r="I98" s="34">
        <f t="shared" si="133"/>
        <v>0</v>
      </c>
      <c r="J98" s="34">
        <f t="shared" si="134"/>
        <v>0</v>
      </c>
      <c r="K98" s="36" t="s">
        <v>57</v>
      </c>
      <c r="Z98" s="30">
        <f t="shared" si="135"/>
        <v>0</v>
      </c>
      <c r="AB98" s="30">
        <f t="shared" si="136"/>
        <v>0</v>
      </c>
      <c r="AC98" s="30">
        <f t="shared" si="137"/>
        <v>0</v>
      </c>
      <c r="AD98" s="30">
        <f t="shared" si="138"/>
        <v>0</v>
      </c>
      <c r="AE98" s="30">
        <f t="shared" si="139"/>
        <v>0</v>
      </c>
      <c r="AF98" s="30">
        <f t="shared" si="140"/>
        <v>0</v>
      </c>
      <c r="AG98" s="30">
        <f t="shared" si="141"/>
        <v>0</v>
      </c>
      <c r="AH98" s="30">
        <f t="shared" si="142"/>
        <v>0</v>
      </c>
      <c r="AI98" s="10" t="s">
        <v>50</v>
      </c>
      <c r="AJ98" s="30">
        <f t="shared" si="143"/>
        <v>0</v>
      </c>
      <c r="AK98" s="30">
        <f t="shared" si="144"/>
        <v>0</v>
      </c>
      <c r="AL98" s="30">
        <f t="shared" si="145"/>
        <v>0</v>
      </c>
      <c r="AN98" s="30">
        <v>12</v>
      </c>
      <c r="AO98" s="30">
        <f>G98*0.87855173</f>
        <v>0</v>
      </c>
      <c r="AP98" s="30">
        <f>G98*(1-0.87855173)</f>
        <v>0</v>
      </c>
      <c r="AQ98" s="31" t="s">
        <v>81</v>
      </c>
      <c r="AV98" s="30">
        <f t="shared" si="146"/>
        <v>0</v>
      </c>
      <c r="AW98" s="30">
        <f t="shared" si="147"/>
        <v>0</v>
      </c>
      <c r="AX98" s="30">
        <f t="shared" si="148"/>
        <v>0</v>
      </c>
      <c r="AY98" s="31" t="s">
        <v>286</v>
      </c>
      <c r="AZ98" s="31" t="s">
        <v>199</v>
      </c>
      <c r="BA98" s="10" t="s">
        <v>60</v>
      </c>
      <c r="BC98" s="30">
        <f t="shared" si="149"/>
        <v>0</v>
      </c>
      <c r="BD98" s="30">
        <f t="shared" si="150"/>
        <v>0</v>
      </c>
      <c r="BE98" s="30">
        <v>0</v>
      </c>
      <c r="BF98" s="30">
        <f>98</f>
        <v>98</v>
      </c>
      <c r="BH98" s="30">
        <f t="shared" si="151"/>
        <v>0</v>
      </c>
      <c r="BI98" s="30">
        <f t="shared" si="152"/>
        <v>0</v>
      </c>
      <c r="BJ98" s="30">
        <f t="shared" si="153"/>
        <v>0</v>
      </c>
      <c r="BK98" s="30"/>
      <c r="BL98" s="30">
        <v>723</v>
      </c>
      <c r="BW98" s="30">
        <v>12</v>
      </c>
      <c r="BX98" s="4" t="s">
        <v>289</v>
      </c>
    </row>
    <row r="99" spans="1:76" x14ac:dyDescent="0.25">
      <c r="A99" s="32" t="s">
        <v>290</v>
      </c>
      <c r="B99" s="33" t="s">
        <v>291</v>
      </c>
      <c r="C99" s="125" t="s">
        <v>292</v>
      </c>
      <c r="D99" s="126"/>
      <c r="E99" s="33" t="s">
        <v>56</v>
      </c>
      <c r="F99" s="34">
        <v>1</v>
      </c>
      <c r="G99" s="35">
        <v>0</v>
      </c>
      <c r="H99" s="34">
        <f t="shared" si="132"/>
        <v>0</v>
      </c>
      <c r="I99" s="34">
        <f t="shared" si="133"/>
        <v>0</v>
      </c>
      <c r="J99" s="34">
        <f t="shared" si="134"/>
        <v>0</v>
      </c>
      <c r="K99" s="36" t="s">
        <v>57</v>
      </c>
      <c r="Z99" s="30">
        <f t="shared" si="135"/>
        <v>0</v>
      </c>
      <c r="AB99" s="30">
        <f t="shared" si="136"/>
        <v>0</v>
      </c>
      <c r="AC99" s="30">
        <f t="shared" si="137"/>
        <v>0</v>
      </c>
      <c r="AD99" s="30">
        <f t="shared" si="138"/>
        <v>0</v>
      </c>
      <c r="AE99" s="30">
        <f t="shared" si="139"/>
        <v>0</v>
      </c>
      <c r="AF99" s="30">
        <f t="shared" si="140"/>
        <v>0</v>
      </c>
      <c r="AG99" s="30">
        <f t="shared" si="141"/>
        <v>0</v>
      </c>
      <c r="AH99" s="30">
        <f t="shared" si="142"/>
        <v>0</v>
      </c>
      <c r="AI99" s="10" t="s">
        <v>50</v>
      </c>
      <c r="AJ99" s="30">
        <f t="shared" si="143"/>
        <v>0</v>
      </c>
      <c r="AK99" s="30">
        <f t="shared" si="144"/>
        <v>0</v>
      </c>
      <c r="AL99" s="30">
        <f t="shared" si="145"/>
        <v>0</v>
      </c>
      <c r="AN99" s="30">
        <v>12</v>
      </c>
      <c r="AO99" s="30">
        <f>G99*0.893874302</f>
        <v>0</v>
      </c>
      <c r="AP99" s="30">
        <f>G99*(1-0.893874302)</f>
        <v>0</v>
      </c>
      <c r="AQ99" s="31" t="s">
        <v>81</v>
      </c>
      <c r="AV99" s="30">
        <f t="shared" si="146"/>
        <v>0</v>
      </c>
      <c r="AW99" s="30">
        <f t="shared" si="147"/>
        <v>0</v>
      </c>
      <c r="AX99" s="30">
        <f t="shared" si="148"/>
        <v>0</v>
      </c>
      <c r="AY99" s="31" t="s">
        <v>286</v>
      </c>
      <c r="AZ99" s="31" t="s">
        <v>199</v>
      </c>
      <c r="BA99" s="10" t="s">
        <v>60</v>
      </c>
      <c r="BC99" s="30">
        <f t="shared" si="149"/>
        <v>0</v>
      </c>
      <c r="BD99" s="30">
        <f t="shared" si="150"/>
        <v>0</v>
      </c>
      <c r="BE99" s="30">
        <v>0</v>
      </c>
      <c r="BF99" s="30">
        <f>99</f>
        <v>99</v>
      </c>
      <c r="BH99" s="30">
        <f t="shared" si="151"/>
        <v>0</v>
      </c>
      <c r="BI99" s="30">
        <f t="shared" si="152"/>
        <v>0</v>
      </c>
      <c r="BJ99" s="30">
        <f t="shared" si="153"/>
        <v>0</v>
      </c>
      <c r="BK99" s="30"/>
      <c r="BL99" s="30">
        <v>723</v>
      </c>
      <c r="BW99" s="30">
        <v>12</v>
      </c>
      <c r="BX99" s="4" t="s">
        <v>292</v>
      </c>
    </row>
    <row r="100" spans="1:76" x14ac:dyDescent="0.25">
      <c r="A100" s="32" t="s">
        <v>293</v>
      </c>
      <c r="B100" s="33" t="s">
        <v>294</v>
      </c>
      <c r="C100" s="125" t="s">
        <v>295</v>
      </c>
      <c r="D100" s="126"/>
      <c r="E100" s="33" t="s">
        <v>80</v>
      </c>
      <c r="F100" s="34">
        <v>7.5</v>
      </c>
      <c r="G100" s="35">
        <v>0</v>
      </c>
      <c r="H100" s="34">
        <f t="shared" si="132"/>
        <v>0</v>
      </c>
      <c r="I100" s="34">
        <f t="shared" si="133"/>
        <v>0</v>
      </c>
      <c r="J100" s="34">
        <f t="shared" si="134"/>
        <v>0</v>
      </c>
      <c r="K100" s="36" t="s">
        <v>57</v>
      </c>
      <c r="Z100" s="30">
        <f t="shared" si="135"/>
        <v>0</v>
      </c>
      <c r="AB100" s="30">
        <f t="shared" si="136"/>
        <v>0</v>
      </c>
      <c r="AC100" s="30">
        <f t="shared" si="137"/>
        <v>0</v>
      </c>
      <c r="AD100" s="30">
        <f t="shared" si="138"/>
        <v>0</v>
      </c>
      <c r="AE100" s="30">
        <f t="shared" si="139"/>
        <v>0</v>
      </c>
      <c r="AF100" s="30">
        <f t="shared" si="140"/>
        <v>0</v>
      </c>
      <c r="AG100" s="30">
        <f t="shared" si="141"/>
        <v>0</v>
      </c>
      <c r="AH100" s="30">
        <f t="shared" si="142"/>
        <v>0</v>
      </c>
      <c r="AI100" s="10" t="s">
        <v>50</v>
      </c>
      <c r="AJ100" s="30">
        <f t="shared" si="143"/>
        <v>0</v>
      </c>
      <c r="AK100" s="30">
        <f t="shared" si="144"/>
        <v>0</v>
      </c>
      <c r="AL100" s="30">
        <f t="shared" si="145"/>
        <v>0</v>
      </c>
      <c r="AN100" s="30">
        <v>12</v>
      </c>
      <c r="AO100" s="30">
        <f>G100*0</f>
        <v>0</v>
      </c>
      <c r="AP100" s="30">
        <f>G100*(1-0)</f>
        <v>0</v>
      </c>
      <c r="AQ100" s="31" t="s">
        <v>81</v>
      </c>
      <c r="AV100" s="30">
        <f t="shared" si="146"/>
        <v>0</v>
      </c>
      <c r="AW100" s="30">
        <f t="shared" si="147"/>
        <v>0</v>
      </c>
      <c r="AX100" s="30">
        <f t="shared" si="148"/>
        <v>0</v>
      </c>
      <c r="AY100" s="31" t="s">
        <v>286</v>
      </c>
      <c r="AZ100" s="31" t="s">
        <v>199</v>
      </c>
      <c r="BA100" s="10" t="s">
        <v>60</v>
      </c>
      <c r="BC100" s="30">
        <f t="shared" si="149"/>
        <v>0</v>
      </c>
      <c r="BD100" s="30">
        <f t="shared" si="150"/>
        <v>0</v>
      </c>
      <c r="BE100" s="30">
        <v>0</v>
      </c>
      <c r="BF100" s="30">
        <f>100</f>
        <v>100</v>
      </c>
      <c r="BH100" s="30">
        <f t="shared" si="151"/>
        <v>0</v>
      </c>
      <c r="BI100" s="30">
        <f t="shared" si="152"/>
        <v>0</v>
      </c>
      <c r="BJ100" s="30">
        <f t="shared" si="153"/>
        <v>0</v>
      </c>
      <c r="BK100" s="30"/>
      <c r="BL100" s="30">
        <v>723</v>
      </c>
      <c r="BW100" s="30">
        <v>12</v>
      </c>
      <c r="BX100" s="4" t="s">
        <v>295</v>
      </c>
    </row>
    <row r="101" spans="1:76" x14ac:dyDescent="0.25">
      <c r="A101" s="32" t="s">
        <v>296</v>
      </c>
      <c r="B101" s="33" t="s">
        <v>297</v>
      </c>
      <c r="C101" s="125" t="s">
        <v>298</v>
      </c>
      <c r="D101" s="126"/>
      <c r="E101" s="33" t="s">
        <v>56</v>
      </c>
      <c r="F101" s="34">
        <v>1</v>
      </c>
      <c r="G101" s="35">
        <v>0</v>
      </c>
      <c r="H101" s="34">
        <f t="shared" si="132"/>
        <v>0</v>
      </c>
      <c r="I101" s="34">
        <f t="shared" si="133"/>
        <v>0</v>
      </c>
      <c r="J101" s="34">
        <f t="shared" si="134"/>
        <v>0</v>
      </c>
      <c r="K101" s="36" t="s">
        <v>57</v>
      </c>
      <c r="Z101" s="30">
        <f t="shared" si="135"/>
        <v>0</v>
      </c>
      <c r="AB101" s="30">
        <f t="shared" si="136"/>
        <v>0</v>
      </c>
      <c r="AC101" s="30">
        <f t="shared" si="137"/>
        <v>0</v>
      </c>
      <c r="AD101" s="30">
        <f t="shared" si="138"/>
        <v>0</v>
      </c>
      <c r="AE101" s="30">
        <f t="shared" si="139"/>
        <v>0</v>
      </c>
      <c r="AF101" s="30">
        <f t="shared" si="140"/>
        <v>0</v>
      </c>
      <c r="AG101" s="30">
        <f t="shared" si="141"/>
        <v>0</v>
      </c>
      <c r="AH101" s="30">
        <f t="shared" si="142"/>
        <v>0</v>
      </c>
      <c r="AI101" s="10" t="s">
        <v>50</v>
      </c>
      <c r="AJ101" s="30">
        <f t="shared" si="143"/>
        <v>0</v>
      </c>
      <c r="AK101" s="30">
        <f t="shared" si="144"/>
        <v>0</v>
      </c>
      <c r="AL101" s="30">
        <f t="shared" si="145"/>
        <v>0</v>
      </c>
      <c r="AN101" s="30">
        <v>12</v>
      </c>
      <c r="AO101" s="30">
        <f>G101*0</f>
        <v>0</v>
      </c>
      <c r="AP101" s="30">
        <f>G101*(1-0)</f>
        <v>0</v>
      </c>
      <c r="AQ101" s="31" t="s">
        <v>81</v>
      </c>
      <c r="AV101" s="30">
        <f t="shared" si="146"/>
        <v>0</v>
      </c>
      <c r="AW101" s="30">
        <f t="shared" si="147"/>
        <v>0</v>
      </c>
      <c r="AX101" s="30">
        <f t="shared" si="148"/>
        <v>0</v>
      </c>
      <c r="AY101" s="31" t="s">
        <v>286</v>
      </c>
      <c r="AZ101" s="31" t="s">
        <v>199</v>
      </c>
      <c r="BA101" s="10" t="s">
        <v>60</v>
      </c>
      <c r="BC101" s="30">
        <f t="shared" si="149"/>
        <v>0</v>
      </c>
      <c r="BD101" s="30">
        <f t="shared" si="150"/>
        <v>0</v>
      </c>
      <c r="BE101" s="30">
        <v>0</v>
      </c>
      <c r="BF101" s="30">
        <f>101</f>
        <v>101</v>
      </c>
      <c r="BH101" s="30">
        <f t="shared" si="151"/>
        <v>0</v>
      </c>
      <c r="BI101" s="30">
        <f t="shared" si="152"/>
        <v>0</v>
      </c>
      <c r="BJ101" s="30">
        <f t="shared" si="153"/>
        <v>0</v>
      </c>
      <c r="BK101" s="30"/>
      <c r="BL101" s="30">
        <v>723</v>
      </c>
      <c r="BW101" s="30">
        <v>12</v>
      </c>
      <c r="BX101" s="4" t="s">
        <v>298</v>
      </c>
    </row>
    <row r="102" spans="1:76" x14ac:dyDescent="0.25">
      <c r="A102" s="32" t="s">
        <v>299</v>
      </c>
      <c r="B102" s="33" t="s">
        <v>300</v>
      </c>
      <c r="C102" s="125" t="s">
        <v>301</v>
      </c>
      <c r="D102" s="126"/>
      <c r="E102" s="33" t="s">
        <v>90</v>
      </c>
      <c r="F102" s="34">
        <v>9.3960000000000002E-2</v>
      </c>
      <c r="G102" s="35">
        <v>0</v>
      </c>
      <c r="H102" s="34">
        <f t="shared" si="132"/>
        <v>0</v>
      </c>
      <c r="I102" s="34">
        <f t="shared" si="133"/>
        <v>0</v>
      </c>
      <c r="J102" s="34">
        <f t="shared" si="134"/>
        <v>0</v>
      </c>
      <c r="K102" s="36" t="s">
        <v>57</v>
      </c>
      <c r="Z102" s="30">
        <f t="shared" si="135"/>
        <v>0</v>
      </c>
      <c r="AB102" s="30">
        <f t="shared" si="136"/>
        <v>0</v>
      </c>
      <c r="AC102" s="30">
        <f t="shared" si="137"/>
        <v>0</v>
      </c>
      <c r="AD102" s="30">
        <f t="shared" si="138"/>
        <v>0</v>
      </c>
      <c r="AE102" s="30">
        <f t="shared" si="139"/>
        <v>0</v>
      </c>
      <c r="AF102" s="30">
        <f t="shared" si="140"/>
        <v>0</v>
      </c>
      <c r="AG102" s="30">
        <f t="shared" si="141"/>
        <v>0</v>
      </c>
      <c r="AH102" s="30">
        <f t="shared" si="142"/>
        <v>0</v>
      </c>
      <c r="AI102" s="10" t="s">
        <v>50</v>
      </c>
      <c r="AJ102" s="30">
        <f t="shared" si="143"/>
        <v>0</v>
      </c>
      <c r="AK102" s="30">
        <f t="shared" si="144"/>
        <v>0</v>
      </c>
      <c r="AL102" s="30">
        <f t="shared" si="145"/>
        <v>0</v>
      </c>
      <c r="AN102" s="30">
        <v>12</v>
      </c>
      <c r="AO102" s="30">
        <f>G102*0</f>
        <v>0</v>
      </c>
      <c r="AP102" s="30">
        <f>G102*(1-0)</f>
        <v>0</v>
      </c>
      <c r="AQ102" s="31" t="s">
        <v>74</v>
      </c>
      <c r="AV102" s="30">
        <f t="shared" si="146"/>
        <v>0</v>
      </c>
      <c r="AW102" s="30">
        <f t="shared" si="147"/>
        <v>0</v>
      </c>
      <c r="AX102" s="30">
        <f t="shared" si="148"/>
        <v>0</v>
      </c>
      <c r="AY102" s="31" t="s">
        <v>286</v>
      </c>
      <c r="AZ102" s="31" t="s">
        <v>199</v>
      </c>
      <c r="BA102" s="10" t="s">
        <v>60</v>
      </c>
      <c r="BC102" s="30">
        <f t="shared" si="149"/>
        <v>0</v>
      </c>
      <c r="BD102" s="30">
        <f t="shared" si="150"/>
        <v>0</v>
      </c>
      <c r="BE102" s="30">
        <v>0</v>
      </c>
      <c r="BF102" s="30">
        <f>102</f>
        <v>102</v>
      </c>
      <c r="BH102" s="30">
        <f t="shared" si="151"/>
        <v>0</v>
      </c>
      <c r="BI102" s="30">
        <f t="shared" si="152"/>
        <v>0</v>
      </c>
      <c r="BJ102" s="30">
        <f t="shared" si="153"/>
        <v>0</v>
      </c>
      <c r="BK102" s="30"/>
      <c r="BL102" s="30">
        <v>723</v>
      </c>
      <c r="BW102" s="30">
        <v>12</v>
      </c>
      <c r="BX102" s="4" t="s">
        <v>301</v>
      </c>
    </row>
    <row r="103" spans="1:76" x14ac:dyDescent="0.25">
      <c r="A103" s="39" t="s">
        <v>50</v>
      </c>
      <c r="B103" s="40" t="s">
        <v>302</v>
      </c>
      <c r="C103" s="131" t="s">
        <v>303</v>
      </c>
      <c r="D103" s="132"/>
      <c r="E103" s="41" t="s">
        <v>4</v>
      </c>
      <c r="F103" s="41" t="s">
        <v>4</v>
      </c>
      <c r="G103" s="42" t="s">
        <v>4</v>
      </c>
      <c r="H103" s="43">
        <f>SUM(H104:H135)</f>
        <v>0</v>
      </c>
      <c r="I103" s="43">
        <f>SUM(I104:I135)</f>
        <v>0</v>
      </c>
      <c r="J103" s="43">
        <f>SUM(J104:J135)</f>
        <v>0</v>
      </c>
      <c r="K103" s="44" t="s">
        <v>50</v>
      </c>
      <c r="AI103" s="10" t="s">
        <v>50</v>
      </c>
      <c r="AS103" s="1">
        <f>SUM(AJ104:AJ135)</f>
        <v>0</v>
      </c>
      <c r="AT103" s="1">
        <f>SUM(AK104:AK135)</f>
        <v>0</v>
      </c>
      <c r="AU103" s="1">
        <f>SUM(AL104:AL135)</f>
        <v>0</v>
      </c>
    </row>
    <row r="104" spans="1:76" x14ac:dyDescent="0.25">
      <c r="A104" s="25" t="s">
        <v>304</v>
      </c>
      <c r="B104" s="26" t="s">
        <v>305</v>
      </c>
      <c r="C104" s="123" t="s">
        <v>306</v>
      </c>
      <c r="D104" s="124"/>
      <c r="E104" s="26" t="s">
        <v>307</v>
      </c>
      <c r="F104" s="27">
        <v>1</v>
      </c>
      <c r="G104" s="28">
        <v>0</v>
      </c>
      <c r="H104" s="27">
        <f>F104*AO104</f>
        <v>0</v>
      </c>
      <c r="I104" s="27">
        <f>F104*AP104</f>
        <v>0</v>
      </c>
      <c r="J104" s="27">
        <f>F104*G104</f>
        <v>0</v>
      </c>
      <c r="K104" s="29" t="s">
        <v>57</v>
      </c>
      <c r="Z104" s="30">
        <f>IF(AQ104="5",BJ104,0)</f>
        <v>0</v>
      </c>
      <c r="AB104" s="30">
        <f>IF(AQ104="1",BH104,0)</f>
        <v>0</v>
      </c>
      <c r="AC104" s="30">
        <f>IF(AQ104="1",BI104,0)</f>
        <v>0</v>
      </c>
      <c r="AD104" s="30">
        <f>IF(AQ104="7",BH104,0)</f>
        <v>0</v>
      </c>
      <c r="AE104" s="30">
        <f>IF(AQ104="7",BI104,0)</f>
        <v>0</v>
      </c>
      <c r="AF104" s="30">
        <f>IF(AQ104="2",BH104,0)</f>
        <v>0</v>
      </c>
      <c r="AG104" s="30">
        <f>IF(AQ104="2",BI104,0)</f>
        <v>0</v>
      </c>
      <c r="AH104" s="30">
        <f>IF(AQ104="0",BJ104,0)</f>
        <v>0</v>
      </c>
      <c r="AI104" s="10" t="s">
        <v>50</v>
      </c>
      <c r="AJ104" s="30">
        <f>IF(AN104=0,J104,0)</f>
        <v>0</v>
      </c>
      <c r="AK104" s="30">
        <f>IF(AN104=12,J104,0)</f>
        <v>0</v>
      </c>
      <c r="AL104" s="30">
        <f>IF(AN104=21,J104,0)</f>
        <v>0</v>
      </c>
      <c r="AN104" s="30">
        <v>12</v>
      </c>
      <c r="AO104" s="30">
        <f>G104*0</f>
        <v>0</v>
      </c>
      <c r="AP104" s="30">
        <f>G104*(1-0)</f>
        <v>0</v>
      </c>
      <c r="AQ104" s="31" t="s">
        <v>81</v>
      </c>
      <c r="AV104" s="30">
        <f>AW104+AX104</f>
        <v>0</v>
      </c>
      <c r="AW104" s="30">
        <f>F104*AO104</f>
        <v>0</v>
      </c>
      <c r="AX104" s="30">
        <f>F104*AP104</f>
        <v>0</v>
      </c>
      <c r="AY104" s="31" t="s">
        <v>308</v>
      </c>
      <c r="AZ104" s="31" t="s">
        <v>199</v>
      </c>
      <c r="BA104" s="10" t="s">
        <v>60</v>
      </c>
      <c r="BC104" s="30">
        <f>AW104+AX104</f>
        <v>0</v>
      </c>
      <c r="BD104" s="30">
        <f>G104/(100-BE104)*100</f>
        <v>0</v>
      </c>
      <c r="BE104" s="30">
        <v>0</v>
      </c>
      <c r="BF104" s="30">
        <f>104</f>
        <v>104</v>
      </c>
      <c r="BH104" s="30">
        <f>F104*AO104</f>
        <v>0</v>
      </c>
      <c r="BI104" s="30">
        <f>F104*AP104</f>
        <v>0</v>
      </c>
      <c r="BJ104" s="30">
        <f>F104*G104</f>
        <v>0</v>
      </c>
      <c r="BK104" s="30"/>
      <c r="BL104" s="30">
        <v>725</v>
      </c>
      <c r="BW104" s="30">
        <v>12</v>
      </c>
      <c r="BX104" s="4" t="s">
        <v>306</v>
      </c>
    </row>
    <row r="105" spans="1:76" x14ac:dyDescent="0.25">
      <c r="A105" s="32" t="s">
        <v>309</v>
      </c>
      <c r="B105" s="33" t="s">
        <v>310</v>
      </c>
      <c r="C105" s="125" t="s">
        <v>311</v>
      </c>
      <c r="D105" s="126"/>
      <c r="E105" s="33" t="s">
        <v>307</v>
      </c>
      <c r="F105" s="34">
        <v>2</v>
      </c>
      <c r="G105" s="35">
        <v>0</v>
      </c>
      <c r="H105" s="34">
        <f>F105*AO105</f>
        <v>0</v>
      </c>
      <c r="I105" s="34">
        <f>F105*AP105</f>
        <v>0</v>
      </c>
      <c r="J105" s="34">
        <f>F105*G105</f>
        <v>0</v>
      </c>
      <c r="K105" s="36" t="s">
        <v>57</v>
      </c>
      <c r="Z105" s="30">
        <f>IF(AQ105="5",BJ105,0)</f>
        <v>0</v>
      </c>
      <c r="AB105" s="30">
        <f>IF(AQ105="1",BH105,0)</f>
        <v>0</v>
      </c>
      <c r="AC105" s="30">
        <f>IF(AQ105="1",BI105,0)</f>
        <v>0</v>
      </c>
      <c r="AD105" s="30">
        <f>IF(AQ105="7",BH105,0)</f>
        <v>0</v>
      </c>
      <c r="AE105" s="30">
        <f>IF(AQ105="7",BI105,0)</f>
        <v>0</v>
      </c>
      <c r="AF105" s="30">
        <f>IF(AQ105="2",BH105,0)</f>
        <v>0</v>
      </c>
      <c r="AG105" s="30">
        <f>IF(AQ105="2",BI105,0)</f>
        <v>0</v>
      </c>
      <c r="AH105" s="30">
        <f>IF(AQ105="0",BJ105,0)</f>
        <v>0</v>
      </c>
      <c r="AI105" s="10" t="s">
        <v>50</v>
      </c>
      <c r="AJ105" s="30">
        <f>IF(AN105=0,J105,0)</f>
        <v>0</v>
      </c>
      <c r="AK105" s="30">
        <f>IF(AN105=12,J105,0)</f>
        <v>0</v>
      </c>
      <c r="AL105" s="30">
        <f>IF(AN105=21,J105,0)</f>
        <v>0</v>
      </c>
      <c r="AN105" s="30">
        <v>12</v>
      </c>
      <c r="AO105" s="30">
        <f>G105*0</f>
        <v>0</v>
      </c>
      <c r="AP105" s="30">
        <f>G105*(1-0)</f>
        <v>0</v>
      </c>
      <c r="AQ105" s="31" t="s">
        <v>81</v>
      </c>
      <c r="AV105" s="30">
        <f>AW105+AX105</f>
        <v>0</v>
      </c>
      <c r="AW105" s="30">
        <f>F105*AO105</f>
        <v>0</v>
      </c>
      <c r="AX105" s="30">
        <f>F105*AP105</f>
        <v>0</v>
      </c>
      <c r="AY105" s="31" t="s">
        <v>308</v>
      </c>
      <c r="AZ105" s="31" t="s">
        <v>199</v>
      </c>
      <c r="BA105" s="10" t="s">
        <v>60</v>
      </c>
      <c r="BC105" s="30">
        <f>AW105+AX105</f>
        <v>0</v>
      </c>
      <c r="BD105" s="30">
        <f>G105/(100-BE105)*100</f>
        <v>0</v>
      </c>
      <c r="BE105" s="30">
        <v>0</v>
      </c>
      <c r="BF105" s="30">
        <f>105</f>
        <v>105</v>
      </c>
      <c r="BH105" s="30">
        <f>F105*AO105</f>
        <v>0</v>
      </c>
      <c r="BI105" s="30">
        <f>F105*AP105</f>
        <v>0</v>
      </c>
      <c r="BJ105" s="30">
        <f>F105*G105</f>
        <v>0</v>
      </c>
      <c r="BK105" s="30"/>
      <c r="BL105" s="30">
        <v>725</v>
      </c>
      <c r="BW105" s="30">
        <v>12</v>
      </c>
      <c r="BX105" s="4" t="s">
        <v>311</v>
      </c>
    </row>
    <row r="106" spans="1:76" x14ac:dyDescent="0.25">
      <c r="A106" s="32" t="s">
        <v>312</v>
      </c>
      <c r="B106" s="33" t="s">
        <v>313</v>
      </c>
      <c r="C106" s="125" t="s">
        <v>314</v>
      </c>
      <c r="D106" s="126"/>
      <c r="E106" s="33" t="s">
        <v>307</v>
      </c>
      <c r="F106" s="34">
        <v>1</v>
      </c>
      <c r="G106" s="35">
        <v>0</v>
      </c>
      <c r="H106" s="34">
        <f>F106*AO106</f>
        <v>0</v>
      </c>
      <c r="I106" s="34">
        <f>F106*AP106</f>
        <v>0</v>
      </c>
      <c r="J106" s="34">
        <f>F106*G106</f>
        <v>0</v>
      </c>
      <c r="K106" s="36" t="s">
        <v>57</v>
      </c>
      <c r="Z106" s="30">
        <f>IF(AQ106="5",BJ106,0)</f>
        <v>0</v>
      </c>
      <c r="AB106" s="30">
        <f>IF(AQ106="1",BH106,0)</f>
        <v>0</v>
      </c>
      <c r="AC106" s="30">
        <f>IF(AQ106="1",BI106,0)</f>
        <v>0</v>
      </c>
      <c r="AD106" s="30">
        <f>IF(AQ106="7",BH106,0)</f>
        <v>0</v>
      </c>
      <c r="AE106" s="30">
        <f>IF(AQ106="7",BI106,0)</f>
        <v>0</v>
      </c>
      <c r="AF106" s="30">
        <f>IF(AQ106="2",BH106,0)</f>
        <v>0</v>
      </c>
      <c r="AG106" s="30">
        <f>IF(AQ106="2",BI106,0)</f>
        <v>0</v>
      </c>
      <c r="AH106" s="30">
        <f>IF(AQ106="0",BJ106,0)</f>
        <v>0</v>
      </c>
      <c r="AI106" s="10" t="s">
        <v>50</v>
      </c>
      <c r="AJ106" s="30">
        <f>IF(AN106=0,J106,0)</f>
        <v>0</v>
      </c>
      <c r="AK106" s="30">
        <f>IF(AN106=12,J106,0)</f>
        <v>0</v>
      </c>
      <c r="AL106" s="30">
        <f>IF(AN106=21,J106,0)</f>
        <v>0</v>
      </c>
      <c r="AN106" s="30">
        <v>12</v>
      </c>
      <c r="AO106" s="30">
        <f>G106*0</f>
        <v>0</v>
      </c>
      <c r="AP106" s="30">
        <f>G106*(1-0)</f>
        <v>0</v>
      </c>
      <c r="AQ106" s="31" t="s">
        <v>81</v>
      </c>
      <c r="AV106" s="30">
        <f>AW106+AX106</f>
        <v>0</v>
      </c>
      <c r="AW106" s="30">
        <f>F106*AO106</f>
        <v>0</v>
      </c>
      <c r="AX106" s="30">
        <f>F106*AP106</f>
        <v>0</v>
      </c>
      <c r="AY106" s="31" t="s">
        <v>308</v>
      </c>
      <c r="AZ106" s="31" t="s">
        <v>199</v>
      </c>
      <c r="BA106" s="10" t="s">
        <v>60</v>
      </c>
      <c r="BC106" s="30">
        <f>AW106+AX106</f>
        <v>0</v>
      </c>
      <c r="BD106" s="30">
        <f>G106/(100-BE106)*100</f>
        <v>0</v>
      </c>
      <c r="BE106" s="30">
        <v>0</v>
      </c>
      <c r="BF106" s="30">
        <f>106</f>
        <v>106</v>
      </c>
      <c r="BH106" s="30">
        <f>F106*AO106</f>
        <v>0</v>
      </c>
      <c r="BI106" s="30">
        <f>F106*AP106</f>
        <v>0</v>
      </c>
      <c r="BJ106" s="30">
        <f>F106*G106</f>
        <v>0</v>
      </c>
      <c r="BK106" s="30"/>
      <c r="BL106" s="30">
        <v>725</v>
      </c>
      <c r="BW106" s="30">
        <v>12</v>
      </c>
      <c r="BX106" s="4" t="s">
        <v>314</v>
      </c>
    </row>
    <row r="107" spans="1:76" x14ac:dyDescent="0.25">
      <c r="A107" s="32" t="s">
        <v>315</v>
      </c>
      <c r="B107" s="33" t="s">
        <v>316</v>
      </c>
      <c r="C107" s="125" t="s">
        <v>317</v>
      </c>
      <c r="D107" s="126"/>
      <c r="E107" s="33" t="s">
        <v>56</v>
      </c>
      <c r="F107" s="34">
        <v>1</v>
      </c>
      <c r="G107" s="35">
        <v>0</v>
      </c>
      <c r="H107" s="34">
        <f>F107*AO107</f>
        <v>0</v>
      </c>
      <c r="I107" s="34">
        <f>F107*AP107</f>
        <v>0</v>
      </c>
      <c r="J107" s="34">
        <f>F107*G107</f>
        <v>0</v>
      </c>
      <c r="K107" s="36" t="s">
        <v>57</v>
      </c>
      <c r="Z107" s="30">
        <f>IF(AQ107="5",BJ107,0)</f>
        <v>0</v>
      </c>
      <c r="AB107" s="30">
        <f>IF(AQ107="1",BH107,0)</f>
        <v>0</v>
      </c>
      <c r="AC107" s="30">
        <f>IF(AQ107="1",BI107,0)</f>
        <v>0</v>
      </c>
      <c r="AD107" s="30">
        <f>IF(AQ107="7",BH107,0)</f>
        <v>0</v>
      </c>
      <c r="AE107" s="30">
        <f>IF(AQ107="7",BI107,0)</f>
        <v>0</v>
      </c>
      <c r="AF107" s="30">
        <f>IF(AQ107="2",BH107,0)</f>
        <v>0</v>
      </c>
      <c r="AG107" s="30">
        <f>IF(AQ107="2",BI107,0)</f>
        <v>0</v>
      </c>
      <c r="AH107" s="30">
        <f>IF(AQ107="0",BJ107,0)</f>
        <v>0</v>
      </c>
      <c r="AI107" s="10" t="s">
        <v>50</v>
      </c>
      <c r="AJ107" s="30">
        <f>IF(AN107=0,J107,0)</f>
        <v>0</v>
      </c>
      <c r="AK107" s="30">
        <f>IF(AN107=12,J107,0)</f>
        <v>0</v>
      </c>
      <c r="AL107" s="30">
        <f>IF(AN107=21,J107,0)</f>
        <v>0</v>
      </c>
      <c r="AN107" s="30">
        <v>12</v>
      </c>
      <c r="AO107" s="30">
        <f>G107*0</f>
        <v>0</v>
      </c>
      <c r="AP107" s="30">
        <f>G107*(1-0)</f>
        <v>0</v>
      </c>
      <c r="AQ107" s="31" t="s">
        <v>81</v>
      </c>
      <c r="AV107" s="30">
        <f>AW107+AX107</f>
        <v>0</v>
      </c>
      <c r="AW107" s="30">
        <f>F107*AO107</f>
        <v>0</v>
      </c>
      <c r="AX107" s="30">
        <f>F107*AP107</f>
        <v>0</v>
      </c>
      <c r="AY107" s="31" t="s">
        <v>308</v>
      </c>
      <c r="AZ107" s="31" t="s">
        <v>199</v>
      </c>
      <c r="BA107" s="10" t="s">
        <v>60</v>
      </c>
      <c r="BC107" s="30">
        <f>AW107+AX107</f>
        <v>0</v>
      </c>
      <c r="BD107" s="30">
        <f>G107/(100-BE107)*100</f>
        <v>0</v>
      </c>
      <c r="BE107" s="30">
        <v>0</v>
      </c>
      <c r="BF107" s="30">
        <f>107</f>
        <v>107</v>
      </c>
      <c r="BH107" s="30">
        <f>F107*AO107</f>
        <v>0</v>
      </c>
      <c r="BI107" s="30">
        <f>F107*AP107</f>
        <v>0</v>
      </c>
      <c r="BJ107" s="30">
        <f>F107*G107</f>
        <v>0</v>
      </c>
      <c r="BK107" s="30"/>
      <c r="BL107" s="30">
        <v>725</v>
      </c>
      <c r="BW107" s="30">
        <v>12</v>
      </c>
      <c r="BX107" s="4" t="s">
        <v>317</v>
      </c>
    </row>
    <row r="108" spans="1:76" x14ac:dyDescent="0.25">
      <c r="A108" s="32" t="s">
        <v>318</v>
      </c>
      <c r="B108" s="33" t="s">
        <v>319</v>
      </c>
      <c r="C108" s="125" t="s">
        <v>320</v>
      </c>
      <c r="D108" s="126"/>
      <c r="E108" s="33" t="s">
        <v>56</v>
      </c>
      <c r="F108" s="34">
        <v>2</v>
      </c>
      <c r="G108" s="35">
        <v>0</v>
      </c>
      <c r="H108" s="34">
        <f>F108*AO108</f>
        <v>0</v>
      </c>
      <c r="I108" s="34">
        <f>F108*AP108</f>
        <v>0</v>
      </c>
      <c r="J108" s="34">
        <f>F108*G108</f>
        <v>0</v>
      </c>
      <c r="K108" s="36" t="s">
        <v>57</v>
      </c>
      <c r="Z108" s="30">
        <f>IF(AQ108="5",BJ108,0)</f>
        <v>0</v>
      </c>
      <c r="AB108" s="30">
        <f>IF(AQ108="1",BH108,0)</f>
        <v>0</v>
      </c>
      <c r="AC108" s="30">
        <f>IF(AQ108="1",BI108,0)</f>
        <v>0</v>
      </c>
      <c r="AD108" s="30">
        <f>IF(AQ108="7",BH108,0)</f>
        <v>0</v>
      </c>
      <c r="AE108" s="30">
        <f>IF(AQ108="7",BI108,0)</f>
        <v>0</v>
      </c>
      <c r="AF108" s="30">
        <f>IF(AQ108="2",BH108,0)</f>
        <v>0</v>
      </c>
      <c r="AG108" s="30">
        <f>IF(AQ108="2",BI108,0)</f>
        <v>0</v>
      </c>
      <c r="AH108" s="30">
        <f>IF(AQ108="0",BJ108,0)</f>
        <v>0</v>
      </c>
      <c r="AI108" s="10" t="s">
        <v>50</v>
      </c>
      <c r="AJ108" s="30">
        <f>IF(AN108=0,J108,0)</f>
        <v>0</v>
      </c>
      <c r="AK108" s="30">
        <f>IF(AN108=12,J108,0)</f>
        <v>0</v>
      </c>
      <c r="AL108" s="30">
        <f>IF(AN108=21,J108,0)</f>
        <v>0</v>
      </c>
      <c r="AN108" s="30">
        <v>12</v>
      </c>
      <c r="AO108" s="30">
        <f>G108*0.873548879</f>
        <v>0</v>
      </c>
      <c r="AP108" s="30">
        <f>G108*(1-0.873548879)</f>
        <v>0</v>
      </c>
      <c r="AQ108" s="31" t="s">
        <v>81</v>
      </c>
      <c r="AV108" s="30">
        <f>AW108+AX108</f>
        <v>0</v>
      </c>
      <c r="AW108" s="30">
        <f>F108*AO108</f>
        <v>0</v>
      </c>
      <c r="AX108" s="30">
        <f>F108*AP108</f>
        <v>0</v>
      </c>
      <c r="AY108" s="31" t="s">
        <v>308</v>
      </c>
      <c r="AZ108" s="31" t="s">
        <v>199</v>
      </c>
      <c r="BA108" s="10" t="s">
        <v>60</v>
      </c>
      <c r="BC108" s="30">
        <f>AW108+AX108</f>
        <v>0</v>
      </c>
      <c r="BD108" s="30">
        <f>G108/(100-BE108)*100</f>
        <v>0</v>
      </c>
      <c r="BE108" s="30">
        <v>0</v>
      </c>
      <c r="BF108" s="30">
        <f>108</f>
        <v>108</v>
      </c>
      <c r="BH108" s="30">
        <f>F108*AO108</f>
        <v>0</v>
      </c>
      <c r="BI108" s="30">
        <f>F108*AP108</f>
        <v>0</v>
      </c>
      <c r="BJ108" s="30">
        <f>F108*G108</f>
        <v>0</v>
      </c>
      <c r="BK108" s="30"/>
      <c r="BL108" s="30">
        <v>725</v>
      </c>
      <c r="BW108" s="30">
        <v>12</v>
      </c>
      <c r="BX108" s="4" t="s">
        <v>320</v>
      </c>
    </row>
    <row r="109" spans="1:76" ht="13.5" customHeight="1" x14ac:dyDescent="0.25">
      <c r="A109" s="37"/>
      <c r="B109" s="38" t="s">
        <v>68</v>
      </c>
      <c r="C109" s="127" t="s">
        <v>321</v>
      </c>
      <c r="D109" s="128"/>
      <c r="E109" s="128"/>
      <c r="F109" s="128"/>
      <c r="G109" s="129"/>
      <c r="H109" s="128"/>
      <c r="I109" s="128"/>
      <c r="J109" s="128"/>
      <c r="K109" s="130"/>
    </row>
    <row r="110" spans="1:76" x14ac:dyDescent="0.25">
      <c r="A110" s="25" t="s">
        <v>322</v>
      </c>
      <c r="B110" s="26" t="s">
        <v>323</v>
      </c>
      <c r="C110" s="123" t="s">
        <v>324</v>
      </c>
      <c r="D110" s="124"/>
      <c r="E110" s="26" t="s">
        <v>56</v>
      </c>
      <c r="F110" s="27">
        <v>1</v>
      </c>
      <c r="G110" s="28">
        <v>0</v>
      </c>
      <c r="H110" s="27">
        <f t="shared" ref="H110:H132" si="154">F110*AO110</f>
        <v>0</v>
      </c>
      <c r="I110" s="27">
        <f t="shared" ref="I110:I132" si="155">F110*AP110</f>
        <v>0</v>
      </c>
      <c r="J110" s="27">
        <f t="shared" ref="J110:J132" si="156">F110*G110</f>
        <v>0</v>
      </c>
      <c r="K110" s="29" t="s">
        <v>57</v>
      </c>
      <c r="Z110" s="30">
        <f t="shared" ref="Z110:Z132" si="157">IF(AQ110="5",BJ110,0)</f>
        <v>0</v>
      </c>
      <c r="AB110" s="30">
        <f t="shared" ref="AB110:AB132" si="158">IF(AQ110="1",BH110,0)</f>
        <v>0</v>
      </c>
      <c r="AC110" s="30">
        <f t="shared" ref="AC110:AC132" si="159">IF(AQ110="1",BI110,0)</f>
        <v>0</v>
      </c>
      <c r="AD110" s="30">
        <f t="shared" ref="AD110:AD132" si="160">IF(AQ110="7",BH110,0)</f>
        <v>0</v>
      </c>
      <c r="AE110" s="30">
        <f t="shared" ref="AE110:AE132" si="161">IF(AQ110="7",BI110,0)</f>
        <v>0</v>
      </c>
      <c r="AF110" s="30">
        <f t="shared" ref="AF110:AF132" si="162">IF(AQ110="2",BH110,0)</f>
        <v>0</v>
      </c>
      <c r="AG110" s="30">
        <f t="shared" ref="AG110:AG132" si="163">IF(AQ110="2",BI110,0)</f>
        <v>0</v>
      </c>
      <c r="AH110" s="30">
        <f t="shared" ref="AH110:AH132" si="164">IF(AQ110="0",BJ110,0)</f>
        <v>0</v>
      </c>
      <c r="AI110" s="10" t="s">
        <v>50</v>
      </c>
      <c r="AJ110" s="30">
        <f t="shared" ref="AJ110:AJ132" si="165">IF(AN110=0,J110,0)</f>
        <v>0</v>
      </c>
      <c r="AK110" s="30">
        <f t="shared" ref="AK110:AK132" si="166">IF(AN110=12,J110,0)</f>
        <v>0</v>
      </c>
      <c r="AL110" s="30">
        <f t="shared" ref="AL110:AL132" si="167">IF(AN110=21,J110,0)</f>
        <v>0</v>
      </c>
      <c r="AN110" s="30">
        <v>12</v>
      </c>
      <c r="AO110" s="30">
        <f>G110*0.369266667</f>
        <v>0</v>
      </c>
      <c r="AP110" s="30">
        <f>G110*(1-0.369266667)</f>
        <v>0</v>
      </c>
      <c r="AQ110" s="31" t="s">
        <v>81</v>
      </c>
      <c r="AV110" s="30">
        <f t="shared" ref="AV110:AV132" si="168">AW110+AX110</f>
        <v>0</v>
      </c>
      <c r="AW110" s="30">
        <f t="shared" ref="AW110:AW132" si="169">F110*AO110</f>
        <v>0</v>
      </c>
      <c r="AX110" s="30">
        <f t="shared" ref="AX110:AX132" si="170">F110*AP110</f>
        <v>0</v>
      </c>
      <c r="AY110" s="31" t="s">
        <v>308</v>
      </c>
      <c r="AZ110" s="31" t="s">
        <v>199</v>
      </c>
      <c r="BA110" s="10" t="s">
        <v>60</v>
      </c>
      <c r="BC110" s="30">
        <f t="shared" ref="BC110:BC132" si="171">AW110+AX110</f>
        <v>0</v>
      </c>
      <c r="BD110" s="30">
        <f t="shared" ref="BD110:BD132" si="172">G110/(100-BE110)*100</f>
        <v>0</v>
      </c>
      <c r="BE110" s="30">
        <v>0</v>
      </c>
      <c r="BF110" s="30">
        <f>110</f>
        <v>110</v>
      </c>
      <c r="BH110" s="30">
        <f t="shared" ref="BH110:BH132" si="173">F110*AO110</f>
        <v>0</v>
      </c>
      <c r="BI110" s="30">
        <f t="shared" ref="BI110:BI132" si="174">F110*AP110</f>
        <v>0</v>
      </c>
      <c r="BJ110" s="30">
        <f t="shared" ref="BJ110:BJ132" si="175">F110*G110</f>
        <v>0</v>
      </c>
      <c r="BK110" s="30"/>
      <c r="BL110" s="30">
        <v>725</v>
      </c>
      <c r="BW110" s="30">
        <v>12</v>
      </c>
      <c r="BX110" s="4" t="s">
        <v>324</v>
      </c>
    </row>
    <row r="111" spans="1:76" x14ac:dyDescent="0.25">
      <c r="A111" s="32" t="s">
        <v>325</v>
      </c>
      <c r="B111" s="33" t="s">
        <v>326</v>
      </c>
      <c r="C111" s="125" t="s">
        <v>327</v>
      </c>
      <c r="D111" s="126"/>
      <c r="E111" s="33" t="s">
        <v>56</v>
      </c>
      <c r="F111" s="34">
        <v>1</v>
      </c>
      <c r="G111" s="35">
        <v>0</v>
      </c>
      <c r="H111" s="34">
        <f t="shared" si="154"/>
        <v>0</v>
      </c>
      <c r="I111" s="34">
        <f t="shared" si="155"/>
        <v>0</v>
      </c>
      <c r="J111" s="34">
        <f t="shared" si="156"/>
        <v>0</v>
      </c>
      <c r="K111" s="36" t="s">
        <v>57</v>
      </c>
      <c r="Z111" s="30">
        <f t="shared" si="157"/>
        <v>0</v>
      </c>
      <c r="AB111" s="30">
        <f t="shared" si="158"/>
        <v>0</v>
      </c>
      <c r="AC111" s="30">
        <f t="shared" si="159"/>
        <v>0</v>
      </c>
      <c r="AD111" s="30">
        <f t="shared" si="160"/>
        <v>0</v>
      </c>
      <c r="AE111" s="30">
        <f t="shared" si="161"/>
        <v>0</v>
      </c>
      <c r="AF111" s="30">
        <f t="shared" si="162"/>
        <v>0</v>
      </c>
      <c r="AG111" s="30">
        <f t="shared" si="163"/>
        <v>0</v>
      </c>
      <c r="AH111" s="30">
        <f t="shared" si="164"/>
        <v>0</v>
      </c>
      <c r="AI111" s="10" t="s">
        <v>50</v>
      </c>
      <c r="AJ111" s="30">
        <f t="shared" si="165"/>
        <v>0</v>
      </c>
      <c r="AK111" s="30">
        <f t="shared" si="166"/>
        <v>0</v>
      </c>
      <c r="AL111" s="30">
        <f t="shared" si="167"/>
        <v>0</v>
      </c>
      <c r="AN111" s="30">
        <v>12</v>
      </c>
      <c r="AO111" s="30">
        <f>G111*1</f>
        <v>0</v>
      </c>
      <c r="AP111" s="30">
        <f>G111*(1-1)</f>
        <v>0</v>
      </c>
      <c r="AQ111" s="31" t="s">
        <v>81</v>
      </c>
      <c r="AV111" s="30">
        <f t="shared" si="168"/>
        <v>0</v>
      </c>
      <c r="AW111" s="30">
        <f t="shared" si="169"/>
        <v>0</v>
      </c>
      <c r="AX111" s="30">
        <f t="shared" si="170"/>
        <v>0</v>
      </c>
      <c r="AY111" s="31" t="s">
        <v>308</v>
      </c>
      <c r="AZ111" s="31" t="s">
        <v>199</v>
      </c>
      <c r="BA111" s="10" t="s">
        <v>60</v>
      </c>
      <c r="BC111" s="30">
        <f t="shared" si="171"/>
        <v>0</v>
      </c>
      <c r="BD111" s="30">
        <f t="shared" si="172"/>
        <v>0</v>
      </c>
      <c r="BE111" s="30">
        <v>0</v>
      </c>
      <c r="BF111" s="30">
        <f>111</f>
        <v>111</v>
      </c>
      <c r="BH111" s="30">
        <f t="shared" si="173"/>
        <v>0</v>
      </c>
      <c r="BI111" s="30">
        <f t="shared" si="174"/>
        <v>0</v>
      </c>
      <c r="BJ111" s="30">
        <f t="shared" si="175"/>
        <v>0</v>
      </c>
      <c r="BK111" s="30"/>
      <c r="BL111" s="30">
        <v>725</v>
      </c>
      <c r="BW111" s="30">
        <v>12</v>
      </c>
      <c r="BX111" s="4" t="s">
        <v>327</v>
      </c>
    </row>
    <row r="112" spans="1:76" x14ac:dyDescent="0.25">
      <c r="A112" s="32" t="s">
        <v>328</v>
      </c>
      <c r="B112" s="33" t="s">
        <v>329</v>
      </c>
      <c r="C112" s="125" t="s">
        <v>330</v>
      </c>
      <c r="D112" s="126"/>
      <c r="E112" s="33" t="s">
        <v>56</v>
      </c>
      <c r="F112" s="34">
        <v>1</v>
      </c>
      <c r="G112" s="35">
        <v>0</v>
      </c>
      <c r="H112" s="34">
        <f t="shared" si="154"/>
        <v>0</v>
      </c>
      <c r="I112" s="34">
        <f t="shared" si="155"/>
        <v>0</v>
      </c>
      <c r="J112" s="34">
        <f t="shared" si="156"/>
        <v>0</v>
      </c>
      <c r="K112" s="36" t="s">
        <v>57</v>
      </c>
      <c r="Z112" s="30">
        <f t="shared" si="157"/>
        <v>0</v>
      </c>
      <c r="AB112" s="30">
        <f t="shared" si="158"/>
        <v>0</v>
      </c>
      <c r="AC112" s="30">
        <f t="shared" si="159"/>
        <v>0</v>
      </c>
      <c r="AD112" s="30">
        <f t="shared" si="160"/>
        <v>0</v>
      </c>
      <c r="AE112" s="30">
        <f t="shared" si="161"/>
        <v>0</v>
      </c>
      <c r="AF112" s="30">
        <f t="shared" si="162"/>
        <v>0</v>
      </c>
      <c r="AG112" s="30">
        <f t="shared" si="163"/>
        <v>0</v>
      </c>
      <c r="AH112" s="30">
        <f t="shared" si="164"/>
        <v>0</v>
      </c>
      <c r="AI112" s="10" t="s">
        <v>50</v>
      </c>
      <c r="AJ112" s="30">
        <f t="shared" si="165"/>
        <v>0</v>
      </c>
      <c r="AK112" s="30">
        <f t="shared" si="166"/>
        <v>0</v>
      </c>
      <c r="AL112" s="30">
        <f t="shared" si="167"/>
        <v>0</v>
      </c>
      <c r="AN112" s="30">
        <v>12</v>
      </c>
      <c r="AO112" s="30">
        <f>G112*0.868028037</f>
        <v>0</v>
      </c>
      <c r="AP112" s="30">
        <f>G112*(1-0.868028037)</f>
        <v>0</v>
      </c>
      <c r="AQ112" s="31" t="s">
        <v>81</v>
      </c>
      <c r="AV112" s="30">
        <f t="shared" si="168"/>
        <v>0</v>
      </c>
      <c r="AW112" s="30">
        <f t="shared" si="169"/>
        <v>0</v>
      </c>
      <c r="AX112" s="30">
        <f t="shared" si="170"/>
        <v>0</v>
      </c>
      <c r="AY112" s="31" t="s">
        <v>308</v>
      </c>
      <c r="AZ112" s="31" t="s">
        <v>199</v>
      </c>
      <c r="BA112" s="10" t="s">
        <v>60</v>
      </c>
      <c r="BC112" s="30">
        <f t="shared" si="171"/>
        <v>0</v>
      </c>
      <c r="BD112" s="30">
        <f t="shared" si="172"/>
        <v>0</v>
      </c>
      <c r="BE112" s="30">
        <v>0</v>
      </c>
      <c r="BF112" s="30">
        <f>112</f>
        <v>112</v>
      </c>
      <c r="BH112" s="30">
        <f t="shared" si="173"/>
        <v>0</v>
      </c>
      <c r="BI112" s="30">
        <f t="shared" si="174"/>
        <v>0</v>
      </c>
      <c r="BJ112" s="30">
        <f t="shared" si="175"/>
        <v>0</v>
      </c>
      <c r="BK112" s="30"/>
      <c r="BL112" s="30">
        <v>725</v>
      </c>
      <c r="BW112" s="30">
        <v>12</v>
      </c>
      <c r="BX112" s="4" t="s">
        <v>330</v>
      </c>
    </row>
    <row r="113" spans="1:76" x14ac:dyDescent="0.25">
      <c r="A113" s="32" t="s">
        <v>331</v>
      </c>
      <c r="B113" s="33" t="s">
        <v>332</v>
      </c>
      <c r="C113" s="125" t="s">
        <v>333</v>
      </c>
      <c r="D113" s="126"/>
      <c r="E113" s="33" t="s">
        <v>307</v>
      </c>
      <c r="F113" s="34">
        <v>1</v>
      </c>
      <c r="G113" s="35">
        <v>0</v>
      </c>
      <c r="H113" s="34">
        <f t="shared" si="154"/>
        <v>0</v>
      </c>
      <c r="I113" s="34">
        <f t="shared" si="155"/>
        <v>0</v>
      </c>
      <c r="J113" s="34">
        <f t="shared" si="156"/>
        <v>0</v>
      </c>
      <c r="K113" s="36" t="s">
        <v>57</v>
      </c>
      <c r="Z113" s="30">
        <f t="shared" si="157"/>
        <v>0</v>
      </c>
      <c r="AB113" s="30">
        <f t="shared" si="158"/>
        <v>0</v>
      </c>
      <c r="AC113" s="30">
        <f t="shared" si="159"/>
        <v>0</v>
      </c>
      <c r="AD113" s="30">
        <f t="shared" si="160"/>
        <v>0</v>
      </c>
      <c r="AE113" s="30">
        <f t="shared" si="161"/>
        <v>0</v>
      </c>
      <c r="AF113" s="30">
        <f t="shared" si="162"/>
        <v>0</v>
      </c>
      <c r="AG113" s="30">
        <f t="shared" si="163"/>
        <v>0</v>
      </c>
      <c r="AH113" s="30">
        <f t="shared" si="164"/>
        <v>0</v>
      </c>
      <c r="AI113" s="10" t="s">
        <v>50</v>
      </c>
      <c r="AJ113" s="30">
        <f t="shared" si="165"/>
        <v>0</v>
      </c>
      <c r="AK113" s="30">
        <f t="shared" si="166"/>
        <v>0</v>
      </c>
      <c r="AL113" s="30">
        <f t="shared" si="167"/>
        <v>0</v>
      </c>
      <c r="AN113" s="30">
        <v>12</v>
      </c>
      <c r="AO113" s="30">
        <f>G113*0.460774648</f>
        <v>0</v>
      </c>
      <c r="AP113" s="30">
        <f>G113*(1-0.460774648)</f>
        <v>0</v>
      </c>
      <c r="AQ113" s="31" t="s">
        <v>81</v>
      </c>
      <c r="AV113" s="30">
        <f t="shared" si="168"/>
        <v>0</v>
      </c>
      <c r="AW113" s="30">
        <f t="shared" si="169"/>
        <v>0</v>
      </c>
      <c r="AX113" s="30">
        <f t="shared" si="170"/>
        <v>0</v>
      </c>
      <c r="AY113" s="31" t="s">
        <v>308</v>
      </c>
      <c r="AZ113" s="31" t="s">
        <v>199</v>
      </c>
      <c r="BA113" s="10" t="s">
        <v>60</v>
      </c>
      <c r="BC113" s="30">
        <f t="shared" si="171"/>
        <v>0</v>
      </c>
      <c r="BD113" s="30">
        <f t="shared" si="172"/>
        <v>0</v>
      </c>
      <c r="BE113" s="30">
        <v>0</v>
      </c>
      <c r="BF113" s="30">
        <f>113</f>
        <v>113</v>
      </c>
      <c r="BH113" s="30">
        <f t="shared" si="173"/>
        <v>0</v>
      </c>
      <c r="BI113" s="30">
        <f t="shared" si="174"/>
        <v>0</v>
      </c>
      <c r="BJ113" s="30">
        <f t="shared" si="175"/>
        <v>0</v>
      </c>
      <c r="BK113" s="30"/>
      <c r="BL113" s="30">
        <v>725</v>
      </c>
      <c r="BW113" s="30">
        <v>12</v>
      </c>
      <c r="BX113" s="4" t="s">
        <v>333</v>
      </c>
    </row>
    <row r="114" spans="1:76" x14ac:dyDescent="0.25">
      <c r="A114" s="32" t="s">
        <v>334</v>
      </c>
      <c r="B114" s="33" t="s">
        <v>335</v>
      </c>
      <c r="C114" s="125" t="s">
        <v>336</v>
      </c>
      <c r="D114" s="126"/>
      <c r="E114" s="33" t="s">
        <v>56</v>
      </c>
      <c r="F114" s="34">
        <v>1</v>
      </c>
      <c r="G114" s="35">
        <v>0</v>
      </c>
      <c r="H114" s="34">
        <f t="shared" si="154"/>
        <v>0</v>
      </c>
      <c r="I114" s="34">
        <f t="shared" si="155"/>
        <v>0</v>
      </c>
      <c r="J114" s="34">
        <f t="shared" si="156"/>
        <v>0</v>
      </c>
      <c r="K114" s="36" t="s">
        <v>57</v>
      </c>
      <c r="Z114" s="30">
        <f t="shared" si="157"/>
        <v>0</v>
      </c>
      <c r="AB114" s="30">
        <f t="shared" si="158"/>
        <v>0</v>
      </c>
      <c r="AC114" s="30">
        <f t="shared" si="159"/>
        <v>0</v>
      </c>
      <c r="AD114" s="30">
        <f t="shared" si="160"/>
        <v>0</v>
      </c>
      <c r="AE114" s="30">
        <f t="shared" si="161"/>
        <v>0</v>
      </c>
      <c r="AF114" s="30">
        <f t="shared" si="162"/>
        <v>0</v>
      </c>
      <c r="AG114" s="30">
        <f t="shared" si="163"/>
        <v>0</v>
      </c>
      <c r="AH114" s="30">
        <f t="shared" si="164"/>
        <v>0</v>
      </c>
      <c r="AI114" s="10" t="s">
        <v>50</v>
      </c>
      <c r="AJ114" s="30">
        <f t="shared" si="165"/>
        <v>0</v>
      </c>
      <c r="AK114" s="30">
        <f t="shared" si="166"/>
        <v>0</v>
      </c>
      <c r="AL114" s="30">
        <f t="shared" si="167"/>
        <v>0</v>
      </c>
      <c r="AN114" s="30">
        <v>12</v>
      </c>
      <c r="AO114" s="30">
        <f>G114*1</f>
        <v>0</v>
      </c>
      <c r="AP114" s="30">
        <f>G114*(1-1)</f>
        <v>0</v>
      </c>
      <c r="AQ114" s="31" t="s">
        <v>81</v>
      </c>
      <c r="AV114" s="30">
        <f t="shared" si="168"/>
        <v>0</v>
      </c>
      <c r="AW114" s="30">
        <f t="shared" si="169"/>
        <v>0</v>
      </c>
      <c r="AX114" s="30">
        <f t="shared" si="170"/>
        <v>0</v>
      </c>
      <c r="AY114" s="31" t="s">
        <v>308</v>
      </c>
      <c r="AZ114" s="31" t="s">
        <v>199</v>
      </c>
      <c r="BA114" s="10" t="s">
        <v>60</v>
      </c>
      <c r="BC114" s="30">
        <f t="shared" si="171"/>
        <v>0</v>
      </c>
      <c r="BD114" s="30">
        <f t="shared" si="172"/>
        <v>0</v>
      </c>
      <c r="BE114" s="30">
        <v>0</v>
      </c>
      <c r="BF114" s="30">
        <f>114</f>
        <v>114</v>
      </c>
      <c r="BH114" s="30">
        <f t="shared" si="173"/>
        <v>0</v>
      </c>
      <c r="BI114" s="30">
        <f t="shared" si="174"/>
        <v>0</v>
      </c>
      <c r="BJ114" s="30">
        <f t="shared" si="175"/>
        <v>0</v>
      </c>
      <c r="BK114" s="30"/>
      <c r="BL114" s="30">
        <v>725</v>
      </c>
      <c r="BW114" s="30">
        <v>12</v>
      </c>
      <c r="BX114" s="4" t="s">
        <v>336</v>
      </c>
    </row>
    <row r="115" spans="1:76" x14ac:dyDescent="0.25">
      <c r="A115" s="32" t="s">
        <v>337</v>
      </c>
      <c r="B115" s="33" t="s">
        <v>338</v>
      </c>
      <c r="C115" s="125" t="s">
        <v>339</v>
      </c>
      <c r="D115" s="126"/>
      <c r="E115" s="33" t="s">
        <v>56</v>
      </c>
      <c r="F115" s="34">
        <v>1</v>
      </c>
      <c r="G115" s="35">
        <v>0</v>
      </c>
      <c r="H115" s="34">
        <f t="shared" si="154"/>
        <v>0</v>
      </c>
      <c r="I115" s="34">
        <f t="shared" si="155"/>
        <v>0</v>
      </c>
      <c r="J115" s="34">
        <f t="shared" si="156"/>
        <v>0</v>
      </c>
      <c r="K115" s="36" t="s">
        <v>57</v>
      </c>
      <c r="Z115" s="30">
        <f t="shared" si="157"/>
        <v>0</v>
      </c>
      <c r="AB115" s="30">
        <f t="shared" si="158"/>
        <v>0</v>
      </c>
      <c r="AC115" s="30">
        <f t="shared" si="159"/>
        <v>0</v>
      </c>
      <c r="AD115" s="30">
        <f t="shared" si="160"/>
        <v>0</v>
      </c>
      <c r="AE115" s="30">
        <f t="shared" si="161"/>
        <v>0</v>
      </c>
      <c r="AF115" s="30">
        <f t="shared" si="162"/>
        <v>0</v>
      </c>
      <c r="AG115" s="30">
        <f t="shared" si="163"/>
        <v>0</v>
      </c>
      <c r="AH115" s="30">
        <f t="shared" si="164"/>
        <v>0</v>
      </c>
      <c r="AI115" s="10" t="s">
        <v>50</v>
      </c>
      <c r="AJ115" s="30">
        <f t="shared" si="165"/>
        <v>0</v>
      </c>
      <c r="AK115" s="30">
        <f t="shared" si="166"/>
        <v>0</v>
      </c>
      <c r="AL115" s="30">
        <f t="shared" si="167"/>
        <v>0</v>
      </c>
      <c r="AN115" s="30">
        <v>12</v>
      </c>
      <c r="AO115" s="30">
        <f>G115*1</f>
        <v>0</v>
      </c>
      <c r="AP115" s="30">
        <f>G115*(1-1)</f>
        <v>0</v>
      </c>
      <c r="AQ115" s="31" t="s">
        <v>81</v>
      </c>
      <c r="AV115" s="30">
        <f t="shared" si="168"/>
        <v>0</v>
      </c>
      <c r="AW115" s="30">
        <f t="shared" si="169"/>
        <v>0</v>
      </c>
      <c r="AX115" s="30">
        <f t="shared" si="170"/>
        <v>0</v>
      </c>
      <c r="AY115" s="31" t="s">
        <v>308</v>
      </c>
      <c r="AZ115" s="31" t="s">
        <v>199</v>
      </c>
      <c r="BA115" s="10" t="s">
        <v>60</v>
      </c>
      <c r="BC115" s="30">
        <f t="shared" si="171"/>
        <v>0</v>
      </c>
      <c r="BD115" s="30">
        <f t="shared" si="172"/>
        <v>0</v>
      </c>
      <c r="BE115" s="30">
        <v>0</v>
      </c>
      <c r="BF115" s="30">
        <f>115</f>
        <v>115</v>
      </c>
      <c r="BH115" s="30">
        <f t="shared" si="173"/>
        <v>0</v>
      </c>
      <c r="BI115" s="30">
        <f t="shared" si="174"/>
        <v>0</v>
      </c>
      <c r="BJ115" s="30">
        <f t="shared" si="175"/>
        <v>0</v>
      </c>
      <c r="BK115" s="30"/>
      <c r="BL115" s="30">
        <v>725</v>
      </c>
      <c r="BW115" s="30">
        <v>12</v>
      </c>
      <c r="BX115" s="4" t="s">
        <v>339</v>
      </c>
    </row>
    <row r="116" spans="1:76" x14ac:dyDescent="0.25">
      <c r="A116" s="32" t="s">
        <v>340</v>
      </c>
      <c r="B116" s="33" t="s">
        <v>341</v>
      </c>
      <c r="C116" s="125" t="s">
        <v>342</v>
      </c>
      <c r="D116" s="126"/>
      <c r="E116" s="33" t="s">
        <v>307</v>
      </c>
      <c r="F116" s="34">
        <v>1</v>
      </c>
      <c r="G116" s="35">
        <v>0</v>
      </c>
      <c r="H116" s="34">
        <f t="shared" si="154"/>
        <v>0</v>
      </c>
      <c r="I116" s="34">
        <f t="shared" si="155"/>
        <v>0</v>
      </c>
      <c r="J116" s="34">
        <f t="shared" si="156"/>
        <v>0</v>
      </c>
      <c r="K116" s="36" t="s">
        <v>57</v>
      </c>
      <c r="Z116" s="30">
        <f t="shared" si="157"/>
        <v>0</v>
      </c>
      <c r="AB116" s="30">
        <f t="shared" si="158"/>
        <v>0</v>
      </c>
      <c r="AC116" s="30">
        <f t="shared" si="159"/>
        <v>0</v>
      </c>
      <c r="AD116" s="30">
        <f t="shared" si="160"/>
        <v>0</v>
      </c>
      <c r="AE116" s="30">
        <f t="shared" si="161"/>
        <v>0</v>
      </c>
      <c r="AF116" s="30">
        <f t="shared" si="162"/>
        <v>0</v>
      </c>
      <c r="AG116" s="30">
        <f t="shared" si="163"/>
        <v>0</v>
      </c>
      <c r="AH116" s="30">
        <f t="shared" si="164"/>
        <v>0</v>
      </c>
      <c r="AI116" s="10" t="s">
        <v>50</v>
      </c>
      <c r="AJ116" s="30">
        <f t="shared" si="165"/>
        <v>0</v>
      </c>
      <c r="AK116" s="30">
        <f t="shared" si="166"/>
        <v>0</v>
      </c>
      <c r="AL116" s="30">
        <f t="shared" si="167"/>
        <v>0</v>
      </c>
      <c r="AN116" s="30">
        <v>12</v>
      </c>
      <c r="AO116" s="30">
        <f>G116*0.91771917</f>
        <v>0</v>
      </c>
      <c r="AP116" s="30">
        <f>G116*(1-0.91771917)</f>
        <v>0</v>
      </c>
      <c r="AQ116" s="31" t="s">
        <v>81</v>
      </c>
      <c r="AV116" s="30">
        <f t="shared" si="168"/>
        <v>0</v>
      </c>
      <c r="AW116" s="30">
        <f t="shared" si="169"/>
        <v>0</v>
      </c>
      <c r="AX116" s="30">
        <f t="shared" si="170"/>
        <v>0</v>
      </c>
      <c r="AY116" s="31" t="s">
        <v>308</v>
      </c>
      <c r="AZ116" s="31" t="s">
        <v>199</v>
      </c>
      <c r="BA116" s="10" t="s">
        <v>60</v>
      </c>
      <c r="BC116" s="30">
        <f t="shared" si="171"/>
        <v>0</v>
      </c>
      <c r="BD116" s="30">
        <f t="shared" si="172"/>
        <v>0</v>
      </c>
      <c r="BE116" s="30">
        <v>0</v>
      </c>
      <c r="BF116" s="30">
        <f>116</f>
        <v>116</v>
      </c>
      <c r="BH116" s="30">
        <f t="shared" si="173"/>
        <v>0</v>
      </c>
      <c r="BI116" s="30">
        <f t="shared" si="174"/>
        <v>0</v>
      </c>
      <c r="BJ116" s="30">
        <f t="shared" si="175"/>
        <v>0</v>
      </c>
      <c r="BK116" s="30"/>
      <c r="BL116" s="30">
        <v>725</v>
      </c>
      <c r="BW116" s="30">
        <v>12</v>
      </c>
      <c r="BX116" s="4" t="s">
        <v>342</v>
      </c>
    </row>
    <row r="117" spans="1:76" x14ac:dyDescent="0.25">
      <c r="A117" s="32" t="s">
        <v>343</v>
      </c>
      <c r="B117" s="33" t="s">
        <v>344</v>
      </c>
      <c r="C117" s="125" t="s">
        <v>345</v>
      </c>
      <c r="D117" s="126"/>
      <c r="E117" s="33" t="s">
        <v>307</v>
      </c>
      <c r="F117" s="34">
        <v>1</v>
      </c>
      <c r="G117" s="35">
        <v>0</v>
      </c>
      <c r="H117" s="34">
        <f t="shared" si="154"/>
        <v>0</v>
      </c>
      <c r="I117" s="34">
        <f t="shared" si="155"/>
        <v>0</v>
      </c>
      <c r="J117" s="34">
        <f t="shared" si="156"/>
        <v>0</v>
      </c>
      <c r="K117" s="36" t="s">
        <v>57</v>
      </c>
      <c r="Z117" s="30">
        <f t="shared" si="157"/>
        <v>0</v>
      </c>
      <c r="AB117" s="30">
        <f t="shared" si="158"/>
        <v>0</v>
      </c>
      <c r="AC117" s="30">
        <f t="shared" si="159"/>
        <v>0</v>
      </c>
      <c r="AD117" s="30">
        <f t="shared" si="160"/>
        <v>0</v>
      </c>
      <c r="AE117" s="30">
        <f t="shared" si="161"/>
        <v>0</v>
      </c>
      <c r="AF117" s="30">
        <f t="shared" si="162"/>
        <v>0</v>
      </c>
      <c r="AG117" s="30">
        <f t="shared" si="163"/>
        <v>0</v>
      </c>
      <c r="AH117" s="30">
        <f t="shared" si="164"/>
        <v>0</v>
      </c>
      <c r="AI117" s="10" t="s">
        <v>50</v>
      </c>
      <c r="AJ117" s="30">
        <f t="shared" si="165"/>
        <v>0</v>
      </c>
      <c r="AK117" s="30">
        <f t="shared" si="166"/>
        <v>0</v>
      </c>
      <c r="AL117" s="30">
        <f t="shared" si="167"/>
        <v>0</v>
      </c>
      <c r="AN117" s="30">
        <v>12</v>
      </c>
      <c r="AO117" s="30">
        <f>G117*0.318425141</f>
        <v>0</v>
      </c>
      <c r="AP117" s="30">
        <f>G117*(1-0.318425141)</f>
        <v>0</v>
      </c>
      <c r="AQ117" s="31" t="s">
        <v>81</v>
      </c>
      <c r="AV117" s="30">
        <f t="shared" si="168"/>
        <v>0</v>
      </c>
      <c r="AW117" s="30">
        <f t="shared" si="169"/>
        <v>0</v>
      </c>
      <c r="AX117" s="30">
        <f t="shared" si="170"/>
        <v>0</v>
      </c>
      <c r="AY117" s="31" t="s">
        <v>308</v>
      </c>
      <c r="AZ117" s="31" t="s">
        <v>199</v>
      </c>
      <c r="BA117" s="10" t="s">
        <v>60</v>
      </c>
      <c r="BC117" s="30">
        <f t="shared" si="171"/>
        <v>0</v>
      </c>
      <c r="BD117" s="30">
        <f t="shared" si="172"/>
        <v>0</v>
      </c>
      <c r="BE117" s="30">
        <v>0</v>
      </c>
      <c r="BF117" s="30">
        <f>117</f>
        <v>117</v>
      </c>
      <c r="BH117" s="30">
        <f t="shared" si="173"/>
        <v>0</v>
      </c>
      <c r="BI117" s="30">
        <f t="shared" si="174"/>
        <v>0</v>
      </c>
      <c r="BJ117" s="30">
        <f t="shared" si="175"/>
        <v>0</v>
      </c>
      <c r="BK117" s="30"/>
      <c r="BL117" s="30">
        <v>725</v>
      </c>
      <c r="BW117" s="30">
        <v>12</v>
      </c>
      <c r="BX117" s="4" t="s">
        <v>345</v>
      </c>
    </row>
    <row r="118" spans="1:76" x14ac:dyDescent="0.25">
      <c r="A118" s="32" t="s">
        <v>346</v>
      </c>
      <c r="B118" s="33" t="s">
        <v>347</v>
      </c>
      <c r="C118" s="125" t="s">
        <v>348</v>
      </c>
      <c r="D118" s="126"/>
      <c r="E118" s="33" t="s">
        <v>56</v>
      </c>
      <c r="F118" s="34">
        <v>1</v>
      </c>
      <c r="G118" s="35">
        <v>0</v>
      </c>
      <c r="H118" s="34">
        <f t="shared" si="154"/>
        <v>0</v>
      </c>
      <c r="I118" s="34">
        <f t="shared" si="155"/>
        <v>0</v>
      </c>
      <c r="J118" s="34">
        <f t="shared" si="156"/>
        <v>0</v>
      </c>
      <c r="K118" s="36" t="s">
        <v>57</v>
      </c>
      <c r="Z118" s="30">
        <f t="shared" si="157"/>
        <v>0</v>
      </c>
      <c r="AB118" s="30">
        <f t="shared" si="158"/>
        <v>0</v>
      </c>
      <c r="AC118" s="30">
        <f t="shared" si="159"/>
        <v>0</v>
      </c>
      <c r="AD118" s="30">
        <f t="shared" si="160"/>
        <v>0</v>
      </c>
      <c r="AE118" s="30">
        <f t="shared" si="161"/>
        <v>0</v>
      </c>
      <c r="AF118" s="30">
        <f t="shared" si="162"/>
        <v>0</v>
      </c>
      <c r="AG118" s="30">
        <f t="shared" si="163"/>
        <v>0</v>
      </c>
      <c r="AH118" s="30">
        <f t="shared" si="164"/>
        <v>0</v>
      </c>
      <c r="AI118" s="10" t="s">
        <v>50</v>
      </c>
      <c r="AJ118" s="30">
        <f t="shared" si="165"/>
        <v>0</v>
      </c>
      <c r="AK118" s="30">
        <f t="shared" si="166"/>
        <v>0</v>
      </c>
      <c r="AL118" s="30">
        <f t="shared" si="167"/>
        <v>0</v>
      </c>
      <c r="AN118" s="30">
        <v>12</v>
      </c>
      <c r="AO118" s="30">
        <f>G118*1</f>
        <v>0</v>
      </c>
      <c r="AP118" s="30">
        <f>G118*(1-1)</f>
        <v>0</v>
      </c>
      <c r="AQ118" s="31" t="s">
        <v>81</v>
      </c>
      <c r="AV118" s="30">
        <f t="shared" si="168"/>
        <v>0</v>
      </c>
      <c r="AW118" s="30">
        <f t="shared" si="169"/>
        <v>0</v>
      </c>
      <c r="AX118" s="30">
        <f t="shared" si="170"/>
        <v>0</v>
      </c>
      <c r="AY118" s="31" t="s">
        <v>308</v>
      </c>
      <c r="AZ118" s="31" t="s">
        <v>199</v>
      </c>
      <c r="BA118" s="10" t="s">
        <v>60</v>
      </c>
      <c r="BC118" s="30">
        <f t="shared" si="171"/>
        <v>0</v>
      </c>
      <c r="BD118" s="30">
        <f t="shared" si="172"/>
        <v>0</v>
      </c>
      <c r="BE118" s="30">
        <v>0</v>
      </c>
      <c r="BF118" s="30">
        <f>118</f>
        <v>118</v>
      </c>
      <c r="BH118" s="30">
        <f t="shared" si="173"/>
        <v>0</v>
      </c>
      <c r="BI118" s="30">
        <f t="shared" si="174"/>
        <v>0</v>
      </c>
      <c r="BJ118" s="30">
        <f t="shared" si="175"/>
        <v>0</v>
      </c>
      <c r="BK118" s="30"/>
      <c r="BL118" s="30">
        <v>725</v>
      </c>
      <c r="BW118" s="30">
        <v>12</v>
      </c>
      <c r="BX118" s="4" t="s">
        <v>348</v>
      </c>
    </row>
    <row r="119" spans="1:76" x14ac:dyDescent="0.25">
      <c r="A119" s="32" t="s">
        <v>349</v>
      </c>
      <c r="B119" s="33" t="s">
        <v>350</v>
      </c>
      <c r="C119" s="125" t="s">
        <v>351</v>
      </c>
      <c r="D119" s="126"/>
      <c r="E119" s="33" t="s">
        <v>56</v>
      </c>
      <c r="F119" s="34">
        <v>1</v>
      </c>
      <c r="G119" s="35">
        <v>0</v>
      </c>
      <c r="H119" s="34">
        <f t="shared" si="154"/>
        <v>0</v>
      </c>
      <c r="I119" s="34">
        <f t="shared" si="155"/>
        <v>0</v>
      </c>
      <c r="J119" s="34">
        <f t="shared" si="156"/>
        <v>0</v>
      </c>
      <c r="K119" s="36" t="s">
        <v>164</v>
      </c>
      <c r="Z119" s="30">
        <f t="shared" si="157"/>
        <v>0</v>
      </c>
      <c r="AB119" s="30">
        <f t="shared" si="158"/>
        <v>0</v>
      </c>
      <c r="AC119" s="30">
        <f t="shared" si="159"/>
        <v>0</v>
      </c>
      <c r="AD119" s="30">
        <f t="shared" si="160"/>
        <v>0</v>
      </c>
      <c r="AE119" s="30">
        <f t="shared" si="161"/>
        <v>0</v>
      </c>
      <c r="AF119" s="30">
        <f t="shared" si="162"/>
        <v>0</v>
      </c>
      <c r="AG119" s="30">
        <f t="shared" si="163"/>
        <v>0</v>
      </c>
      <c r="AH119" s="30">
        <f t="shared" si="164"/>
        <v>0</v>
      </c>
      <c r="AI119" s="10" t="s">
        <v>50</v>
      </c>
      <c r="AJ119" s="30">
        <f t="shared" si="165"/>
        <v>0</v>
      </c>
      <c r="AK119" s="30">
        <f t="shared" si="166"/>
        <v>0</v>
      </c>
      <c r="AL119" s="30">
        <f t="shared" si="167"/>
        <v>0</v>
      </c>
      <c r="AN119" s="30">
        <v>12</v>
      </c>
      <c r="AO119" s="30">
        <f>G119*0.056911751</f>
        <v>0</v>
      </c>
      <c r="AP119" s="30">
        <f>G119*(1-0.056911751)</f>
        <v>0</v>
      </c>
      <c r="AQ119" s="31" t="s">
        <v>81</v>
      </c>
      <c r="AV119" s="30">
        <f t="shared" si="168"/>
        <v>0</v>
      </c>
      <c r="AW119" s="30">
        <f t="shared" si="169"/>
        <v>0</v>
      </c>
      <c r="AX119" s="30">
        <f t="shared" si="170"/>
        <v>0</v>
      </c>
      <c r="AY119" s="31" t="s">
        <v>308</v>
      </c>
      <c r="AZ119" s="31" t="s">
        <v>199</v>
      </c>
      <c r="BA119" s="10" t="s">
        <v>60</v>
      </c>
      <c r="BC119" s="30">
        <f t="shared" si="171"/>
        <v>0</v>
      </c>
      <c r="BD119" s="30">
        <f t="shared" si="172"/>
        <v>0</v>
      </c>
      <c r="BE119" s="30">
        <v>0</v>
      </c>
      <c r="BF119" s="30">
        <f>119</f>
        <v>119</v>
      </c>
      <c r="BH119" s="30">
        <f t="shared" si="173"/>
        <v>0</v>
      </c>
      <c r="BI119" s="30">
        <f t="shared" si="174"/>
        <v>0</v>
      </c>
      <c r="BJ119" s="30">
        <f t="shared" si="175"/>
        <v>0</v>
      </c>
      <c r="BK119" s="30"/>
      <c r="BL119" s="30">
        <v>725</v>
      </c>
      <c r="BW119" s="30">
        <v>12</v>
      </c>
      <c r="BX119" s="4" t="s">
        <v>351</v>
      </c>
    </row>
    <row r="120" spans="1:76" x14ac:dyDescent="0.25">
      <c r="A120" s="32" t="s">
        <v>352</v>
      </c>
      <c r="B120" s="33" t="s">
        <v>353</v>
      </c>
      <c r="C120" s="125" t="s">
        <v>354</v>
      </c>
      <c r="D120" s="126"/>
      <c r="E120" s="33" t="s">
        <v>56</v>
      </c>
      <c r="F120" s="34">
        <v>1</v>
      </c>
      <c r="G120" s="35">
        <v>0</v>
      </c>
      <c r="H120" s="34">
        <f t="shared" si="154"/>
        <v>0</v>
      </c>
      <c r="I120" s="34">
        <f t="shared" si="155"/>
        <v>0</v>
      </c>
      <c r="J120" s="34">
        <f t="shared" si="156"/>
        <v>0</v>
      </c>
      <c r="K120" s="36" t="s">
        <v>57</v>
      </c>
      <c r="Z120" s="30">
        <f t="shared" si="157"/>
        <v>0</v>
      </c>
      <c r="AB120" s="30">
        <f t="shared" si="158"/>
        <v>0</v>
      </c>
      <c r="AC120" s="30">
        <f t="shared" si="159"/>
        <v>0</v>
      </c>
      <c r="AD120" s="30">
        <f t="shared" si="160"/>
        <v>0</v>
      </c>
      <c r="AE120" s="30">
        <f t="shared" si="161"/>
        <v>0</v>
      </c>
      <c r="AF120" s="30">
        <f t="shared" si="162"/>
        <v>0</v>
      </c>
      <c r="AG120" s="30">
        <f t="shared" si="163"/>
        <v>0</v>
      </c>
      <c r="AH120" s="30">
        <f t="shared" si="164"/>
        <v>0</v>
      </c>
      <c r="AI120" s="10" t="s">
        <v>50</v>
      </c>
      <c r="AJ120" s="30">
        <f t="shared" si="165"/>
        <v>0</v>
      </c>
      <c r="AK120" s="30">
        <f t="shared" si="166"/>
        <v>0</v>
      </c>
      <c r="AL120" s="30">
        <f t="shared" si="167"/>
        <v>0</v>
      </c>
      <c r="AN120" s="30">
        <v>12</v>
      </c>
      <c r="AO120" s="30">
        <f>G120*1</f>
        <v>0</v>
      </c>
      <c r="AP120" s="30">
        <f>G120*(1-1)</f>
        <v>0</v>
      </c>
      <c r="AQ120" s="31" t="s">
        <v>81</v>
      </c>
      <c r="AV120" s="30">
        <f t="shared" si="168"/>
        <v>0</v>
      </c>
      <c r="AW120" s="30">
        <f t="shared" si="169"/>
        <v>0</v>
      </c>
      <c r="AX120" s="30">
        <f t="shared" si="170"/>
        <v>0</v>
      </c>
      <c r="AY120" s="31" t="s">
        <v>308</v>
      </c>
      <c r="AZ120" s="31" t="s">
        <v>199</v>
      </c>
      <c r="BA120" s="10" t="s">
        <v>60</v>
      </c>
      <c r="BC120" s="30">
        <f t="shared" si="171"/>
        <v>0</v>
      </c>
      <c r="BD120" s="30">
        <f t="shared" si="172"/>
        <v>0</v>
      </c>
      <c r="BE120" s="30">
        <v>0</v>
      </c>
      <c r="BF120" s="30">
        <f>120</f>
        <v>120</v>
      </c>
      <c r="BH120" s="30">
        <f t="shared" si="173"/>
        <v>0</v>
      </c>
      <c r="BI120" s="30">
        <f t="shared" si="174"/>
        <v>0</v>
      </c>
      <c r="BJ120" s="30">
        <f t="shared" si="175"/>
        <v>0</v>
      </c>
      <c r="BK120" s="30"/>
      <c r="BL120" s="30">
        <v>725</v>
      </c>
      <c r="BW120" s="30">
        <v>12</v>
      </c>
      <c r="BX120" s="4" t="s">
        <v>354</v>
      </c>
    </row>
    <row r="121" spans="1:76" x14ac:dyDescent="0.25">
      <c r="A121" s="32" t="s">
        <v>355</v>
      </c>
      <c r="B121" s="33" t="s">
        <v>356</v>
      </c>
      <c r="C121" s="125" t="s">
        <v>357</v>
      </c>
      <c r="D121" s="126"/>
      <c r="E121" s="33" t="s">
        <v>56</v>
      </c>
      <c r="F121" s="34">
        <v>1</v>
      </c>
      <c r="G121" s="35">
        <v>0</v>
      </c>
      <c r="H121" s="34">
        <f t="shared" si="154"/>
        <v>0</v>
      </c>
      <c r="I121" s="34">
        <f t="shared" si="155"/>
        <v>0</v>
      </c>
      <c r="J121" s="34">
        <f t="shared" si="156"/>
        <v>0</v>
      </c>
      <c r="K121" s="36" t="s">
        <v>164</v>
      </c>
      <c r="Z121" s="30">
        <f t="shared" si="157"/>
        <v>0</v>
      </c>
      <c r="AB121" s="30">
        <f t="shared" si="158"/>
        <v>0</v>
      </c>
      <c r="AC121" s="30">
        <f t="shared" si="159"/>
        <v>0</v>
      </c>
      <c r="AD121" s="30">
        <f t="shared" si="160"/>
        <v>0</v>
      </c>
      <c r="AE121" s="30">
        <f t="shared" si="161"/>
        <v>0</v>
      </c>
      <c r="AF121" s="30">
        <f t="shared" si="162"/>
        <v>0</v>
      </c>
      <c r="AG121" s="30">
        <f t="shared" si="163"/>
        <v>0</v>
      </c>
      <c r="AH121" s="30">
        <f t="shared" si="164"/>
        <v>0</v>
      </c>
      <c r="AI121" s="10" t="s">
        <v>50</v>
      </c>
      <c r="AJ121" s="30">
        <f t="shared" si="165"/>
        <v>0</v>
      </c>
      <c r="AK121" s="30">
        <f t="shared" si="166"/>
        <v>0</v>
      </c>
      <c r="AL121" s="30">
        <f t="shared" si="167"/>
        <v>0</v>
      </c>
      <c r="AN121" s="30">
        <v>12</v>
      </c>
      <c r="AO121" s="30">
        <f>G121*0.052032115</f>
        <v>0</v>
      </c>
      <c r="AP121" s="30">
        <f>G121*(1-0.052032115)</f>
        <v>0</v>
      </c>
      <c r="AQ121" s="31" t="s">
        <v>81</v>
      </c>
      <c r="AV121" s="30">
        <f t="shared" si="168"/>
        <v>0</v>
      </c>
      <c r="AW121" s="30">
        <f t="shared" si="169"/>
        <v>0</v>
      </c>
      <c r="AX121" s="30">
        <f t="shared" si="170"/>
        <v>0</v>
      </c>
      <c r="AY121" s="31" t="s">
        <v>308</v>
      </c>
      <c r="AZ121" s="31" t="s">
        <v>199</v>
      </c>
      <c r="BA121" s="10" t="s">
        <v>60</v>
      </c>
      <c r="BC121" s="30">
        <f t="shared" si="171"/>
        <v>0</v>
      </c>
      <c r="BD121" s="30">
        <f t="shared" si="172"/>
        <v>0</v>
      </c>
      <c r="BE121" s="30">
        <v>0</v>
      </c>
      <c r="BF121" s="30">
        <f>121</f>
        <v>121</v>
      </c>
      <c r="BH121" s="30">
        <f t="shared" si="173"/>
        <v>0</v>
      </c>
      <c r="BI121" s="30">
        <f t="shared" si="174"/>
        <v>0</v>
      </c>
      <c r="BJ121" s="30">
        <f t="shared" si="175"/>
        <v>0</v>
      </c>
      <c r="BK121" s="30"/>
      <c r="BL121" s="30">
        <v>725</v>
      </c>
      <c r="BW121" s="30">
        <v>12</v>
      </c>
      <c r="BX121" s="4" t="s">
        <v>357</v>
      </c>
    </row>
    <row r="122" spans="1:76" x14ac:dyDescent="0.25">
      <c r="A122" s="32" t="s">
        <v>358</v>
      </c>
      <c r="B122" s="33" t="s">
        <v>359</v>
      </c>
      <c r="C122" s="125" t="s">
        <v>360</v>
      </c>
      <c r="D122" s="126"/>
      <c r="E122" s="33" t="s">
        <v>56</v>
      </c>
      <c r="F122" s="34">
        <v>1</v>
      </c>
      <c r="G122" s="35">
        <v>0</v>
      </c>
      <c r="H122" s="34">
        <f t="shared" si="154"/>
        <v>0</v>
      </c>
      <c r="I122" s="34">
        <f t="shared" si="155"/>
        <v>0</v>
      </c>
      <c r="J122" s="34">
        <f t="shared" si="156"/>
        <v>0</v>
      </c>
      <c r="K122" s="36" t="s">
        <v>57</v>
      </c>
      <c r="Z122" s="30">
        <f t="shared" si="157"/>
        <v>0</v>
      </c>
      <c r="AB122" s="30">
        <f t="shared" si="158"/>
        <v>0</v>
      </c>
      <c r="AC122" s="30">
        <f t="shared" si="159"/>
        <v>0</v>
      </c>
      <c r="AD122" s="30">
        <f t="shared" si="160"/>
        <v>0</v>
      </c>
      <c r="AE122" s="30">
        <f t="shared" si="161"/>
        <v>0</v>
      </c>
      <c r="AF122" s="30">
        <f t="shared" si="162"/>
        <v>0</v>
      </c>
      <c r="AG122" s="30">
        <f t="shared" si="163"/>
        <v>0</v>
      </c>
      <c r="AH122" s="30">
        <f t="shared" si="164"/>
        <v>0</v>
      </c>
      <c r="AI122" s="10" t="s">
        <v>50</v>
      </c>
      <c r="AJ122" s="30">
        <f t="shared" si="165"/>
        <v>0</v>
      </c>
      <c r="AK122" s="30">
        <f t="shared" si="166"/>
        <v>0</v>
      </c>
      <c r="AL122" s="30">
        <f t="shared" si="167"/>
        <v>0</v>
      </c>
      <c r="AN122" s="30">
        <v>12</v>
      </c>
      <c r="AO122" s="30">
        <f>G122*1</f>
        <v>0</v>
      </c>
      <c r="AP122" s="30">
        <f>G122*(1-1)</f>
        <v>0</v>
      </c>
      <c r="AQ122" s="31" t="s">
        <v>81</v>
      </c>
      <c r="AV122" s="30">
        <f t="shared" si="168"/>
        <v>0</v>
      </c>
      <c r="AW122" s="30">
        <f t="shared" si="169"/>
        <v>0</v>
      </c>
      <c r="AX122" s="30">
        <f t="shared" si="170"/>
        <v>0</v>
      </c>
      <c r="AY122" s="31" t="s">
        <v>308</v>
      </c>
      <c r="AZ122" s="31" t="s">
        <v>199</v>
      </c>
      <c r="BA122" s="10" t="s">
        <v>60</v>
      </c>
      <c r="BC122" s="30">
        <f t="shared" si="171"/>
        <v>0</v>
      </c>
      <c r="BD122" s="30">
        <f t="shared" si="172"/>
        <v>0</v>
      </c>
      <c r="BE122" s="30">
        <v>0</v>
      </c>
      <c r="BF122" s="30">
        <f>122</f>
        <v>122</v>
      </c>
      <c r="BH122" s="30">
        <f t="shared" si="173"/>
        <v>0</v>
      </c>
      <c r="BI122" s="30">
        <f t="shared" si="174"/>
        <v>0</v>
      </c>
      <c r="BJ122" s="30">
        <f t="shared" si="175"/>
        <v>0</v>
      </c>
      <c r="BK122" s="30"/>
      <c r="BL122" s="30">
        <v>725</v>
      </c>
      <c r="BW122" s="30">
        <v>12</v>
      </c>
      <c r="BX122" s="4" t="s">
        <v>360</v>
      </c>
    </row>
    <row r="123" spans="1:76" x14ac:dyDescent="0.25">
      <c r="A123" s="32" t="s">
        <v>361</v>
      </c>
      <c r="B123" s="33" t="s">
        <v>362</v>
      </c>
      <c r="C123" s="125" t="s">
        <v>363</v>
      </c>
      <c r="D123" s="126"/>
      <c r="E123" s="33" t="s">
        <v>56</v>
      </c>
      <c r="F123" s="34">
        <v>1</v>
      </c>
      <c r="G123" s="35">
        <v>0</v>
      </c>
      <c r="H123" s="34">
        <f t="shared" si="154"/>
        <v>0</v>
      </c>
      <c r="I123" s="34">
        <f t="shared" si="155"/>
        <v>0</v>
      </c>
      <c r="J123" s="34">
        <f t="shared" si="156"/>
        <v>0</v>
      </c>
      <c r="K123" s="36" t="s">
        <v>57</v>
      </c>
      <c r="Z123" s="30">
        <f t="shared" si="157"/>
        <v>0</v>
      </c>
      <c r="AB123" s="30">
        <f t="shared" si="158"/>
        <v>0</v>
      </c>
      <c r="AC123" s="30">
        <f t="shared" si="159"/>
        <v>0</v>
      </c>
      <c r="AD123" s="30">
        <f t="shared" si="160"/>
        <v>0</v>
      </c>
      <c r="AE123" s="30">
        <f t="shared" si="161"/>
        <v>0</v>
      </c>
      <c r="AF123" s="30">
        <f t="shared" si="162"/>
        <v>0</v>
      </c>
      <c r="AG123" s="30">
        <f t="shared" si="163"/>
        <v>0</v>
      </c>
      <c r="AH123" s="30">
        <f t="shared" si="164"/>
        <v>0</v>
      </c>
      <c r="AI123" s="10" t="s">
        <v>50</v>
      </c>
      <c r="AJ123" s="30">
        <f t="shared" si="165"/>
        <v>0</v>
      </c>
      <c r="AK123" s="30">
        <f t="shared" si="166"/>
        <v>0</v>
      </c>
      <c r="AL123" s="30">
        <f t="shared" si="167"/>
        <v>0</v>
      </c>
      <c r="AN123" s="30">
        <v>12</v>
      </c>
      <c r="AO123" s="30">
        <f>G123*1</f>
        <v>0</v>
      </c>
      <c r="AP123" s="30">
        <f>G123*(1-1)</f>
        <v>0</v>
      </c>
      <c r="AQ123" s="31" t="s">
        <v>81</v>
      </c>
      <c r="AV123" s="30">
        <f t="shared" si="168"/>
        <v>0</v>
      </c>
      <c r="AW123" s="30">
        <f t="shared" si="169"/>
        <v>0</v>
      </c>
      <c r="AX123" s="30">
        <f t="shared" si="170"/>
        <v>0</v>
      </c>
      <c r="AY123" s="31" t="s">
        <v>308</v>
      </c>
      <c r="AZ123" s="31" t="s">
        <v>199</v>
      </c>
      <c r="BA123" s="10" t="s">
        <v>60</v>
      </c>
      <c r="BC123" s="30">
        <f t="shared" si="171"/>
        <v>0</v>
      </c>
      <c r="BD123" s="30">
        <f t="shared" si="172"/>
        <v>0</v>
      </c>
      <c r="BE123" s="30">
        <v>0</v>
      </c>
      <c r="BF123" s="30">
        <f>123</f>
        <v>123</v>
      </c>
      <c r="BH123" s="30">
        <f t="shared" si="173"/>
        <v>0</v>
      </c>
      <c r="BI123" s="30">
        <f t="shared" si="174"/>
        <v>0</v>
      </c>
      <c r="BJ123" s="30">
        <f t="shared" si="175"/>
        <v>0</v>
      </c>
      <c r="BK123" s="30"/>
      <c r="BL123" s="30">
        <v>725</v>
      </c>
      <c r="BW123" s="30">
        <v>12</v>
      </c>
      <c r="BX123" s="4" t="s">
        <v>363</v>
      </c>
    </row>
    <row r="124" spans="1:76" x14ac:dyDescent="0.25">
      <c r="A124" s="32" t="s">
        <v>364</v>
      </c>
      <c r="B124" s="33" t="s">
        <v>365</v>
      </c>
      <c r="C124" s="125" t="s">
        <v>366</v>
      </c>
      <c r="D124" s="126"/>
      <c r="E124" s="33" t="s">
        <v>56</v>
      </c>
      <c r="F124" s="34">
        <v>1</v>
      </c>
      <c r="G124" s="35">
        <v>0</v>
      </c>
      <c r="H124" s="34">
        <f t="shared" si="154"/>
        <v>0</v>
      </c>
      <c r="I124" s="34">
        <f t="shared" si="155"/>
        <v>0</v>
      </c>
      <c r="J124" s="34">
        <f t="shared" si="156"/>
        <v>0</v>
      </c>
      <c r="K124" s="36" t="s">
        <v>57</v>
      </c>
      <c r="Z124" s="30">
        <f t="shared" si="157"/>
        <v>0</v>
      </c>
      <c r="AB124" s="30">
        <f t="shared" si="158"/>
        <v>0</v>
      </c>
      <c r="AC124" s="30">
        <f t="shared" si="159"/>
        <v>0</v>
      </c>
      <c r="AD124" s="30">
        <f t="shared" si="160"/>
        <v>0</v>
      </c>
      <c r="AE124" s="30">
        <f t="shared" si="161"/>
        <v>0</v>
      </c>
      <c r="AF124" s="30">
        <f t="shared" si="162"/>
        <v>0</v>
      </c>
      <c r="AG124" s="30">
        <f t="shared" si="163"/>
        <v>0</v>
      </c>
      <c r="AH124" s="30">
        <f t="shared" si="164"/>
        <v>0</v>
      </c>
      <c r="AI124" s="10" t="s">
        <v>50</v>
      </c>
      <c r="AJ124" s="30">
        <f t="shared" si="165"/>
        <v>0</v>
      </c>
      <c r="AK124" s="30">
        <f t="shared" si="166"/>
        <v>0</v>
      </c>
      <c r="AL124" s="30">
        <f t="shared" si="167"/>
        <v>0</v>
      </c>
      <c r="AN124" s="30">
        <v>12</v>
      </c>
      <c r="AO124" s="30">
        <f>G124*0.249367089</f>
        <v>0</v>
      </c>
      <c r="AP124" s="30">
        <f>G124*(1-0.249367089)</f>
        <v>0</v>
      </c>
      <c r="AQ124" s="31" t="s">
        <v>81</v>
      </c>
      <c r="AV124" s="30">
        <f t="shared" si="168"/>
        <v>0</v>
      </c>
      <c r="AW124" s="30">
        <f t="shared" si="169"/>
        <v>0</v>
      </c>
      <c r="AX124" s="30">
        <f t="shared" si="170"/>
        <v>0</v>
      </c>
      <c r="AY124" s="31" t="s">
        <v>308</v>
      </c>
      <c r="AZ124" s="31" t="s">
        <v>199</v>
      </c>
      <c r="BA124" s="10" t="s">
        <v>60</v>
      </c>
      <c r="BC124" s="30">
        <f t="shared" si="171"/>
        <v>0</v>
      </c>
      <c r="BD124" s="30">
        <f t="shared" si="172"/>
        <v>0</v>
      </c>
      <c r="BE124" s="30">
        <v>0</v>
      </c>
      <c r="BF124" s="30">
        <f>124</f>
        <v>124</v>
      </c>
      <c r="BH124" s="30">
        <f t="shared" si="173"/>
        <v>0</v>
      </c>
      <c r="BI124" s="30">
        <f t="shared" si="174"/>
        <v>0</v>
      </c>
      <c r="BJ124" s="30">
        <f t="shared" si="175"/>
        <v>0</v>
      </c>
      <c r="BK124" s="30"/>
      <c r="BL124" s="30">
        <v>725</v>
      </c>
      <c r="BW124" s="30">
        <v>12</v>
      </c>
      <c r="BX124" s="4" t="s">
        <v>366</v>
      </c>
    </row>
    <row r="125" spans="1:76" x14ac:dyDescent="0.25">
      <c r="A125" s="32" t="s">
        <v>367</v>
      </c>
      <c r="B125" s="33" t="s">
        <v>368</v>
      </c>
      <c r="C125" s="125" t="s">
        <v>369</v>
      </c>
      <c r="D125" s="126"/>
      <c r="E125" s="33" t="s">
        <v>307</v>
      </c>
      <c r="F125" s="34">
        <v>1</v>
      </c>
      <c r="G125" s="35">
        <v>0</v>
      </c>
      <c r="H125" s="34">
        <f t="shared" si="154"/>
        <v>0</v>
      </c>
      <c r="I125" s="34">
        <f t="shared" si="155"/>
        <v>0</v>
      </c>
      <c r="J125" s="34">
        <f t="shared" si="156"/>
        <v>0</v>
      </c>
      <c r="K125" s="36" t="s">
        <v>57</v>
      </c>
      <c r="Z125" s="30">
        <f t="shared" si="157"/>
        <v>0</v>
      </c>
      <c r="AB125" s="30">
        <f t="shared" si="158"/>
        <v>0</v>
      </c>
      <c r="AC125" s="30">
        <f t="shared" si="159"/>
        <v>0</v>
      </c>
      <c r="AD125" s="30">
        <f t="shared" si="160"/>
        <v>0</v>
      </c>
      <c r="AE125" s="30">
        <f t="shared" si="161"/>
        <v>0</v>
      </c>
      <c r="AF125" s="30">
        <f t="shared" si="162"/>
        <v>0</v>
      </c>
      <c r="AG125" s="30">
        <f t="shared" si="163"/>
        <v>0</v>
      </c>
      <c r="AH125" s="30">
        <f t="shared" si="164"/>
        <v>0</v>
      </c>
      <c r="AI125" s="10" t="s">
        <v>50</v>
      </c>
      <c r="AJ125" s="30">
        <f t="shared" si="165"/>
        <v>0</v>
      </c>
      <c r="AK125" s="30">
        <f t="shared" si="166"/>
        <v>0</v>
      </c>
      <c r="AL125" s="30">
        <f t="shared" si="167"/>
        <v>0</v>
      </c>
      <c r="AN125" s="30">
        <v>12</v>
      </c>
      <c r="AO125" s="30">
        <f>G125*0.699327122</f>
        <v>0</v>
      </c>
      <c r="AP125" s="30">
        <f>G125*(1-0.699327122)</f>
        <v>0</v>
      </c>
      <c r="AQ125" s="31" t="s">
        <v>81</v>
      </c>
      <c r="AV125" s="30">
        <f t="shared" si="168"/>
        <v>0</v>
      </c>
      <c r="AW125" s="30">
        <f t="shared" si="169"/>
        <v>0</v>
      </c>
      <c r="AX125" s="30">
        <f t="shared" si="170"/>
        <v>0</v>
      </c>
      <c r="AY125" s="31" t="s">
        <v>308</v>
      </c>
      <c r="AZ125" s="31" t="s">
        <v>199</v>
      </c>
      <c r="BA125" s="10" t="s">
        <v>60</v>
      </c>
      <c r="BC125" s="30">
        <f t="shared" si="171"/>
        <v>0</v>
      </c>
      <c r="BD125" s="30">
        <f t="shared" si="172"/>
        <v>0</v>
      </c>
      <c r="BE125" s="30">
        <v>0</v>
      </c>
      <c r="BF125" s="30">
        <f>125</f>
        <v>125</v>
      </c>
      <c r="BH125" s="30">
        <f t="shared" si="173"/>
        <v>0</v>
      </c>
      <c r="BI125" s="30">
        <f t="shared" si="174"/>
        <v>0</v>
      </c>
      <c r="BJ125" s="30">
        <f t="shared" si="175"/>
        <v>0</v>
      </c>
      <c r="BK125" s="30"/>
      <c r="BL125" s="30">
        <v>725</v>
      </c>
      <c r="BW125" s="30">
        <v>12</v>
      </c>
      <c r="BX125" s="4" t="s">
        <v>369</v>
      </c>
    </row>
    <row r="126" spans="1:76" x14ac:dyDescent="0.25">
      <c r="A126" s="32" t="s">
        <v>370</v>
      </c>
      <c r="B126" s="33" t="s">
        <v>371</v>
      </c>
      <c r="C126" s="125" t="s">
        <v>372</v>
      </c>
      <c r="D126" s="126"/>
      <c r="E126" s="33" t="s">
        <v>56</v>
      </c>
      <c r="F126" s="34">
        <v>1</v>
      </c>
      <c r="G126" s="35">
        <v>0</v>
      </c>
      <c r="H126" s="34">
        <f t="shared" si="154"/>
        <v>0</v>
      </c>
      <c r="I126" s="34">
        <f t="shared" si="155"/>
        <v>0</v>
      </c>
      <c r="J126" s="34">
        <f t="shared" si="156"/>
        <v>0</v>
      </c>
      <c r="K126" s="36" t="s">
        <v>57</v>
      </c>
      <c r="Z126" s="30">
        <f t="shared" si="157"/>
        <v>0</v>
      </c>
      <c r="AB126" s="30">
        <f t="shared" si="158"/>
        <v>0</v>
      </c>
      <c r="AC126" s="30">
        <f t="shared" si="159"/>
        <v>0</v>
      </c>
      <c r="AD126" s="30">
        <f t="shared" si="160"/>
        <v>0</v>
      </c>
      <c r="AE126" s="30">
        <f t="shared" si="161"/>
        <v>0</v>
      </c>
      <c r="AF126" s="30">
        <f t="shared" si="162"/>
        <v>0</v>
      </c>
      <c r="AG126" s="30">
        <f t="shared" si="163"/>
        <v>0</v>
      </c>
      <c r="AH126" s="30">
        <f t="shared" si="164"/>
        <v>0</v>
      </c>
      <c r="AI126" s="10" t="s">
        <v>50</v>
      </c>
      <c r="AJ126" s="30">
        <f t="shared" si="165"/>
        <v>0</v>
      </c>
      <c r="AK126" s="30">
        <f t="shared" si="166"/>
        <v>0</v>
      </c>
      <c r="AL126" s="30">
        <f t="shared" si="167"/>
        <v>0</v>
      </c>
      <c r="AN126" s="30">
        <v>12</v>
      </c>
      <c r="AO126" s="30">
        <f>G126*1</f>
        <v>0</v>
      </c>
      <c r="AP126" s="30">
        <f>G126*(1-1)</f>
        <v>0</v>
      </c>
      <c r="AQ126" s="31" t="s">
        <v>81</v>
      </c>
      <c r="AV126" s="30">
        <f t="shared" si="168"/>
        <v>0</v>
      </c>
      <c r="AW126" s="30">
        <f t="shared" si="169"/>
        <v>0</v>
      </c>
      <c r="AX126" s="30">
        <f t="shared" si="170"/>
        <v>0</v>
      </c>
      <c r="AY126" s="31" t="s">
        <v>308</v>
      </c>
      <c r="AZ126" s="31" t="s">
        <v>199</v>
      </c>
      <c r="BA126" s="10" t="s">
        <v>60</v>
      </c>
      <c r="BC126" s="30">
        <f t="shared" si="171"/>
        <v>0</v>
      </c>
      <c r="BD126" s="30">
        <f t="shared" si="172"/>
        <v>0</v>
      </c>
      <c r="BE126" s="30">
        <v>0</v>
      </c>
      <c r="BF126" s="30">
        <f>126</f>
        <v>126</v>
      </c>
      <c r="BH126" s="30">
        <f t="shared" si="173"/>
        <v>0</v>
      </c>
      <c r="BI126" s="30">
        <f t="shared" si="174"/>
        <v>0</v>
      </c>
      <c r="BJ126" s="30">
        <f t="shared" si="175"/>
        <v>0</v>
      </c>
      <c r="BK126" s="30"/>
      <c r="BL126" s="30">
        <v>725</v>
      </c>
      <c r="BW126" s="30">
        <v>12</v>
      </c>
      <c r="BX126" s="4" t="s">
        <v>372</v>
      </c>
    </row>
    <row r="127" spans="1:76" x14ac:dyDescent="0.25">
      <c r="A127" s="32" t="s">
        <v>373</v>
      </c>
      <c r="B127" s="33" t="s">
        <v>374</v>
      </c>
      <c r="C127" s="125" t="s">
        <v>375</v>
      </c>
      <c r="D127" s="126"/>
      <c r="E127" s="33" t="s">
        <v>56</v>
      </c>
      <c r="F127" s="34">
        <v>1</v>
      </c>
      <c r="G127" s="35">
        <v>0</v>
      </c>
      <c r="H127" s="34">
        <f t="shared" si="154"/>
        <v>0</v>
      </c>
      <c r="I127" s="34">
        <f t="shared" si="155"/>
        <v>0</v>
      </c>
      <c r="J127" s="34">
        <f t="shared" si="156"/>
        <v>0</v>
      </c>
      <c r="K127" s="36" t="s">
        <v>57</v>
      </c>
      <c r="Z127" s="30">
        <f t="shared" si="157"/>
        <v>0</v>
      </c>
      <c r="AB127" s="30">
        <f t="shared" si="158"/>
        <v>0</v>
      </c>
      <c r="AC127" s="30">
        <f t="shared" si="159"/>
        <v>0</v>
      </c>
      <c r="AD127" s="30">
        <f t="shared" si="160"/>
        <v>0</v>
      </c>
      <c r="AE127" s="30">
        <f t="shared" si="161"/>
        <v>0</v>
      </c>
      <c r="AF127" s="30">
        <f t="shared" si="162"/>
        <v>0</v>
      </c>
      <c r="AG127" s="30">
        <f t="shared" si="163"/>
        <v>0</v>
      </c>
      <c r="AH127" s="30">
        <f t="shared" si="164"/>
        <v>0</v>
      </c>
      <c r="AI127" s="10" t="s">
        <v>50</v>
      </c>
      <c r="AJ127" s="30">
        <f t="shared" si="165"/>
        <v>0</v>
      </c>
      <c r="AK127" s="30">
        <f t="shared" si="166"/>
        <v>0</v>
      </c>
      <c r="AL127" s="30">
        <f t="shared" si="167"/>
        <v>0</v>
      </c>
      <c r="AN127" s="30">
        <v>12</v>
      </c>
      <c r="AO127" s="30">
        <f>G127*0.751390845</f>
        <v>0</v>
      </c>
      <c r="AP127" s="30">
        <f>G127*(1-0.751390845)</f>
        <v>0</v>
      </c>
      <c r="AQ127" s="31" t="s">
        <v>81</v>
      </c>
      <c r="AV127" s="30">
        <f t="shared" si="168"/>
        <v>0</v>
      </c>
      <c r="AW127" s="30">
        <f t="shared" si="169"/>
        <v>0</v>
      </c>
      <c r="AX127" s="30">
        <f t="shared" si="170"/>
        <v>0</v>
      </c>
      <c r="AY127" s="31" t="s">
        <v>308</v>
      </c>
      <c r="AZ127" s="31" t="s">
        <v>199</v>
      </c>
      <c r="BA127" s="10" t="s">
        <v>60</v>
      </c>
      <c r="BC127" s="30">
        <f t="shared" si="171"/>
        <v>0</v>
      </c>
      <c r="BD127" s="30">
        <f t="shared" si="172"/>
        <v>0</v>
      </c>
      <c r="BE127" s="30">
        <v>0</v>
      </c>
      <c r="BF127" s="30">
        <f>127</f>
        <v>127</v>
      </c>
      <c r="BH127" s="30">
        <f t="shared" si="173"/>
        <v>0</v>
      </c>
      <c r="BI127" s="30">
        <f t="shared" si="174"/>
        <v>0</v>
      </c>
      <c r="BJ127" s="30">
        <f t="shared" si="175"/>
        <v>0</v>
      </c>
      <c r="BK127" s="30"/>
      <c r="BL127" s="30">
        <v>725</v>
      </c>
      <c r="BW127" s="30">
        <v>12</v>
      </c>
      <c r="BX127" s="4" t="s">
        <v>375</v>
      </c>
    </row>
    <row r="128" spans="1:76" x14ac:dyDescent="0.25">
      <c r="A128" s="32" t="s">
        <v>376</v>
      </c>
      <c r="B128" s="33" t="s">
        <v>377</v>
      </c>
      <c r="C128" s="125" t="s">
        <v>378</v>
      </c>
      <c r="D128" s="126"/>
      <c r="E128" s="33" t="s">
        <v>307</v>
      </c>
      <c r="F128" s="34">
        <v>1</v>
      </c>
      <c r="G128" s="35">
        <v>0</v>
      </c>
      <c r="H128" s="34">
        <f t="shared" si="154"/>
        <v>0</v>
      </c>
      <c r="I128" s="34">
        <f t="shared" si="155"/>
        <v>0</v>
      </c>
      <c r="J128" s="34">
        <f t="shared" si="156"/>
        <v>0</v>
      </c>
      <c r="K128" s="36" t="s">
        <v>57</v>
      </c>
      <c r="Z128" s="30">
        <f t="shared" si="157"/>
        <v>0</v>
      </c>
      <c r="AB128" s="30">
        <f t="shared" si="158"/>
        <v>0</v>
      </c>
      <c r="AC128" s="30">
        <f t="shared" si="159"/>
        <v>0</v>
      </c>
      <c r="AD128" s="30">
        <f t="shared" si="160"/>
        <v>0</v>
      </c>
      <c r="AE128" s="30">
        <f t="shared" si="161"/>
        <v>0</v>
      </c>
      <c r="AF128" s="30">
        <f t="shared" si="162"/>
        <v>0</v>
      </c>
      <c r="AG128" s="30">
        <f t="shared" si="163"/>
        <v>0</v>
      </c>
      <c r="AH128" s="30">
        <f t="shared" si="164"/>
        <v>0</v>
      </c>
      <c r="AI128" s="10" t="s">
        <v>50</v>
      </c>
      <c r="AJ128" s="30">
        <f t="shared" si="165"/>
        <v>0</v>
      </c>
      <c r="AK128" s="30">
        <f t="shared" si="166"/>
        <v>0</v>
      </c>
      <c r="AL128" s="30">
        <f t="shared" si="167"/>
        <v>0</v>
      </c>
      <c r="AN128" s="30">
        <v>12</v>
      </c>
      <c r="AO128" s="30">
        <f>G128*0.658377356</f>
        <v>0</v>
      </c>
      <c r="AP128" s="30">
        <f>G128*(1-0.658377356)</f>
        <v>0</v>
      </c>
      <c r="AQ128" s="31" t="s">
        <v>81</v>
      </c>
      <c r="AV128" s="30">
        <f t="shared" si="168"/>
        <v>0</v>
      </c>
      <c r="AW128" s="30">
        <f t="shared" si="169"/>
        <v>0</v>
      </c>
      <c r="AX128" s="30">
        <f t="shared" si="170"/>
        <v>0</v>
      </c>
      <c r="AY128" s="31" t="s">
        <v>308</v>
      </c>
      <c r="AZ128" s="31" t="s">
        <v>199</v>
      </c>
      <c r="BA128" s="10" t="s">
        <v>60</v>
      </c>
      <c r="BC128" s="30">
        <f t="shared" si="171"/>
        <v>0</v>
      </c>
      <c r="BD128" s="30">
        <f t="shared" si="172"/>
        <v>0</v>
      </c>
      <c r="BE128" s="30">
        <v>0</v>
      </c>
      <c r="BF128" s="30">
        <f>128</f>
        <v>128</v>
      </c>
      <c r="BH128" s="30">
        <f t="shared" si="173"/>
        <v>0</v>
      </c>
      <c r="BI128" s="30">
        <f t="shared" si="174"/>
        <v>0</v>
      </c>
      <c r="BJ128" s="30">
        <f t="shared" si="175"/>
        <v>0</v>
      </c>
      <c r="BK128" s="30"/>
      <c r="BL128" s="30">
        <v>725</v>
      </c>
      <c r="BW128" s="30">
        <v>12</v>
      </c>
      <c r="BX128" s="4" t="s">
        <v>378</v>
      </c>
    </row>
    <row r="129" spans="1:76" x14ac:dyDescent="0.25">
      <c r="A129" s="32" t="s">
        <v>379</v>
      </c>
      <c r="B129" s="33" t="s">
        <v>380</v>
      </c>
      <c r="C129" s="125" t="s">
        <v>381</v>
      </c>
      <c r="D129" s="126"/>
      <c r="E129" s="33" t="s">
        <v>64</v>
      </c>
      <c r="F129" s="34">
        <v>1</v>
      </c>
      <c r="G129" s="35">
        <v>0</v>
      </c>
      <c r="H129" s="34">
        <f t="shared" si="154"/>
        <v>0</v>
      </c>
      <c r="I129" s="34">
        <f t="shared" si="155"/>
        <v>0</v>
      </c>
      <c r="J129" s="34">
        <f t="shared" si="156"/>
        <v>0</v>
      </c>
      <c r="K129" s="36" t="s">
        <v>57</v>
      </c>
      <c r="Z129" s="30">
        <f t="shared" si="157"/>
        <v>0</v>
      </c>
      <c r="AB129" s="30">
        <f t="shared" si="158"/>
        <v>0</v>
      </c>
      <c r="AC129" s="30">
        <f t="shared" si="159"/>
        <v>0</v>
      </c>
      <c r="AD129" s="30">
        <f t="shared" si="160"/>
        <v>0</v>
      </c>
      <c r="AE129" s="30">
        <f t="shared" si="161"/>
        <v>0</v>
      </c>
      <c r="AF129" s="30">
        <f t="shared" si="162"/>
        <v>0</v>
      </c>
      <c r="AG129" s="30">
        <f t="shared" si="163"/>
        <v>0</v>
      </c>
      <c r="AH129" s="30">
        <f t="shared" si="164"/>
        <v>0</v>
      </c>
      <c r="AI129" s="10" t="s">
        <v>50</v>
      </c>
      <c r="AJ129" s="30">
        <f t="shared" si="165"/>
        <v>0</v>
      </c>
      <c r="AK129" s="30">
        <f t="shared" si="166"/>
        <v>0</v>
      </c>
      <c r="AL129" s="30">
        <f t="shared" si="167"/>
        <v>0</v>
      </c>
      <c r="AN129" s="30">
        <v>12</v>
      </c>
      <c r="AO129" s="30">
        <f>G129*0.006680912</f>
        <v>0</v>
      </c>
      <c r="AP129" s="30">
        <f>G129*(1-0.006680912)</f>
        <v>0</v>
      </c>
      <c r="AQ129" s="31" t="s">
        <v>81</v>
      </c>
      <c r="AV129" s="30">
        <f t="shared" si="168"/>
        <v>0</v>
      </c>
      <c r="AW129" s="30">
        <f t="shared" si="169"/>
        <v>0</v>
      </c>
      <c r="AX129" s="30">
        <f t="shared" si="170"/>
        <v>0</v>
      </c>
      <c r="AY129" s="31" t="s">
        <v>308</v>
      </c>
      <c r="AZ129" s="31" t="s">
        <v>199</v>
      </c>
      <c r="BA129" s="10" t="s">
        <v>60</v>
      </c>
      <c r="BC129" s="30">
        <f t="shared" si="171"/>
        <v>0</v>
      </c>
      <c r="BD129" s="30">
        <f t="shared" si="172"/>
        <v>0</v>
      </c>
      <c r="BE129" s="30">
        <v>0</v>
      </c>
      <c r="BF129" s="30">
        <f>129</f>
        <v>129</v>
      </c>
      <c r="BH129" s="30">
        <f t="shared" si="173"/>
        <v>0</v>
      </c>
      <c r="BI129" s="30">
        <f t="shared" si="174"/>
        <v>0</v>
      </c>
      <c r="BJ129" s="30">
        <f t="shared" si="175"/>
        <v>0</v>
      </c>
      <c r="BK129" s="30"/>
      <c r="BL129" s="30">
        <v>725</v>
      </c>
      <c r="BW129" s="30">
        <v>12</v>
      </c>
      <c r="BX129" s="4" t="s">
        <v>381</v>
      </c>
    </row>
    <row r="130" spans="1:76" x14ac:dyDescent="0.25">
      <c r="A130" s="32" t="s">
        <v>382</v>
      </c>
      <c r="B130" s="33" t="s">
        <v>383</v>
      </c>
      <c r="C130" s="125" t="s">
        <v>384</v>
      </c>
      <c r="D130" s="126"/>
      <c r="E130" s="33" t="s">
        <v>56</v>
      </c>
      <c r="F130" s="34">
        <v>1</v>
      </c>
      <c r="G130" s="35">
        <v>0</v>
      </c>
      <c r="H130" s="34">
        <f t="shared" si="154"/>
        <v>0</v>
      </c>
      <c r="I130" s="34">
        <f t="shared" si="155"/>
        <v>0</v>
      </c>
      <c r="J130" s="34">
        <f t="shared" si="156"/>
        <v>0</v>
      </c>
      <c r="K130" s="36" t="s">
        <v>57</v>
      </c>
      <c r="Z130" s="30">
        <f t="shared" si="157"/>
        <v>0</v>
      </c>
      <c r="AB130" s="30">
        <f t="shared" si="158"/>
        <v>0</v>
      </c>
      <c r="AC130" s="30">
        <f t="shared" si="159"/>
        <v>0</v>
      </c>
      <c r="AD130" s="30">
        <f t="shared" si="160"/>
        <v>0</v>
      </c>
      <c r="AE130" s="30">
        <f t="shared" si="161"/>
        <v>0</v>
      </c>
      <c r="AF130" s="30">
        <f t="shared" si="162"/>
        <v>0</v>
      </c>
      <c r="AG130" s="30">
        <f t="shared" si="163"/>
        <v>0</v>
      </c>
      <c r="AH130" s="30">
        <f t="shared" si="164"/>
        <v>0</v>
      </c>
      <c r="AI130" s="10" t="s">
        <v>50</v>
      </c>
      <c r="AJ130" s="30">
        <f t="shared" si="165"/>
        <v>0</v>
      </c>
      <c r="AK130" s="30">
        <f t="shared" si="166"/>
        <v>0</v>
      </c>
      <c r="AL130" s="30">
        <f t="shared" si="167"/>
        <v>0</v>
      </c>
      <c r="AN130" s="30">
        <v>12</v>
      </c>
      <c r="AO130" s="30">
        <f>G130*0.018457576</f>
        <v>0</v>
      </c>
      <c r="AP130" s="30">
        <f>G130*(1-0.018457576)</f>
        <v>0</v>
      </c>
      <c r="AQ130" s="31" t="s">
        <v>81</v>
      </c>
      <c r="AV130" s="30">
        <f t="shared" si="168"/>
        <v>0</v>
      </c>
      <c r="AW130" s="30">
        <f t="shared" si="169"/>
        <v>0</v>
      </c>
      <c r="AX130" s="30">
        <f t="shared" si="170"/>
        <v>0</v>
      </c>
      <c r="AY130" s="31" t="s">
        <v>308</v>
      </c>
      <c r="AZ130" s="31" t="s">
        <v>199</v>
      </c>
      <c r="BA130" s="10" t="s">
        <v>60</v>
      </c>
      <c r="BC130" s="30">
        <f t="shared" si="171"/>
        <v>0</v>
      </c>
      <c r="BD130" s="30">
        <f t="shared" si="172"/>
        <v>0</v>
      </c>
      <c r="BE130" s="30">
        <v>0</v>
      </c>
      <c r="BF130" s="30">
        <f>130</f>
        <v>130</v>
      </c>
      <c r="BH130" s="30">
        <f t="shared" si="173"/>
        <v>0</v>
      </c>
      <c r="BI130" s="30">
        <f t="shared" si="174"/>
        <v>0</v>
      </c>
      <c r="BJ130" s="30">
        <f t="shared" si="175"/>
        <v>0</v>
      </c>
      <c r="BK130" s="30"/>
      <c r="BL130" s="30">
        <v>725</v>
      </c>
      <c r="BW130" s="30">
        <v>12</v>
      </c>
      <c r="BX130" s="4" t="s">
        <v>384</v>
      </c>
    </row>
    <row r="131" spans="1:76" x14ac:dyDescent="0.25">
      <c r="A131" s="32" t="s">
        <v>385</v>
      </c>
      <c r="B131" s="33" t="s">
        <v>386</v>
      </c>
      <c r="C131" s="125" t="s">
        <v>387</v>
      </c>
      <c r="D131" s="126"/>
      <c r="E131" s="33" t="s">
        <v>56</v>
      </c>
      <c r="F131" s="34">
        <v>1</v>
      </c>
      <c r="G131" s="35">
        <v>0</v>
      </c>
      <c r="H131" s="34">
        <f t="shared" si="154"/>
        <v>0</v>
      </c>
      <c r="I131" s="34">
        <f t="shared" si="155"/>
        <v>0</v>
      </c>
      <c r="J131" s="34">
        <f t="shared" si="156"/>
        <v>0</v>
      </c>
      <c r="K131" s="36" t="s">
        <v>57</v>
      </c>
      <c r="Z131" s="30">
        <f t="shared" si="157"/>
        <v>0</v>
      </c>
      <c r="AB131" s="30">
        <f t="shared" si="158"/>
        <v>0</v>
      </c>
      <c r="AC131" s="30">
        <f t="shared" si="159"/>
        <v>0</v>
      </c>
      <c r="AD131" s="30">
        <f t="shared" si="160"/>
        <v>0</v>
      </c>
      <c r="AE131" s="30">
        <f t="shared" si="161"/>
        <v>0</v>
      </c>
      <c r="AF131" s="30">
        <f t="shared" si="162"/>
        <v>0</v>
      </c>
      <c r="AG131" s="30">
        <f t="shared" si="163"/>
        <v>0</v>
      </c>
      <c r="AH131" s="30">
        <f t="shared" si="164"/>
        <v>0</v>
      </c>
      <c r="AI131" s="10" t="s">
        <v>50</v>
      </c>
      <c r="AJ131" s="30">
        <f t="shared" si="165"/>
        <v>0</v>
      </c>
      <c r="AK131" s="30">
        <f t="shared" si="166"/>
        <v>0</v>
      </c>
      <c r="AL131" s="30">
        <f t="shared" si="167"/>
        <v>0</v>
      </c>
      <c r="AN131" s="30">
        <v>12</v>
      </c>
      <c r="AO131" s="30">
        <f>G131*0.313376414</f>
        <v>0</v>
      </c>
      <c r="AP131" s="30">
        <f>G131*(1-0.313376414)</f>
        <v>0</v>
      </c>
      <c r="AQ131" s="31" t="s">
        <v>81</v>
      </c>
      <c r="AV131" s="30">
        <f t="shared" si="168"/>
        <v>0</v>
      </c>
      <c r="AW131" s="30">
        <f t="shared" si="169"/>
        <v>0</v>
      </c>
      <c r="AX131" s="30">
        <f t="shared" si="170"/>
        <v>0</v>
      </c>
      <c r="AY131" s="31" t="s">
        <v>308</v>
      </c>
      <c r="AZ131" s="31" t="s">
        <v>199</v>
      </c>
      <c r="BA131" s="10" t="s">
        <v>60</v>
      </c>
      <c r="BC131" s="30">
        <f t="shared" si="171"/>
        <v>0</v>
      </c>
      <c r="BD131" s="30">
        <f t="shared" si="172"/>
        <v>0</v>
      </c>
      <c r="BE131" s="30">
        <v>0</v>
      </c>
      <c r="BF131" s="30">
        <f>131</f>
        <v>131</v>
      </c>
      <c r="BH131" s="30">
        <f t="shared" si="173"/>
        <v>0</v>
      </c>
      <c r="BI131" s="30">
        <f t="shared" si="174"/>
        <v>0</v>
      </c>
      <c r="BJ131" s="30">
        <f t="shared" si="175"/>
        <v>0</v>
      </c>
      <c r="BK131" s="30"/>
      <c r="BL131" s="30">
        <v>725</v>
      </c>
      <c r="BW131" s="30">
        <v>12</v>
      </c>
      <c r="BX131" s="4" t="s">
        <v>387</v>
      </c>
    </row>
    <row r="132" spans="1:76" x14ac:dyDescent="0.25">
      <c r="A132" s="32" t="s">
        <v>388</v>
      </c>
      <c r="B132" s="33" t="s">
        <v>389</v>
      </c>
      <c r="C132" s="125" t="s">
        <v>390</v>
      </c>
      <c r="D132" s="126"/>
      <c r="E132" s="33" t="s">
        <v>56</v>
      </c>
      <c r="F132" s="34">
        <v>1</v>
      </c>
      <c r="G132" s="35">
        <v>0</v>
      </c>
      <c r="H132" s="34">
        <f t="shared" si="154"/>
        <v>0</v>
      </c>
      <c r="I132" s="34">
        <f t="shared" si="155"/>
        <v>0</v>
      </c>
      <c r="J132" s="34">
        <f t="shared" si="156"/>
        <v>0</v>
      </c>
      <c r="K132" s="36" t="s">
        <v>57</v>
      </c>
      <c r="Z132" s="30">
        <f t="shared" si="157"/>
        <v>0</v>
      </c>
      <c r="AB132" s="30">
        <f t="shared" si="158"/>
        <v>0</v>
      </c>
      <c r="AC132" s="30">
        <f t="shared" si="159"/>
        <v>0</v>
      </c>
      <c r="AD132" s="30">
        <f t="shared" si="160"/>
        <v>0</v>
      </c>
      <c r="AE132" s="30">
        <f t="shared" si="161"/>
        <v>0</v>
      </c>
      <c r="AF132" s="30">
        <f t="shared" si="162"/>
        <v>0</v>
      </c>
      <c r="AG132" s="30">
        <f t="shared" si="163"/>
        <v>0</v>
      </c>
      <c r="AH132" s="30">
        <f t="shared" si="164"/>
        <v>0</v>
      </c>
      <c r="AI132" s="10" t="s">
        <v>50</v>
      </c>
      <c r="AJ132" s="30">
        <f t="shared" si="165"/>
        <v>0</v>
      </c>
      <c r="AK132" s="30">
        <f t="shared" si="166"/>
        <v>0</v>
      </c>
      <c r="AL132" s="30">
        <f t="shared" si="167"/>
        <v>0</v>
      </c>
      <c r="AN132" s="30">
        <v>12</v>
      </c>
      <c r="AO132" s="30">
        <f>G132*0.93900216</f>
        <v>0</v>
      </c>
      <c r="AP132" s="30">
        <f>G132*(1-0.93900216)</f>
        <v>0</v>
      </c>
      <c r="AQ132" s="31" t="s">
        <v>81</v>
      </c>
      <c r="AV132" s="30">
        <f t="shared" si="168"/>
        <v>0</v>
      </c>
      <c r="AW132" s="30">
        <f t="shared" si="169"/>
        <v>0</v>
      </c>
      <c r="AX132" s="30">
        <f t="shared" si="170"/>
        <v>0</v>
      </c>
      <c r="AY132" s="31" t="s">
        <v>308</v>
      </c>
      <c r="AZ132" s="31" t="s">
        <v>199</v>
      </c>
      <c r="BA132" s="10" t="s">
        <v>60</v>
      </c>
      <c r="BC132" s="30">
        <f t="shared" si="171"/>
        <v>0</v>
      </c>
      <c r="BD132" s="30">
        <f t="shared" si="172"/>
        <v>0</v>
      </c>
      <c r="BE132" s="30">
        <v>0</v>
      </c>
      <c r="BF132" s="30">
        <f>132</f>
        <v>132</v>
      </c>
      <c r="BH132" s="30">
        <f t="shared" si="173"/>
        <v>0</v>
      </c>
      <c r="BI132" s="30">
        <f t="shared" si="174"/>
        <v>0</v>
      </c>
      <c r="BJ132" s="30">
        <f t="shared" si="175"/>
        <v>0</v>
      </c>
      <c r="BK132" s="30"/>
      <c r="BL132" s="30">
        <v>725</v>
      </c>
      <c r="BW132" s="30">
        <v>12</v>
      </c>
      <c r="BX132" s="4" t="s">
        <v>390</v>
      </c>
    </row>
    <row r="133" spans="1:76" ht="13.5" customHeight="1" x14ac:dyDescent="0.25">
      <c r="A133" s="37"/>
      <c r="B133" s="38" t="s">
        <v>68</v>
      </c>
      <c r="C133" s="127" t="s">
        <v>391</v>
      </c>
      <c r="D133" s="128"/>
      <c r="E133" s="128"/>
      <c r="F133" s="128"/>
      <c r="G133" s="129"/>
      <c r="H133" s="128"/>
      <c r="I133" s="128"/>
      <c r="J133" s="128"/>
      <c r="K133" s="130"/>
    </row>
    <row r="134" spans="1:76" x14ac:dyDescent="0.25">
      <c r="A134" s="25" t="s">
        <v>392</v>
      </c>
      <c r="B134" s="26" t="s">
        <v>393</v>
      </c>
      <c r="C134" s="123" t="s">
        <v>394</v>
      </c>
      <c r="D134" s="124"/>
      <c r="E134" s="26" t="s">
        <v>56</v>
      </c>
      <c r="F134" s="27">
        <v>2</v>
      </c>
      <c r="G134" s="28">
        <v>0</v>
      </c>
      <c r="H134" s="27">
        <f>F134*AO134</f>
        <v>0</v>
      </c>
      <c r="I134" s="27">
        <f>F134*AP134</f>
        <v>0</v>
      </c>
      <c r="J134" s="27">
        <f>F134*G134</f>
        <v>0</v>
      </c>
      <c r="K134" s="29" t="s">
        <v>57</v>
      </c>
      <c r="Z134" s="30">
        <f>IF(AQ134="5",BJ134,0)</f>
        <v>0</v>
      </c>
      <c r="AB134" s="30">
        <f>IF(AQ134="1",BH134,0)</f>
        <v>0</v>
      </c>
      <c r="AC134" s="30">
        <f>IF(AQ134="1",BI134,0)</f>
        <v>0</v>
      </c>
      <c r="AD134" s="30">
        <f>IF(AQ134="7",BH134,0)</f>
        <v>0</v>
      </c>
      <c r="AE134" s="30">
        <f>IF(AQ134="7",BI134,0)</f>
        <v>0</v>
      </c>
      <c r="AF134" s="30">
        <f>IF(AQ134="2",BH134,0)</f>
        <v>0</v>
      </c>
      <c r="AG134" s="30">
        <f>IF(AQ134="2",BI134,0)</f>
        <v>0</v>
      </c>
      <c r="AH134" s="30">
        <f>IF(AQ134="0",BJ134,0)</f>
        <v>0</v>
      </c>
      <c r="AI134" s="10" t="s">
        <v>50</v>
      </c>
      <c r="AJ134" s="30">
        <f>IF(AN134=0,J134,0)</f>
        <v>0</v>
      </c>
      <c r="AK134" s="30">
        <f>IF(AN134=12,J134,0)</f>
        <v>0</v>
      </c>
      <c r="AL134" s="30">
        <f>IF(AN134=21,J134,0)</f>
        <v>0</v>
      </c>
      <c r="AN134" s="30">
        <v>12</v>
      </c>
      <c r="AO134" s="30">
        <f>G134*0.968896476</f>
        <v>0</v>
      </c>
      <c r="AP134" s="30">
        <f>G134*(1-0.968896476)</f>
        <v>0</v>
      </c>
      <c r="AQ134" s="31" t="s">
        <v>81</v>
      </c>
      <c r="AV134" s="30">
        <f>AW134+AX134</f>
        <v>0</v>
      </c>
      <c r="AW134" s="30">
        <f>F134*AO134</f>
        <v>0</v>
      </c>
      <c r="AX134" s="30">
        <f>F134*AP134</f>
        <v>0</v>
      </c>
      <c r="AY134" s="31" t="s">
        <v>308</v>
      </c>
      <c r="AZ134" s="31" t="s">
        <v>199</v>
      </c>
      <c r="BA134" s="10" t="s">
        <v>60</v>
      </c>
      <c r="BC134" s="30">
        <f>AW134+AX134</f>
        <v>0</v>
      </c>
      <c r="BD134" s="30">
        <f>G134/(100-BE134)*100</f>
        <v>0</v>
      </c>
      <c r="BE134" s="30">
        <v>0</v>
      </c>
      <c r="BF134" s="30">
        <f>134</f>
        <v>134</v>
      </c>
      <c r="BH134" s="30">
        <f>F134*AO134</f>
        <v>0</v>
      </c>
      <c r="BI134" s="30">
        <f>F134*AP134</f>
        <v>0</v>
      </c>
      <c r="BJ134" s="30">
        <f>F134*G134</f>
        <v>0</v>
      </c>
      <c r="BK134" s="30"/>
      <c r="BL134" s="30">
        <v>725</v>
      </c>
      <c r="BW134" s="30">
        <v>12</v>
      </c>
      <c r="BX134" s="4" t="s">
        <v>394</v>
      </c>
    </row>
    <row r="135" spans="1:76" x14ac:dyDescent="0.25">
      <c r="A135" s="32" t="s">
        <v>395</v>
      </c>
      <c r="B135" s="33" t="s">
        <v>396</v>
      </c>
      <c r="C135" s="125" t="s">
        <v>397</v>
      </c>
      <c r="D135" s="126"/>
      <c r="E135" s="33" t="s">
        <v>90</v>
      </c>
      <c r="F135" s="34">
        <v>0.39912999999999998</v>
      </c>
      <c r="G135" s="35">
        <v>0</v>
      </c>
      <c r="H135" s="34">
        <f>F135*AO135</f>
        <v>0</v>
      </c>
      <c r="I135" s="34">
        <f>F135*AP135</f>
        <v>0</v>
      </c>
      <c r="J135" s="34">
        <f>F135*G135</f>
        <v>0</v>
      </c>
      <c r="K135" s="36" t="s">
        <v>57</v>
      </c>
      <c r="Z135" s="30">
        <f>IF(AQ135="5",BJ135,0)</f>
        <v>0</v>
      </c>
      <c r="AB135" s="30">
        <f>IF(AQ135="1",BH135,0)</f>
        <v>0</v>
      </c>
      <c r="AC135" s="30">
        <f>IF(AQ135="1",BI135,0)</f>
        <v>0</v>
      </c>
      <c r="AD135" s="30">
        <f>IF(AQ135="7",BH135,0)</f>
        <v>0</v>
      </c>
      <c r="AE135" s="30">
        <f>IF(AQ135="7",BI135,0)</f>
        <v>0</v>
      </c>
      <c r="AF135" s="30">
        <f>IF(AQ135="2",BH135,0)</f>
        <v>0</v>
      </c>
      <c r="AG135" s="30">
        <f>IF(AQ135="2",BI135,0)</f>
        <v>0</v>
      </c>
      <c r="AH135" s="30">
        <f>IF(AQ135="0",BJ135,0)</f>
        <v>0</v>
      </c>
      <c r="AI135" s="10" t="s">
        <v>50</v>
      </c>
      <c r="AJ135" s="30">
        <f>IF(AN135=0,J135,0)</f>
        <v>0</v>
      </c>
      <c r="AK135" s="30">
        <f>IF(AN135=12,J135,0)</f>
        <v>0</v>
      </c>
      <c r="AL135" s="30">
        <f>IF(AN135=21,J135,0)</f>
        <v>0</v>
      </c>
      <c r="AN135" s="30">
        <v>12</v>
      </c>
      <c r="AO135" s="30">
        <f>G135*0</f>
        <v>0</v>
      </c>
      <c r="AP135" s="30">
        <f>G135*(1-0)</f>
        <v>0</v>
      </c>
      <c r="AQ135" s="31" t="s">
        <v>74</v>
      </c>
      <c r="AV135" s="30">
        <f>AW135+AX135</f>
        <v>0</v>
      </c>
      <c r="AW135" s="30">
        <f>F135*AO135</f>
        <v>0</v>
      </c>
      <c r="AX135" s="30">
        <f>F135*AP135</f>
        <v>0</v>
      </c>
      <c r="AY135" s="31" t="s">
        <v>308</v>
      </c>
      <c r="AZ135" s="31" t="s">
        <v>199</v>
      </c>
      <c r="BA135" s="10" t="s">
        <v>60</v>
      </c>
      <c r="BC135" s="30">
        <f>AW135+AX135</f>
        <v>0</v>
      </c>
      <c r="BD135" s="30">
        <f>G135/(100-BE135)*100</f>
        <v>0</v>
      </c>
      <c r="BE135" s="30">
        <v>0</v>
      </c>
      <c r="BF135" s="30">
        <f>135</f>
        <v>135</v>
      </c>
      <c r="BH135" s="30">
        <f>F135*AO135</f>
        <v>0</v>
      </c>
      <c r="BI135" s="30">
        <f>F135*AP135</f>
        <v>0</v>
      </c>
      <c r="BJ135" s="30">
        <f>F135*G135</f>
        <v>0</v>
      </c>
      <c r="BK135" s="30"/>
      <c r="BL135" s="30">
        <v>725</v>
      </c>
      <c r="BW135" s="30">
        <v>12</v>
      </c>
      <c r="BX135" s="4" t="s">
        <v>397</v>
      </c>
    </row>
    <row r="136" spans="1:76" x14ac:dyDescent="0.25">
      <c r="A136" s="39" t="s">
        <v>50</v>
      </c>
      <c r="B136" s="40" t="s">
        <v>398</v>
      </c>
      <c r="C136" s="131" t="s">
        <v>399</v>
      </c>
      <c r="D136" s="132"/>
      <c r="E136" s="41" t="s">
        <v>4</v>
      </c>
      <c r="F136" s="41" t="s">
        <v>4</v>
      </c>
      <c r="G136" s="42" t="s">
        <v>4</v>
      </c>
      <c r="H136" s="43">
        <f>SUM(H137:H147)</f>
        <v>0</v>
      </c>
      <c r="I136" s="43">
        <f>SUM(I137:I147)</f>
        <v>0</v>
      </c>
      <c r="J136" s="43">
        <f>SUM(J137:J147)</f>
        <v>0</v>
      </c>
      <c r="K136" s="44" t="s">
        <v>50</v>
      </c>
      <c r="AI136" s="10" t="s">
        <v>50</v>
      </c>
      <c r="AS136" s="1">
        <f>SUM(AJ137:AJ147)</f>
        <v>0</v>
      </c>
      <c r="AT136" s="1">
        <f>SUM(AK137:AK147)</f>
        <v>0</v>
      </c>
      <c r="AU136" s="1">
        <f>SUM(AL137:AL147)</f>
        <v>0</v>
      </c>
    </row>
    <row r="137" spans="1:76" x14ac:dyDescent="0.25">
      <c r="A137" s="25" t="s">
        <v>400</v>
      </c>
      <c r="B137" s="26" t="s">
        <v>401</v>
      </c>
      <c r="C137" s="123" t="s">
        <v>402</v>
      </c>
      <c r="D137" s="124"/>
      <c r="E137" s="26" t="s">
        <v>56</v>
      </c>
      <c r="F137" s="27">
        <v>1</v>
      </c>
      <c r="G137" s="28">
        <v>0</v>
      </c>
      <c r="H137" s="27">
        <f t="shared" ref="H137:H147" si="176">F137*AO137</f>
        <v>0</v>
      </c>
      <c r="I137" s="27">
        <f t="shared" ref="I137:I147" si="177">F137*AP137</f>
        <v>0</v>
      </c>
      <c r="J137" s="27">
        <f t="shared" ref="J137:J147" si="178">F137*G137</f>
        <v>0</v>
      </c>
      <c r="K137" s="29" t="s">
        <v>57</v>
      </c>
      <c r="Z137" s="30">
        <f t="shared" ref="Z137:Z147" si="179">IF(AQ137="5",BJ137,0)</f>
        <v>0</v>
      </c>
      <c r="AB137" s="30">
        <f t="shared" ref="AB137:AB147" si="180">IF(AQ137="1",BH137,0)</f>
        <v>0</v>
      </c>
      <c r="AC137" s="30">
        <f t="shared" ref="AC137:AC147" si="181">IF(AQ137="1",BI137,0)</f>
        <v>0</v>
      </c>
      <c r="AD137" s="30">
        <f t="shared" ref="AD137:AD147" si="182">IF(AQ137="7",BH137,0)</f>
        <v>0</v>
      </c>
      <c r="AE137" s="30">
        <f t="shared" ref="AE137:AE147" si="183">IF(AQ137="7",BI137,0)</f>
        <v>0</v>
      </c>
      <c r="AF137" s="30">
        <f t="shared" ref="AF137:AF147" si="184">IF(AQ137="2",BH137,0)</f>
        <v>0</v>
      </c>
      <c r="AG137" s="30">
        <f t="shared" ref="AG137:AG147" si="185">IF(AQ137="2",BI137,0)</f>
        <v>0</v>
      </c>
      <c r="AH137" s="30">
        <f t="shared" ref="AH137:AH147" si="186">IF(AQ137="0",BJ137,0)</f>
        <v>0</v>
      </c>
      <c r="AI137" s="10" t="s">
        <v>50</v>
      </c>
      <c r="AJ137" s="30">
        <f t="shared" ref="AJ137:AJ147" si="187">IF(AN137=0,J137,0)</f>
        <v>0</v>
      </c>
      <c r="AK137" s="30">
        <f t="shared" ref="AK137:AK147" si="188">IF(AN137=12,J137,0)</f>
        <v>0</v>
      </c>
      <c r="AL137" s="30">
        <f t="shared" ref="AL137:AL147" si="189">IF(AN137=21,J137,0)</f>
        <v>0</v>
      </c>
      <c r="AN137" s="30">
        <v>12</v>
      </c>
      <c r="AO137" s="30">
        <f>G137*0</f>
        <v>0</v>
      </c>
      <c r="AP137" s="30">
        <f>G137*(1-0)</f>
        <v>0</v>
      </c>
      <c r="AQ137" s="31" t="s">
        <v>81</v>
      </c>
      <c r="AV137" s="30">
        <f t="shared" ref="AV137:AV147" si="190">AW137+AX137</f>
        <v>0</v>
      </c>
      <c r="AW137" s="30">
        <f t="shared" ref="AW137:AW147" si="191">F137*AO137</f>
        <v>0</v>
      </c>
      <c r="AX137" s="30">
        <f t="shared" ref="AX137:AX147" si="192">F137*AP137</f>
        <v>0</v>
      </c>
      <c r="AY137" s="31" t="s">
        <v>403</v>
      </c>
      <c r="AZ137" s="31" t="s">
        <v>199</v>
      </c>
      <c r="BA137" s="10" t="s">
        <v>60</v>
      </c>
      <c r="BC137" s="30">
        <f t="shared" ref="BC137:BC147" si="193">AW137+AX137</f>
        <v>0</v>
      </c>
      <c r="BD137" s="30">
        <f t="shared" ref="BD137:BD147" si="194">G137/(100-BE137)*100</f>
        <v>0</v>
      </c>
      <c r="BE137" s="30">
        <v>0</v>
      </c>
      <c r="BF137" s="30">
        <f>137</f>
        <v>137</v>
      </c>
      <c r="BH137" s="30">
        <f t="shared" ref="BH137:BH147" si="195">F137*AO137</f>
        <v>0</v>
      </c>
      <c r="BI137" s="30">
        <f t="shared" ref="BI137:BI147" si="196">F137*AP137</f>
        <v>0</v>
      </c>
      <c r="BJ137" s="30">
        <f t="shared" ref="BJ137:BJ147" si="197">F137*G137</f>
        <v>0</v>
      </c>
      <c r="BK137" s="30"/>
      <c r="BL137" s="30">
        <v>728</v>
      </c>
      <c r="BW137" s="30">
        <v>12</v>
      </c>
      <c r="BX137" s="4" t="s">
        <v>402</v>
      </c>
    </row>
    <row r="138" spans="1:76" x14ac:dyDescent="0.25">
      <c r="A138" s="32" t="s">
        <v>404</v>
      </c>
      <c r="B138" s="33" t="s">
        <v>201</v>
      </c>
      <c r="C138" s="125" t="s">
        <v>405</v>
      </c>
      <c r="D138" s="126"/>
      <c r="E138" s="33" t="s">
        <v>80</v>
      </c>
      <c r="F138" s="34">
        <v>4</v>
      </c>
      <c r="G138" s="35">
        <v>0</v>
      </c>
      <c r="H138" s="34">
        <f t="shared" si="176"/>
        <v>0</v>
      </c>
      <c r="I138" s="34">
        <f t="shared" si="177"/>
        <v>0</v>
      </c>
      <c r="J138" s="34">
        <f t="shared" si="178"/>
        <v>0</v>
      </c>
      <c r="K138" s="36" t="s">
        <v>57</v>
      </c>
      <c r="Z138" s="30">
        <f t="shared" si="179"/>
        <v>0</v>
      </c>
      <c r="AB138" s="30">
        <f t="shared" si="180"/>
        <v>0</v>
      </c>
      <c r="AC138" s="30">
        <f t="shared" si="181"/>
        <v>0</v>
      </c>
      <c r="AD138" s="30">
        <f t="shared" si="182"/>
        <v>0</v>
      </c>
      <c r="AE138" s="30">
        <f t="shared" si="183"/>
        <v>0</v>
      </c>
      <c r="AF138" s="30">
        <f t="shared" si="184"/>
        <v>0</v>
      </c>
      <c r="AG138" s="30">
        <f t="shared" si="185"/>
        <v>0</v>
      </c>
      <c r="AH138" s="30">
        <f t="shared" si="186"/>
        <v>0</v>
      </c>
      <c r="AI138" s="10" t="s">
        <v>50</v>
      </c>
      <c r="AJ138" s="30">
        <f t="shared" si="187"/>
        <v>0</v>
      </c>
      <c r="AK138" s="30">
        <f t="shared" si="188"/>
        <v>0</v>
      </c>
      <c r="AL138" s="30">
        <f t="shared" si="189"/>
        <v>0</v>
      </c>
      <c r="AN138" s="30">
        <v>12</v>
      </c>
      <c r="AO138" s="30">
        <f>G138*0.317436677</f>
        <v>0</v>
      </c>
      <c r="AP138" s="30">
        <f>G138*(1-0.317436677)</f>
        <v>0</v>
      </c>
      <c r="AQ138" s="31" t="s">
        <v>81</v>
      </c>
      <c r="AV138" s="30">
        <f t="shared" si="190"/>
        <v>0</v>
      </c>
      <c r="AW138" s="30">
        <f t="shared" si="191"/>
        <v>0</v>
      </c>
      <c r="AX138" s="30">
        <f t="shared" si="192"/>
        <v>0</v>
      </c>
      <c r="AY138" s="31" t="s">
        <v>403</v>
      </c>
      <c r="AZ138" s="31" t="s">
        <v>199</v>
      </c>
      <c r="BA138" s="10" t="s">
        <v>60</v>
      </c>
      <c r="BC138" s="30">
        <f t="shared" si="193"/>
        <v>0</v>
      </c>
      <c r="BD138" s="30">
        <f t="shared" si="194"/>
        <v>0</v>
      </c>
      <c r="BE138" s="30">
        <v>0</v>
      </c>
      <c r="BF138" s="30">
        <f>138</f>
        <v>138</v>
      </c>
      <c r="BH138" s="30">
        <f t="shared" si="195"/>
        <v>0</v>
      </c>
      <c r="BI138" s="30">
        <f t="shared" si="196"/>
        <v>0</v>
      </c>
      <c r="BJ138" s="30">
        <f t="shared" si="197"/>
        <v>0</v>
      </c>
      <c r="BK138" s="30"/>
      <c r="BL138" s="30">
        <v>728</v>
      </c>
      <c r="BW138" s="30">
        <v>12</v>
      </c>
      <c r="BX138" s="4" t="s">
        <v>405</v>
      </c>
    </row>
    <row r="139" spans="1:76" x14ac:dyDescent="0.25">
      <c r="A139" s="32" t="s">
        <v>406</v>
      </c>
      <c r="B139" s="33" t="s">
        <v>407</v>
      </c>
      <c r="C139" s="125" t="s">
        <v>408</v>
      </c>
      <c r="D139" s="126"/>
      <c r="E139" s="33" t="s">
        <v>80</v>
      </c>
      <c r="F139" s="34">
        <v>1.75</v>
      </c>
      <c r="G139" s="35">
        <v>0</v>
      </c>
      <c r="H139" s="34">
        <f t="shared" si="176"/>
        <v>0</v>
      </c>
      <c r="I139" s="34">
        <f t="shared" si="177"/>
        <v>0</v>
      </c>
      <c r="J139" s="34">
        <f t="shared" si="178"/>
        <v>0</v>
      </c>
      <c r="K139" s="36" t="s">
        <v>57</v>
      </c>
      <c r="Z139" s="30">
        <f t="shared" si="179"/>
        <v>0</v>
      </c>
      <c r="AB139" s="30">
        <f t="shared" si="180"/>
        <v>0</v>
      </c>
      <c r="AC139" s="30">
        <f t="shared" si="181"/>
        <v>0</v>
      </c>
      <c r="AD139" s="30">
        <f t="shared" si="182"/>
        <v>0</v>
      </c>
      <c r="AE139" s="30">
        <f t="shared" si="183"/>
        <v>0</v>
      </c>
      <c r="AF139" s="30">
        <f t="shared" si="184"/>
        <v>0</v>
      </c>
      <c r="AG139" s="30">
        <f t="shared" si="185"/>
        <v>0</v>
      </c>
      <c r="AH139" s="30">
        <f t="shared" si="186"/>
        <v>0</v>
      </c>
      <c r="AI139" s="10" t="s">
        <v>50</v>
      </c>
      <c r="AJ139" s="30">
        <f t="shared" si="187"/>
        <v>0</v>
      </c>
      <c r="AK139" s="30">
        <f t="shared" si="188"/>
        <v>0</v>
      </c>
      <c r="AL139" s="30">
        <f t="shared" si="189"/>
        <v>0</v>
      </c>
      <c r="AN139" s="30">
        <v>12</v>
      </c>
      <c r="AO139" s="30">
        <f>G139*0.389767442</f>
        <v>0</v>
      </c>
      <c r="AP139" s="30">
        <f>G139*(1-0.389767442)</f>
        <v>0</v>
      </c>
      <c r="AQ139" s="31" t="s">
        <v>81</v>
      </c>
      <c r="AV139" s="30">
        <f t="shared" si="190"/>
        <v>0</v>
      </c>
      <c r="AW139" s="30">
        <f t="shared" si="191"/>
        <v>0</v>
      </c>
      <c r="AX139" s="30">
        <f t="shared" si="192"/>
        <v>0</v>
      </c>
      <c r="AY139" s="31" t="s">
        <v>403</v>
      </c>
      <c r="AZ139" s="31" t="s">
        <v>199</v>
      </c>
      <c r="BA139" s="10" t="s">
        <v>60</v>
      </c>
      <c r="BC139" s="30">
        <f t="shared" si="193"/>
        <v>0</v>
      </c>
      <c r="BD139" s="30">
        <f t="shared" si="194"/>
        <v>0</v>
      </c>
      <c r="BE139" s="30">
        <v>0</v>
      </c>
      <c r="BF139" s="30">
        <f>139</f>
        <v>139</v>
      </c>
      <c r="BH139" s="30">
        <f t="shared" si="195"/>
        <v>0</v>
      </c>
      <c r="BI139" s="30">
        <f t="shared" si="196"/>
        <v>0</v>
      </c>
      <c r="BJ139" s="30">
        <f t="shared" si="197"/>
        <v>0</v>
      </c>
      <c r="BK139" s="30"/>
      <c r="BL139" s="30">
        <v>728</v>
      </c>
      <c r="BW139" s="30">
        <v>12</v>
      </c>
      <c r="BX139" s="4" t="s">
        <v>408</v>
      </c>
    </row>
    <row r="140" spans="1:76" ht="25.5" x14ac:dyDescent="0.25">
      <c r="A140" s="32" t="s">
        <v>409</v>
      </c>
      <c r="B140" s="33" t="s">
        <v>213</v>
      </c>
      <c r="C140" s="125" t="s">
        <v>214</v>
      </c>
      <c r="D140" s="126"/>
      <c r="E140" s="33" t="s">
        <v>56</v>
      </c>
      <c r="F140" s="34">
        <v>1</v>
      </c>
      <c r="G140" s="35">
        <v>0</v>
      </c>
      <c r="H140" s="34">
        <f t="shared" si="176"/>
        <v>0</v>
      </c>
      <c r="I140" s="34">
        <f t="shared" si="177"/>
        <v>0</v>
      </c>
      <c r="J140" s="34">
        <f t="shared" si="178"/>
        <v>0</v>
      </c>
      <c r="K140" s="36" t="s">
        <v>57</v>
      </c>
      <c r="Z140" s="30">
        <f t="shared" si="179"/>
        <v>0</v>
      </c>
      <c r="AB140" s="30">
        <f t="shared" si="180"/>
        <v>0</v>
      </c>
      <c r="AC140" s="30">
        <f t="shared" si="181"/>
        <v>0</v>
      </c>
      <c r="AD140" s="30">
        <f t="shared" si="182"/>
        <v>0</v>
      </c>
      <c r="AE140" s="30">
        <f t="shared" si="183"/>
        <v>0</v>
      </c>
      <c r="AF140" s="30">
        <f t="shared" si="184"/>
        <v>0</v>
      </c>
      <c r="AG140" s="30">
        <f t="shared" si="185"/>
        <v>0</v>
      </c>
      <c r="AH140" s="30">
        <f t="shared" si="186"/>
        <v>0</v>
      </c>
      <c r="AI140" s="10" t="s">
        <v>50</v>
      </c>
      <c r="AJ140" s="30">
        <f t="shared" si="187"/>
        <v>0</v>
      </c>
      <c r="AK140" s="30">
        <f t="shared" si="188"/>
        <v>0</v>
      </c>
      <c r="AL140" s="30">
        <f t="shared" si="189"/>
        <v>0</v>
      </c>
      <c r="AN140" s="30">
        <v>12</v>
      </c>
      <c r="AO140" s="30">
        <f>G140*0.281444992</f>
        <v>0</v>
      </c>
      <c r="AP140" s="30">
        <f>G140*(1-0.281444992)</f>
        <v>0</v>
      </c>
      <c r="AQ140" s="31" t="s">
        <v>81</v>
      </c>
      <c r="AV140" s="30">
        <f t="shared" si="190"/>
        <v>0</v>
      </c>
      <c r="AW140" s="30">
        <f t="shared" si="191"/>
        <v>0</v>
      </c>
      <c r="AX140" s="30">
        <f t="shared" si="192"/>
        <v>0</v>
      </c>
      <c r="AY140" s="31" t="s">
        <v>403</v>
      </c>
      <c r="AZ140" s="31" t="s">
        <v>199</v>
      </c>
      <c r="BA140" s="10" t="s">
        <v>60</v>
      </c>
      <c r="BC140" s="30">
        <f t="shared" si="193"/>
        <v>0</v>
      </c>
      <c r="BD140" s="30">
        <f t="shared" si="194"/>
        <v>0</v>
      </c>
      <c r="BE140" s="30">
        <v>0</v>
      </c>
      <c r="BF140" s="30">
        <f>140</f>
        <v>140</v>
      </c>
      <c r="BH140" s="30">
        <f t="shared" si="195"/>
        <v>0</v>
      </c>
      <c r="BI140" s="30">
        <f t="shared" si="196"/>
        <v>0</v>
      </c>
      <c r="BJ140" s="30">
        <f t="shared" si="197"/>
        <v>0</v>
      </c>
      <c r="BK140" s="30"/>
      <c r="BL140" s="30">
        <v>728</v>
      </c>
      <c r="BW140" s="30">
        <v>12</v>
      </c>
      <c r="BX140" s="4" t="s">
        <v>214</v>
      </c>
    </row>
    <row r="141" spans="1:76" x14ac:dyDescent="0.25">
      <c r="A141" s="32" t="s">
        <v>410</v>
      </c>
      <c r="B141" s="33" t="s">
        <v>411</v>
      </c>
      <c r="C141" s="125" t="s">
        <v>412</v>
      </c>
      <c r="D141" s="126"/>
      <c r="E141" s="33" t="s">
        <v>56</v>
      </c>
      <c r="F141" s="34">
        <v>1</v>
      </c>
      <c r="G141" s="35">
        <v>0</v>
      </c>
      <c r="H141" s="34">
        <f t="shared" si="176"/>
        <v>0</v>
      </c>
      <c r="I141" s="34">
        <f t="shared" si="177"/>
        <v>0</v>
      </c>
      <c r="J141" s="34">
        <f t="shared" si="178"/>
        <v>0</v>
      </c>
      <c r="K141" s="36" t="s">
        <v>57</v>
      </c>
      <c r="Z141" s="30">
        <f t="shared" si="179"/>
        <v>0</v>
      </c>
      <c r="AB141" s="30">
        <f t="shared" si="180"/>
        <v>0</v>
      </c>
      <c r="AC141" s="30">
        <f t="shared" si="181"/>
        <v>0</v>
      </c>
      <c r="AD141" s="30">
        <f t="shared" si="182"/>
        <v>0</v>
      </c>
      <c r="AE141" s="30">
        <f t="shared" si="183"/>
        <v>0</v>
      </c>
      <c r="AF141" s="30">
        <f t="shared" si="184"/>
        <v>0</v>
      </c>
      <c r="AG141" s="30">
        <f t="shared" si="185"/>
        <v>0</v>
      </c>
      <c r="AH141" s="30">
        <f t="shared" si="186"/>
        <v>0</v>
      </c>
      <c r="AI141" s="10" t="s">
        <v>50</v>
      </c>
      <c r="AJ141" s="30">
        <f t="shared" si="187"/>
        <v>0</v>
      </c>
      <c r="AK141" s="30">
        <f t="shared" si="188"/>
        <v>0</v>
      </c>
      <c r="AL141" s="30">
        <f t="shared" si="189"/>
        <v>0</v>
      </c>
      <c r="AN141" s="30">
        <v>12</v>
      </c>
      <c r="AO141" s="30">
        <f>G141*0</f>
        <v>0</v>
      </c>
      <c r="AP141" s="30">
        <f>G141*(1-0)</f>
        <v>0</v>
      </c>
      <c r="AQ141" s="31" t="s">
        <v>81</v>
      </c>
      <c r="AV141" s="30">
        <f t="shared" si="190"/>
        <v>0</v>
      </c>
      <c r="AW141" s="30">
        <f t="shared" si="191"/>
        <v>0</v>
      </c>
      <c r="AX141" s="30">
        <f t="shared" si="192"/>
        <v>0</v>
      </c>
      <c r="AY141" s="31" t="s">
        <v>403</v>
      </c>
      <c r="AZ141" s="31" t="s">
        <v>199</v>
      </c>
      <c r="BA141" s="10" t="s">
        <v>60</v>
      </c>
      <c r="BC141" s="30">
        <f t="shared" si="193"/>
        <v>0</v>
      </c>
      <c r="BD141" s="30">
        <f t="shared" si="194"/>
        <v>0</v>
      </c>
      <c r="BE141" s="30">
        <v>0</v>
      </c>
      <c r="BF141" s="30">
        <f>141</f>
        <v>141</v>
      </c>
      <c r="BH141" s="30">
        <f t="shared" si="195"/>
        <v>0</v>
      </c>
      <c r="BI141" s="30">
        <f t="shared" si="196"/>
        <v>0</v>
      </c>
      <c r="BJ141" s="30">
        <f t="shared" si="197"/>
        <v>0</v>
      </c>
      <c r="BK141" s="30"/>
      <c r="BL141" s="30">
        <v>728</v>
      </c>
      <c r="BW141" s="30">
        <v>12</v>
      </c>
      <c r="BX141" s="4" t="s">
        <v>412</v>
      </c>
    </row>
    <row r="142" spans="1:76" x14ac:dyDescent="0.25">
      <c r="A142" s="32" t="s">
        <v>413</v>
      </c>
      <c r="B142" s="33" t="s">
        <v>414</v>
      </c>
      <c r="C142" s="125" t="s">
        <v>415</v>
      </c>
      <c r="D142" s="126"/>
      <c r="E142" s="33" t="s">
        <v>56</v>
      </c>
      <c r="F142" s="34">
        <v>1</v>
      </c>
      <c r="G142" s="35">
        <v>0</v>
      </c>
      <c r="H142" s="34">
        <f t="shared" si="176"/>
        <v>0</v>
      </c>
      <c r="I142" s="34">
        <f t="shared" si="177"/>
        <v>0</v>
      </c>
      <c r="J142" s="34">
        <f t="shared" si="178"/>
        <v>0</v>
      </c>
      <c r="K142" s="36" t="s">
        <v>57</v>
      </c>
      <c r="Z142" s="30">
        <f t="shared" si="179"/>
        <v>0</v>
      </c>
      <c r="AB142" s="30">
        <f t="shared" si="180"/>
        <v>0</v>
      </c>
      <c r="AC142" s="30">
        <f t="shared" si="181"/>
        <v>0</v>
      </c>
      <c r="AD142" s="30">
        <f t="shared" si="182"/>
        <v>0</v>
      </c>
      <c r="AE142" s="30">
        <f t="shared" si="183"/>
        <v>0</v>
      </c>
      <c r="AF142" s="30">
        <f t="shared" si="184"/>
        <v>0</v>
      </c>
      <c r="AG142" s="30">
        <f t="shared" si="185"/>
        <v>0</v>
      </c>
      <c r="AH142" s="30">
        <f t="shared" si="186"/>
        <v>0</v>
      </c>
      <c r="AI142" s="10" t="s">
        <v>50</v>
      </c>
      <c r="AJ142" s="30">
        <f t="shared" si="187"/>
        <v>0</v>
      </c>
      <c r="AK142" s="30">
        <f t="shared" si="188"/>
        <v>0</v>
      </c>
      <c r="AL142" s="30">
        <f t="shared" si="189"/>
        <v>0</v>
      </c>
      <c r="AN142" s="30">
        <v>12</v>
      </c>
      <c r="AO142" s="30">
        <f>G142*1</f>
        <v>0</v>
      </c>
      <c r="AP142" s="30">
        <f>G142*(1-1)</f>
        <v>0</v>
      </c>
      <c r="AQ142" s="31" t="s">
        <v>81</v>
      </c>
      <c r="AV142" s="30">
        <f t="shared" si="190"/>
        <v>0</v>
      </c>
      <c r="AW142" s="30">
        <f t="shared" si="191"/>
        <v>0</v>
      </c>
      <c r="AX142" s="30">
        <f t="shared" si="192"/>
        <v>0</v>
      </c>
      <c r="AY142" s="31" t="s">
        <v>403</v>
      </c>
      <c r="AZ142" s="31" t="s">
        <v>199</v>
      </c>
      <c r="BA142" s="10" t="s">
        <v>60</v>
      </c>
      <c r="BC142" s="30">
        <f t="shared" si="193"/>
        <v>0</v>
      </c>
      <c r="BD142" s="30">
        <f t="shared" si="194"/>
        <v>0</v>
      </c>
      <c r="BE142" s="30">
        <v>0</v>
      </c>
      <c r="BF142" s="30">
        <f>142</f>
        <v>142</v>
      </c>
      <c r="BH142" s="30">
        <f t="shared" si="195"/>
        <v>0</v>
      </c>
      <c r="BI142" s="30">
        <f t="shared" si="196"/>
        <v>0</v>
      </c>
      <c r="BJ142" s="30">
        <f t="shared" si="197"/>
        <v>0</v>
      </c>
      <c r="BK142" s="30"/>
      <c r="BL142" s="30">
        <v>728</v>
      </c>
      <c r="BW142" s="30">
        <v>12</v>
      </c>
      <c r="BX142" s="4" t="s">
        <v>415</v>
      </c>
    </row>
    <row r="143" spans="1:76" x14ac:dyDescent="0.25">
      <c r="A143" s="32" t="s">
        <v>416</v>
      </c>
      <c r="B143" s="33" t="s">
        <v>417</v>
      </c>
      <c r="C143" s="125" t="s">
        <v>418</v>
      </c>
      <c r="D143" s="126"/>
      <c r="E143" s="33" t="s">
        <v>56</v>
      </c>
      <c r="F143" s="34">
        <v>1</v>
      </c>
      <c r="G143" s="35">
        <v>0</v>
      </c>
      <c r="H143" s="34">
        <f t="shared" si="176"/>
        <v>0</v>
      </c>
      <c r="I143" s="34">
        <f t="shared" si="177"/>
        <v>0</v>
      </c>
      <c r="J143" s="34">
        <f t="shared" si="178"/>
        <v>0</v>
      </c>
      <c r="K143" s="36" t="s">
        <v>57</v>
      </c>
      <c r="Z143" s="30">
        <f t="shared" si="179"/>
        <v>0</v>
      </c>
      <c r="AB143" s="30">
        <f t="shared" si="180"/>
        <v>0</v>
      </c>
      <c r="AC143" s="30">
        <f t="shared" si="181"/>
        <v>0</v>
      </c>
      <c r="AD143" s="30">
        <f t="shared" si="182"/>
        <v>0</v>
      </c>
      <c r="AE143" s="30">
        <f t="shared" si="183"/>
        <v>0</v>
      </c>
      <c r="AF143" s="30">
        <f t="shared" si="184"/>
        <v>0</v>
      </c>
      <c r="AG143" s="30">
        <f t="shared" si="185"/>
        <v>0</v>
      </c>
      <c r="AH143" s="30">
        <f t="shared" si="186"/>
        <v>0</v>
      </c>
      <c r="AI143" s="10" t="s">
        <v>50</v>
      </c>
      <c r="AJ143" s="30">
        <f t="shared" si="187"/>
        <v>0</v>
      </c>
      <c r="AK143" s="30">
        <f t="shared" si="188"/>
        <v>0</v>
      </c>
      <c r="AL143" s="30">
        <f t="shared" si="189"/>
        <v>0</v>
      </c>
      <c r="AN143" s="30">
        <v>12</v>
      </c>
      <c r="AO143" s="30">
        <f>G143*0</f>
        <v>0</v>
      </c>
      <c r="AP143" s="30">
        <f>G143*(1-0)</f>
        <v>0</v>
      </c>
      <c r="AQ143" s="31" t="s">
        <v>81</v>
      </c>
      <c r="AV143" s="30">
        <f t="shared" si="190"/>
        <v>0</v>
      </c>
      <c r="AW143" s="30">
        <f t="shared" si="191"/>
        <v>0</v>
      </c>
      <c r="AX143" s="30">
        <f t="shared" si="192"/>
        <v>0</v>
      </c>
      <c r="AY143" s="31" t="s">
        <v>403</v>
      </c>
      <c r="AZ143" s="31" t="s">
        <v>199</v>
      </c>
      <c r="BA143" s="10" t="s">
        <v>60</v>
      </c>
      <c r="BC143" s="30">
        <f t="shared" si="193"/>
        <v>0</v>
      </c>
      <c r="BD143" s="30">
        <f t="shared" si="194"/>
        <v>0</v>
      </c>
      <c r="BE143" s="30">
        <v>0</v>
      </c>
      <c r="BF143" s="30">
        <f>143</f>
        <v>143</v>
      </c>
      <c r="BH143" s="30">
        <f t="shared" si="195"/>
        <v>0</v>
      </c>
      <c r="BI143" s="30">
        <f t="shared" si="196"/>
        <v>0</v>
      </c>
      <c r="BJ143" s="30">
        <f t="shared" si="197"/>
        <v>0</v>
      </c>
      <c r="BK143" s="30"/>
      <c r="BL143" s="30">
        <v>728</v>
      </c>
      <c r="BW143" s="30">
        <v>12</v>
      </c>
      <c r="BX143" s="4" t="s">
        <v>418</v>
      </c>
    </row>
    <row r="144" spans="1:76" x14ac:dyDescent="0.25">
      <c r="A144" s="32" t="s">
        <v>419</v>
      </c>
      <c r="B144" s="33" t="s">
        <v>420</v>
      </c>
      <c r="C144" s="125" t="s">
        <v>421</v>
      </c>
      <c r="D144" s="126"/>
      <c r="E144" s="33" t="s">
        <v>56</v>
      </c>
      <c r="F144" s="34">
        <v>1</v>
      </c>
      <c r="G144" s="35">
        <v>0</v>
      </c>
      <c r="H144" s="34">
        <f t="shared" si="176"/>
        <v>0</v>
      </c>
      <c r="I144" s="34">
        <f t="shared" si="177"/>
        <v>0</v>
      </c>
      <c r="J144" s="34">
        <f t="shared" si="178"/>
        <v>0</v>
      </c>
      <c r="K144" s="36" t="s">
        <v>57</v>
      </c>
      <c r="Z144" s="30">
        <f t="shared" si="179"/>
        <v>0</v>
      </c>
      <c r="AB144" s="30">
        <f t="shared" si="180"/>
        <v>0</v>
      </c>
      <c r="AC144" s="30">
        <f t="shared" si="181"/>
        <v>0</v>
      </c>
      <c r="AD144" s="30">
        <f t="shared" si="182"/>
        <v>0</v>
      </c>
      <c r="AE144" s="30">
        <f t="shared" si="183"/>
        <v>0</v>
      </c>
      <c r="AF144" s="30">
        <f t="shared" si="184"/>
        <v>0</v>
      </c>
      <c r="AG144" s="30">
        <f t="shared" si="185"/>
        <v>0</v>
      </c>
      <c r="AH144" s="30">
        <f t="shared" si="186"/>
        <v>0</v>
      </c>
      <c r="AI144" s="10" t="s">
        <v>50</v>
      </c>
      <c r="AJ144" s="30">
        <f t="shared" si="187"/>
        <v>0</v>
      </c>
      <c r="AK144" s="30">
        <f t="shared" si="188"/>
        <v>0</v>
      </c>
      <c r="AL144" s="30">
        <f t="shared" si="189"/>
        <v>0</v>
      </c>
      <c r="AN144" s="30">
        <v>12</v>
      </c>
      <c r="AO144" s="30">
        <f>G144*1</f>
        <v>0</v>
      </c>
      <c r="AP144" s="30">
        <f>G144*(1-1)</f>
        <v>0</v>
      </c>
      <c r="AQ144" s="31" t="s">
        <v>81</v>
      </c>
      <c r="AV144" s="30">
        <f t="shared" si="190"/>
        <v>0</v>
      </c>
      <c r="AW144" s="30">
        <f t="shared" si="191"/>
        <v>0</v>
      </c>
      <c r="AX144" s="30">
        <f t="shared" si="192"/>
        <v>0</v>
      </c>
      <c r="AY144" s="31" t="s">
        <v>403</v>
      </c>
      <c r="AZ144" s="31" t="s">
        <v>199</v>
      </c>
      <c r="BA144" s="10" t="s">
        <v>60</v>
      </c>
      <c r="BC144" s="30">
        <f t="shared" si="193"/>
        <v>0</v>
      </c>
      <c r="BD144" s="30">
        <f t="shared" si="194"/>
        <v>0</v>
      </c>
      <c r="BE144" s="30">
        <v>0</v>
      </c>
      <c r="BF144" s="30">
        <f>144</f>
        <v>144</v>
      </c>
      <c r="BH144" s="30">
        <f t="shared" si="195"/>
        <v>0</v>
      </c>
      <c r="BI144" s="30">
        <f t="shared" si="196"/>
        <v>0</v>
      </c>
      <c r="BJ144" s="30">
        <f t="shared" si="197"/>
        <v>0</v>
      </c>
      <c r="BK144" s="30"/>
      <c r="BL144" s="30">
        <v>728</v>
      </c>
      <c r="BW144" s="30">
        <v>12</v>
      </c>
      <c r="BX144" s="4" t="s">
        <v>421</v>
      </c>
    </row>
    <row r="145" spans="1:76" x14ac:dyDescent="0.25">
      <c r="A145" s="32" t="s">
        <v>422</v>
      </c>
      <c r="B145" s="33" t="s">
        <v>423</v>
      </c>
      <c r="C145" s="125" t="s">
        <v>424</v>
      </c>
      <c r="D145" s="126"/>
      <c r="E145" s="33" t="s">
        <v>56</v>
      </c>
      <c r="F145" s="34">
        <v>2</v>
      </c>
      <c r="G145" s="35">
        <v>0</v>
      </c>
      <c r="H145" s="34">
        <f t="shared" si="176"/>
        <v>0</v>
      </c>
      <c r="I145" s="34">
        <f t="shared" si="177"/>
        <v>0</v>
      </c>
      <c r="J145" s="34">
        <f t="shared" si="178"/>
        <v>0</v>
      </c>
      <c r="K145" s="36" t="s">
        <v>57</v>
      </c>
      <c r="Z145" s="30">
        <f t="shared" si="179"/>
        <v>0</v>
      </c>
      <c r="AB145" s="30">
        <f t="shared" si="180"/>
        <v>0</v>
      </c>
      <c r="AC145" s="30">
        <f t="shared" si="181"/>
        <v>0</v>
      </c>
      <c r="AD145" s="30">
        <f t="shared" si="182"/>
        <v>0</v>
      </c>
      <c r="AE145" s="30">
        <f t="shared" si="183"/>
        <v>0</v>
      </c>
      <c r="AF145" s="30">
        <f t="shared" si="184"/>
        <v>0</v>
      </c>
      <c r="AG145" s="30">
        <f t="shared" si="185"/>
        <v>0</v>
      </c>
      <c r="AH145" s="30">
        <f t="shared" si="186"/>
        <v>0</v>
      </c>
      <c r="AI145" s="10" t="s">
        <v>50</v>
      </c>
      <c r="AJ145" s="30">
        <f t="shared" si="187"/>
        <v>0</v>
      </c>
      <c r="AK145" s="30">
        <f t="shared" si="188"/>
        <v>0</v>
      </c>
      <c r="AL145" s="30">
        <f t="shared" si="189"/>
        <v>0</v>
      </c>
      <c r="AN145" s="30">
        <v>12</v>
      </c>
      <c r="AO145" s="30">
        <f>G145*0</f>
        <v>0</v>
      </c>
      <c r="AP145" s="30">
        <f>G145*(1-0)</f>
        <v>0</v>
      </c>
      <c r="AQ145" s="31" t="s">
        <v>81</v>
      </c>
      <c r="AV145" s="30">
        <f t="shared" si="190"/>
        <v>0</v>
      </c>
      <c r="AW145" s="30">
        <f t="shared" si="191"/>
        <v>0</v>
      </c>
      <c r="AX145" s="30">
        <f t="shared" si="192"/>
        <v>0</v>
      </c>
      <c r="AY145" s="31" t="s">
        <v>403</v>
      </c>
      <c r="AZ145" s="31" t="s">
        <v>199</v>
      </c>
      <c r="BA145" s="10" t="s">
        <v>60</v>
      </c>
      <c r="BC145" s="30">
        <f t="shared" si="193"/>
        <v>0</v>
      </c>
      <c r="BD145" s="30">
        <f t="shared" si="194"/>
        <v>0</v>
      </c>
      <c r="BE145" s="30">
        <v>0</v>
      </c>
      <c r="BF145" s="30">
        <f>145</f>
        <v>145</v>
      </c>
      <c r="BH145" s="30">
        <f t="shared" si="195"/>
        <v>0</v>
      </c>
      <c r="BI145" s="30">
        <f t="shared" si="196"/>
        <v>0</v>
      </c>
      <c r="BJ145" s="30">
        <f t="shared" si="197"/>
        <v>0</v>
      </c>
      <c r="BK145" s="30"/>
      <c r="BL145" s="30">
        <v>728</v>
      </c>
      <c r="BW145" s="30">
        <v>12</v>
      </c>
      <c r="BX145" s="4" t="s">
        <v>424</v>
      </c>
    </row>
    <row r="146" spans="1:76" x14ac:dyDescent="0.25">
      <c r="A146" s="32" t="s">
        <v>425</v>
      </c>
      <c r="B146" s="33" t="s">
        <v>426</v>
      </c>
      <c r="C146" s="125" t="s">
        <v>427</v>
      </c>
      <c r="D146" s="126"/>
      <c r="E146" s="33" t="s">
        <v>56</v>
      </c>
      <c r="F146" s="34">
        <v>2</v>
      </c>
      <c r="G146" s="35">
        <v>0</v>
      </c>
      <c r="H146" s="34">
        <f t="shared" si="176"/>
        <v>0</v>
      </c>
      <c r="I146" s="34">
        <f t="shared" si="177"/>
        <v>0</v>
      </c>
      <c r="J146" s="34">
        <f t="shared" si="178"/>
        <v>0</v>
      </c>
      <c r="K146" s="36" t="s">
        <v>57</v>
      </c>
      <c r="Z146" s="30">
        <f t="shared" si="179"/>
        <v>0</v>
      </c>
      <c r="AB146" s="30">
        <f t="shared" si="180"/>
        <v>0</v>
      </c>
      <c r="AC146" s="30">
        <f t="shared" si="181"/>
        <v>0</v>
      </c>
      <c r="AD146" s="30">
        <f t="shared" si="182"/>
        <v>0</v>
      </c>
      <c r="AE146" s="30">
        <f t="shared" si="183"/>
        <v>0</v>
      </c>
      <c r="AF146" s="30">
        <f t="shared" si="184"/>
        <v>0</v>
      </c>
      <c r="AG146" s="30">
        <f t="shared" si="185"/>
        <v>0</v>
      </c>
      <c r="AH146" s="30">
        <f t="shared" si="186"/>
        <v>0</v>
      </c>
      <c r="AI146" s="10" t="s">
        <v>50</v>
      </c>
      <c r="AJ146" s="30">
        <f t="shared" si="187"/>
        <v>0</v>
      </c>
      <c r="AK146" s="30">
        <f t="shared" si="188"/>
        <v>0</v>
      </c>
      <c r="AL146" s="30">
        <f t="shared" si="189"/>
        <v>0</v>
      </c>
      <c r="AN146" s="30">
        <v>12</v>
      </c>
      <c r="AO146" s="30">
        <f>G146*1</f>
        <v>0</v>
      </c>
      <c r="AP146" s="30">
        <f>G146*(1-1)</f>
        <v>0</v>
      </c>
      <c r="AQ146" s="31" t="s">
        <v>81</v>
      </c>
      <c r="AV146" s="30">
        <f t="shared" si="190"/>
        <v>0</v>
      </c>
      <c r="AW146" s="30">
        <f t="shared" si="191"/>
        <v>0</v>
      </c>
      <c r="AX146" s="30">
        <f t="shared" si="192"/>
        <v>0</v>
      </c>
      <c r="AY146" s="31" t="s">
        <v>403</v>
      </c>
      <c r="AZ146" s="31" t="s">
        <v>199</v>
      </c>
      <c r="BA146" s="10" t="s">
        <v>60</v>
      </c>
      <c r="BC146" s="30">
        <f t="shared" si="193"/>
        <v>0</v>
      </c>
      <c r="BD146" s="30">
        <f t="shared" si="194"/>
        <v>0</v>
      </c>
      <c r="BE146" s="30">
        <v>0</v>
      </c>
      <c r="BF146" s="30">
        <f>146</f>
        <v>146</v>
      </c>
      <c r="BH146" s="30">
        <f t="shared" si="195"/>
        <v>0</v>
      </c>
      <c r="BI146" s="30">
        <f t="shared" si="196"/>
        <v>0</v>
      </c>
      <c r="BJ146" s="30">
        <f t="shared" si="197"/>
        <v>0</v>
      </c>
      <c r="BK146" s="30"/>
      <c r="BL146" s="30">
        <v>728</v>
      </c>
      <c r="BW146" s="30">
        <v>12</v>
      </c>
      <c r="BX146" s="4" t="s">
        <v>427</v>
      </c>
    </row>
    <row r="147" spans="1:76" x14ac:dyDescent="0.25">
      <c r="A147" s="32" t="s">
        <v>428</v>
      </c>
      <c r="B147" s="33" t="s">
        <v>429</v>
      </c>
      <c r="C147" s="125" t="s">
        <v>430</v>
      </c>
      <c r="D147" s="126"/>
      <c r="E147" s="33" t="s">
        <v>90</v>
      </c>
      <c r="F147" s="34">
        <v>8.43E-3</v>
      </c>
      <c r="G147" s="35">
        <v>0</v>
      </c>
      <c r="H147" s="34">
        <f t="shared" si="176"/>
        <v>0</v>
      </c>
      <c r="I147" s="34">
        <f t="shared" si="177"/>
        <v>0</v>
      </c>
      <c r="J147" s="34">
        <f t="shared" si="178"/>
        <v>0</v>
      </c>
      <c r="K147" s="36" t="s">
        <v>57</v>
      </c>
      <c r="Z147" s="30">
        <f t="shared" si="179"/>
        <v>0</v>
      </c>
      <c r="AB147" s="30">
        <f t="shared" si="180"/>
        <v>0</v>
      </c>
      <c r="AC147" s="30">
        <f t="shared" si="181"/>
        <v>0</v>
      </c>
      <c r="AD147" s="30">
        <f t="shared" si="182"/>
        <v>0</v>
      </c>
      <c r="AE147" s="30">
        <f t="shared" si="183"/>
        <v>0</v>
      </c>
      <c r="AF147" s="30">
        <f t="shared" si="184"/>
        <v>0</v>
      </c>
      <c r="AG147" s="30">
        <f t="shared" si="185"/>
        <v>0</v>
      </c>
      <c r="AH147" s="30">
        <f t="shared" si="186"/>
        <v>0</v>
      </c>
      <c r="AI147" s="10" t="s">
        <v>50</v>
      </c>
      <c r="AJ147" s="30">
        <f t="shared" si="187"/>
        <v>0</v>
      </c>
      <c r="AK147" s="30">
        <f t="shared" si="188"/>
        <v>0</v>
      </c>
      <c r="AL147" s="30">
        <f t="shared" si="189"/>
        <v>0</v>
      </c>
      <c r="AN147" s="30">
        <v>12</v>
      </c>
      <c r="AO147" s="30">
        <f>G147*0</f>
        <v>0</v>
      </c>
      <c r="AP147" s="30">
        <f>G147*(1-0)</f>
        <v>0</v>
      </c>
      <c r="AQ147" s="31" t="s">
        <v>74</v>
      </c>
      <c r="AV147" s="30">
        <f t="shared" si="190"/>
        <v>0</v>
      </c>
      <c r="AW147" s="30">
        <f t="shared" si="191"/>
        <v>0</v>
      </c>
      <c r="AX147" s="30">
        <f t="shared" si="192"/>
        <v>0</v>
      </c>
      <c r="AY147" s="31" t="s">
        <v>403</v>
      </c>
      <c r="AZ147" s="31" t="s">
        <v>199</v>
      </c>
      <c r="BA147" s="10" t="s">
        <v>60</v>
      </c>
      <c r="BC147" s="30">
        <f t="shared" si="193"/>
        <v>0</v>
      </c>
      <c r="BD147" s="30">
        <f t="shared" si="194"/>
        <v>0</v>
      </c>
      <c r="BE147" s="30">
        <v>0</v>
      </c>
      <c r="BF147" s="30">
        <f>147</f>
        <v>147</v>
      </c>
      <c r="BH147" s="30">
        <f t="shared" si="195"/>
        <v>0</v>
      </c>
      <c r="BI147" s="30">
        <f t="shared" si="196"/>
        <v>0</v>
      </c>
      <c r="BJ147" s="30">
        <f t="shared" si="197"/>
        <v>0</v>
      </c>
      <c r="BK147" s="30"/>
      <c r="BL147" s="30">
        <v>728</v>
      </c>
      <c r="BW147" s="30">
        <v>12</v>
      </c>
      <c r="BX147" s="4" t="s">
        <v>430</v>
      </c>
    </row>
    <row r="148" spans="1:76" x14ac:dyDescent="0.25">
      <c r="A148" s="39" t="s">
        <v>50</v>
      </c>
      <c r="B148" s="40" t="s">
        <v>431</v>
      </c>
      <c r="C148" s="131" t="s">
        <v>432</v>
      </c>
      <c r="D148" s="132"/>
      <c r="E148" s="41" t="s">
        <v>4</v>
      </c>
      <c r="F148" s="41" t="s">
        <v>4</v>
      </c>
      <c r="G148" s="42" t="s">
        <v>4</v>
      </c>
      <c r="H148" s="43">
        <f>SUM(H149:H156)</f>
        <v>0</v>
      </c>
      <c r="I148" s="43">
        <f>SUM(I149:I156)</f>
        <v>0</v>
      </c>
      <c r="J148" s="43">
        <f>SUM(J149:J156)</f>
        <v>0</v>
      </c>
      <c r="K148" s="44" t="s">
        <v>50</v>
      </c>
      <c r="AI148" s="10" t="s">
        <v>50</v>
      </c>
      <c r="AS148" s="1">
        <f>SUM(AJ149:AJ156)</f>
        <v>0</v>
      </c>
      <c r="AT148" s="1">
        <f>SUM(AK149:AK156)</f>
        <v>0</v>
      </c>
      <c r="AU148" s="1">
        <f>SUM(AL149:AL156)</f>
        <v>0</v>
      </c>
    </row>
    <row r="149" spans="1:76" x14ac:dyDescent="0.25">
      <c r="A149" s="25" t="s">
        <v>433</v>
      </c>
      <c r="B149" s="26" t="s">
        <v>434</v>
      </c>
      <c r="C149" s="123" t="s">
        <v>435</v>
      </c>
      <c r="D149" s="124"/>
      <c r="E149" s="26" t="s">
        <v>307</v>
      </c>
      <c r="F149" s="27">
        <v>1</v>
      </c>
      <c r="G149" s="28">
        <v>0</v>
      </c>
      <c r="H149" s="27">
        <f t="shared" ref="H149:H156" si="198">F149*AO149</f>
        <v>0</v>
      </c>
      <c r="I149" s="27">
        <f t="shared" ref="I149:I156" si="199">F149*AP149</f>
        <v>0</v>
      </c>
      <c r="J149" s="27">
        <f t="shared" ref="J149:J156" si="200">F149*G149</f>
        <v>0</v>
      </c>
      <c r="K149" s="29" t="s">
        <v>57</v>
      </c>
      <c r="Z149" s="30">
        <f t="shared" ref="Z149:Z156" si="201">IF(AQ149="5",BJ149,0)</f>
        <v>0</v>
      </c>
      <c r="AB149" s="30">
        <f t="shared" ref="AB149:AB156" si="202">IF(AQ149="1",BH149,0)</f>
        <v>0</v>
      </c>
      <c r="AC149" s="30">
        <f t="shared" ref="AC149:AC156" si="203">IF(AQ149="1",BI149,0)</f>
        <v>0</v>
      </c>
      <c r="AD149" s="30">
        <f t="shared" ref="AD149:AD156" si="204">IF(AQ149="7",BH149,0)</f>
        <v>0</v>
      </c>
      <c r="AE149" s="30">
        <f t="shared" ref="AE149:AE156" si="205">IF(AQ149="7",BI149,0)</f>
        <v>0</v>
      </c>
      <c r="AF149" s="30">
        <f t="shared" ref="AF149:AF156" si="206">IF(AQ149="2",BH149,0)</f>
        <v>0</v>
      </c>
      <c r="AG149" s="30">
        <f t="shared" ref="AG149:AG156" si="207">IF(AQ149="2",BI149,0)</f>
        <v>0</v>
      </c>
      <c r="AH149" s="30">
        <f t="shared" ref="AH149:AH156" si="208">IF(AQ149="0",BJ149,0)</f>
        <v>0</v>
      </c>
      <c r="AI149" s="10" t="s">
        <v>50</v>
      </c>
      <c r="AJ149" s="30">
        <f t="shared" ref="AJ149:AJ156" si="209">IF(AN149=0,J149,0)</f>
        <v>0</v>
      </c>
      <c r="AK149" s="30">
        <f t="shared" ref="AK149:AK156" si="210">IF(AN149=12,J149,0)</f>
        <v>0</v>
      </c>
      <c r="AL149" s="30">
        <f t="shared" ref="AL149:AL156" si="211">IF(AN149=21,J149,0)</f>
        <v>0</v>
      </c>
      <c r="AN149" s="30">
        <v>12</v>
      </c>
      <c r="AO149" s="30">
        <f>G149*0.052733837</f>
        <v>0</v>
      </c>
      <c r="AP149" s="30">
        <f>G149*(1-0.052733837)</f>
        <v>0</v>
      </c>
      <c r="AQ149" s="31" t="s">
        <v>81</v>
      </c>
      <c r="AV149" s="30">
        <f t="shared" ref="AV149:AV156" si="212">AW149+AX149</f>
        <v>0</v>
      </c>
      <c r="AW149" s="30">
        <f t="shared" ref="AW149:AW156" si="213">F149*AO149</f>
        <v>0</v>
      </c>
      <c r="AX149" s="30">
        <f t="shared" ref="AX149:AX156" si="214">F149*AP149</f>
        <v>0</v>
      </c>
      <c r="AY149" s="31" t="s">
        <v>436</v>
      </c>
      <c r="AZ149" s="31" t="s">
        <v>437</v>
      </c>
      <c r="BA149" s="10" t="s">
        <v>60</v>
      </c>
      <c r="BC149" s="30">
        <f t="shared" ref="BC149:BC156" si="215">AW149+AX149</f>
        <v>0</v>
      </c>
      <c r="BD149" s="30">
        <f t="shared" ref="BD149:BD156" si="216">G149/(100-BE149)*100</f>
        <v>0</v>
      </c>
      <c r="BE149" s="30">
        <v>0</v>
      </c>
      <c r="BF149" s="30">
        <f>149</f>
        <v>149</v>
      </c>
      <c r="BH149" s="30">
        <f t="shared" ref="BH149:BH156" si="217">F149*AO149</f>
        <v>0</v>
      </c>
      <c r="BI149" s="30">
        <f t="shared" ref="BI149:BI156" si="218">F149*AP149</f>
        <v>0</v>
      </c>
      <c r="BJ149" s="30">
        <f t="shared" ref="BJ149:BJ156" si="219">F149*G149</f>
        <v>0</v>
      </c>
      <c r="BK149" s="30"/>
      <c r="BL149" s="30">
        <v>731</v>
      </c>
      <c r="BW149" s="30">
        <v>12</v>
      </c>
      <c r="BX149" s="4" t="s">
        <v>435</v>
      </c>
    </row>
    <row r="150" spans="1:76" x14ac:dyDescent="0.25">
      <c r="A150" s="32" t="s">
        <v>438</v>
      </c>
      <c r="B150" s="33" t="s">
        <v>439</v>
      </c>
      <c r="C150" s="125" t="s">
        <v>440</v>
      </c>
      <c r="D150" s="126"/>
      <c r="E150" s="33" t="s">
        <v>56</v>
      </c>
      <c r="F150" s="34">
        <v>1</v>
      </c>
      <c r="G150" s="35">
        <v>0</v>
      </c>
      <c r="H150" s="34">
        <f t="shared" si="198"/>
        <v>0</v>
      </c>
      <c r="I150" s="34">
        <f t="shared" si="199"/>
        <v>0</v>
      </c>
      <c r="J150" s="34">
        <f t="shared" si="200"/>
        <v>0</v>
      </c>
      <c r="K150" s="36" t="s">
        <v>57</v>
      </c>
      <c r="Z150" s="30">
        <f t="shared" si="201"/>
        <v>0</v>
      </c>
      <c r="AB150" s="30">
        <f t="shared" si="202"/>
        <v>0</v>
      </c>
      <c r="AC150" s="30">
        <f t="shared" si="203"/>
        <v>0</v>
      </c>
      <c r="AD150" s="30">
        <f t="shared" si="204"/>
        <v>0</v>
      </c>
      <c r="AE150" s="30">
        <f t="shared" si="205"/>
        <v>0</v>
      </c>
      <c r="AF150" s="30">
        <f t="shared" si="206"/>
        <v>0</v>
      </c>
      <c r="AG150" s="30">
        <f t="shared" si="207"/>
        <v>0</v>
      </c>
      <c r="AH150" s="30">
        <f t="shared" si="208"/>
        <v>0</v>
      </c>
      <c r="AI150" s="10" t="s">
        <v>50</v>
      </c>
      <c r="AJ150" s="30">
        <f t="shared" si="209"/>
        <v>0</v>
      </c>
      <c r="AK150" s="30">
        <f t="shared" si="210"/>
        <v>0</v>
      </c>
      <c r="AL150" s="30">
        <f t="shared" si="211"/>
        <v>0</v>
      </c>
      <c r="AN150" s="30">
        <v>12</v>
      </c>
      <c r="AO150" s="30">
        <f>G150*1</f>
        <v>0</v>
      </c>
      <c r="AP150" s="30">
        <f>G150*(1-1)</f>
        <v>0</v>
      </c>
      <c r="AQ150" s="31" t="s">
        <v>81</v>
      </c>
      <c r="AV150" s="30">
        <f t="shared" si="212"/>
        <v>0</v>
      </c>
      <c r="AW150" s="30">
        <f t="shared" si="213"/>
        <v>0</v>
      </c>
      <c r="AX150" s="30">
        <f t="shared" si="214"/>
        <v>0</v>
      </c>
      <c r="AY150" s="31" t="s">
        <v>436</v>
      </c>
      <c r="AZ150" s="31" t="s">
        <v>437</v>
      </c>
      <c r="BA150" s="10" t="s">
        <v>60</v>
      </c>
      <c r="BC150" s="30">
        <f t="shared" si="215"/>
        <v>0</v>
      </c>
      <c r="BD150" s="30">
        <f t="shared" si="216"/>
        <v>0</v>
      </c>
      <c r="BE150" s="30">
        <v>0</v>
      </c>
      <c r="BF150" s="30">
        <f>150</f>
        <v>150</v>
      </c>
      <c r="BH150" s="30">
        <f t="shared" si="217"/>
        <v>0</v>
      </c>
      <c r="BI150" s="30">
        <f t="shared" si="218"/>
        <v>0</v>
      </c>
      <c r="BJ150" s="30">
        <f t="shared" si="219"/>
        <v>0</v>
      </c>
      <c r="BK150" s="30"/>
      <c r="BL150" s="30">
        <v>731</v>
      </c>
      <c r="BW150" s="30">
        <v>12</v>
      </c>
      <c r="BX150" s="4" t="s">
        <v>440</v>
      </c>
    </row>
    <row r="151" spans="1:76" x14ac:dyDescent="0.25">
      <c r="A151" s="32" t="s">
        <v>441</v>
      </c>
      <c r="B151" s="33" t="s">
        <v>442</v>
      </c>
      <c r="C151" s="125" t="s">
        <v>443</v>
      </c>
      <c r="D151" s="126"/>
      <c r="E151" s="33" t="s">
        <v>56</v>
      </c>
      <c r="F151" s="34">
        <v>1</v>
      </c>
      <c r="G151" s="35">
        <v>0</v>
      </c>
      <c r="H151" s="34">
        <f t="shared" si="198"/>
        <v>0</v>
      </c>
      <c r="I151" s="34">
        <f t="shared" si="199"/>
        <v>0</v>
      </c>
      <c r="J151" s="34">
        <f t="shared" si="200"/>
        <v>0</v>
      </c>
      <c r="K151" s="36" t="s">
        <v>57</v>
      </c>
      <c r="Z151" s="30">
        <f t="shared" si="201"/>
        <v>0</v>
      </c>
      <c r="AB151" s="30">
        <f t="shared" si="202"/>
        <v>0</v>
      </c>
      <c r="AC151" s="30">
        <f t="shared" si="203"/>
        <v>0</v>
      </c>
      <c r="AD151" s="30">
        <f t="shared" si="204"/>
        <v>0</v>
      </c>
      <c r="AE151" s="30">
        <f t="shared" si="205"/>
        <v>0</v>
      </c>
      <c r="AF151" s="30">
        <f t="shared" si="206"/>
        <v>0</v>
      </c>
      <c r="AG151" s="30">
        <f t="shared" si="207"/>
        <v>0</v>
      </c>
      <c r="AH151" s="30">
        <f t="shared" si="208"/>
        <v>0</v>
      </c>
      <c r="AI151" s="10" t="s">
        <v>50</v>
      </c>
      <c r="AJ151" s="30">
        <f t="shared" si="209"/>
        <v>0</v>
      </c>
      <c r="AK151" s="30">
        <f t="shared" si="210"/>
        <v>0</v>
      </c>
      <c r="AL151" s="30">
        <f t="shared" si="211"/>
        <v>0</v>
      </c>
      <c r="AN151" s="30">
        <v>12</v>
      </c>
      <c r="AO151" s="30">
        <f>G151*0.867370498</f>
        <v>0</v>
      </c>
      <c r="AP151" s="30">
        <f>G151*(1-0.867370498)</f>
        <v>0</v>
      </c>
      <c r="AQ151" s="31" t="s">
        <v>81</v>
      </c>
      <c r="AV151" s="30">
        <f t="shared" si="212"/>
        <v>0</v>
      </c>
      <c r="AW151" s="30">
        <f t="shared" si="213"/>
        <v>0</v>
      </c>
      <c r="AX151" s="30">
        <f t="shared" si="214"/>
        <v>0</v>
      </c>
      <c r="AY151" s="31" t="s">
        <v>436</v>
      </c>
      <c r="AZ151" s="31" t="s">
        <v>437</v>
      </c>
      <c r="BA151" s="10" t="s">
        <v>60</v>
      </c>
      <c r="BC151" s="30">
        <f t="shared" si="215"/>
        <v>0</v>
      </c>
      <c r="BD151" s="30">
        <f t="shared" si="216"/>
        <v>0</v>
      </c>
      <c r="BE151" s="30">
        <v>0</v>
      </c>
      <c r="BF151" s="30">
        <f>151</f>
        <v>151</v>
      </c>
      <c r="BH151" s="30">
        <f t="shared" si="217"/>
        <v>0</v>
      </c>
      <c r="BI151" s="30">
        <f t="shared" si="218"/>
        <v>0</v>
      </c>
      <c r="BJ151" s="30">
        <f t="shared" si="219"/>
        <v>0</v>
      </c>
      <c r="BK151" s="30"/>
      <c r="BL151" s="30">
        <v>731</v>
      </c>
      <c r="BW151" s="30">
        <v>12</v>
      </c>
      <c r="BX151" s="4" t="s">
        <v>443</v>
      </c>
    </row>
    <row r="152" spans="1:76" x14ac:dyDescent="0.25">
      <c r="A152" s="32" t="s">
        <v>444</v>
      </c>
      <c r="B152" s="33" t="s">
        <v>445</v>
      </c>
      <c r="C152" s="125" t="s">
        <v>446</v>
      </c>
      <c r="D152" s="126"/>
      <c r="E152" s="33" t="s">
        <v>56</v>
      </c>
      <c r="F152" s="34">
        <v>1</v>
      </c>
      <c r="G152" s="35">
        <v>0</v>
      </c>
      <c r="H152" s="34">
        <f t="shared" si="198"/>
        <v>0</v>
      </c>
      <c r="I152" s="34">
        <f t="shared" si="199"/>
        <v>0</v>
      </c>
      <c r="J152" s="34">
        <f t="shared" si="200"/>
        <v>0</v>
      </c>
      <c r="K152" s="36" t="s">
        <v>57</v>
      </c>
      <c r="Z152" s="30">
        <f t="shared" si="201"/>
        <v>0</v>
      </c>
      <c r="AB152" s="30">
        <f t="shared" si="202"/>
        <v>0</v>
      </c>
      <c r="AC152" s="30">
        <f t="shared" si="203"/>
        <v>0</v>
      </c>
      <c r="AD152" s="30">
        <f t="shared" si="204"/>
        <v>0</v>
      </c>
      <c r="AE152" s="30">
        <f t="shared" si="205"/>
        <v>0</v>
      </c>
      <c r="AF152" s="30">
        <f t="shared" si="206"/>
        <v>0</v>
      </c>
      <c r="AG152" s="30">
        <f t="shared" si="207"/>
        <v>0</v>
      </c>
      <c r="AH152" s="30">
        <f t="shared" si="208"/>
        <v>0</v>
      </c>
      <c r="AI152" s="10" t="s">
        <v>50</v>
      </c>
      <c r="AJ152" s="30">
        <f t="shared" si="209"/>
        <v>0</v>
      </c>
      <c r="AK152" s="30">
        <f t="shared" si="210"/>
        <v>0</v>
      </c>
      <c r="AL152" s="30">
        <f t="shared" si="211"/>
        <v>0</v>
      </c>
      <c r="AN152" s="30">
        <v>12</v>
      </c>
      <c r="AO152" s="30">
        <f>G152*0.923240863</f>
        <v>0</v>
      </c>
      <c r="AP152" s="30">
        <f>G152*(1-0.923240863)</f>
        <v>0</v>
      </c>
      <c r="AQ152" s="31" t="s">
        <v>81</v>
      </c>
      <c r="AV152" s="30">
        <f t="shared" si="212"/>
        <v>0</v>
      </c>
      <c r="AW152" s="30">
        <f t="shared" si="213"/>
        <v>0</v>
      </c>
      <c r="AX152" s="30">
        <f t="shared" si="214"/>
        <v>0</v>
      </c>
      <c r="AY152" s="31" t="s">
        <v>436</v>
      </c>
      <c r="AZ152" s="31" t="s">
        <v>437</v>
      </c>
      <c r="BA152" s="10" t="s">
        <v>60</v>
      </c>
      <c r="BC152" s="30">
        <f t="shared" si="215"/>
        <v>0</v>
      </c>
      <c r="BD152" s="30">
        <f t="shared" si="216"/>
        <v>0</v>
      </c>
      <c r="BE152" s="30">
        <v>0</v>
      </c>
      <c r="BF152" s="30">
        <f>152</f>
        <v>152</v>
      </c>
      <c r="BH152" s="30">
        <f t="shared" si="217"/>
        <v>0</v>
      </c>
      <c r="BI152" s="30">
        <f t="shared" si="218"/>
        <v>0</v>
      </c>
      <c r="BJ152" s="30">
        <f t="shared" si="219"/>
        <v>0</v>
      </c>
      <c r="BK152" s="30"/>
      <c r="BL152" s="30">
        <v>731</v>
      </c>
      <c r="BW152" s="30">
        <v>12</v>
      </c>
      <c r="BX152" s="4" t="s">
        <v>446</v>
      </c>
    </row>
    <row r="153" spans="1:76" x14ac:dyDescent="0.25">
      <c r="A153" s="32" t="s">
        <v>447</v>
      </c>
      <c r="B153" s="33" t="s">
        <v>448</v>
      </c>
      <c r="C153" s="125" t="s">
        <v>449</v>
      </c>
      <c r="D153" s="126"/>
      <c r="E153" s="33" t="s">
        <v>450</v>
      </c>
      <c r="F153" s="34">
        <v>1</v>
      </c>
      <c r="G153" s="35">
        <v>0</v>
      </c>
      <c r="H153" s="34">
        <f t="shared" si="198"/>
        <v>0</v>
      </c>
      <c r="I153" s="34">
        <f t="shared" si="199"/>
        <v>0</v>
      </c>
      <c r="J153" s="34">
        <f t="shared" si="200"/>
        <v>0</v>
      </c>
      <c r="K153" s="36" t="s">
        <v>57</v>
      </c>
      <c r="Z153" s="30">
        <f t="shared" si="201"/>
        <v>0</v>
      </c>
      <c r="AB153" s="30">
        <f t="shared" si="202"/>
        <v>0</v>
      </c>
      <c r="AC153" s="30">
        <f t="shared" si="203"/>
        <v>0</v>
      </c>
      <c r="AD153" s="30">
        <f t="shared" si="204"/>
        <v>0</v>
      </c>
      <c r="AE153" s="30">
        <f t="shared" si="205"/>
        <v>0</v>
      </c>
      <c r="AF153" s="30">
        <f t="shared" si="206"/>
        <v>0</v>
      </c>
      <c r="AG153" s="30">
        <f t="shared" si="207"/>
        <v>0</v>
      </c>
      <c r="AH153" s="30">
        <f t="shared" si="208"/>
        <v>0</v>
      </c>
      <c r="AI153" s="10" t="s">
        <v>50</v>
      </c>
      <c r="AJ153" s="30">
        <f t="shared" si="209"/>
        <v>0</v>
      </c>
      <c r="AK153" s="30">
        <f t="shared" si="210"/>
        <v>0</v>
      </c>
      <c r="AL153" s="30">
        <f t="shared" si="211"/>
        <v>0</v>
      </c>
      <c r="AN153" s="30">
        <v>12</v>
      </c>
      <c r="AO153" s="30">
        <f>G153*0.941523915</f>
        <v>0</v>
      </c>
      <c r="AP153" s="30">
        <f>G153*(1-0.941523915)</f>
        <v>0</v>
      </c>
      <c r="AQ153" s="31" t="s">
        <v>81</v>
      </c>
      <c r="AV153" s="30">
        <f t="shared" si="212"/>
        <v>0</v>
      </c>
      <c r="AW153" s="30">
        <f t="shared" si="213"/>
        <v>0</v>
      </c>
      <c r="AX153" s="30">
        <f t="shared" si="214"/>
        <v>0</v>
      </c>
      <c r="AY153" s="31" t="s">
        <v>436</v>
      </c>
      <c r="AZ153" s="31" t="s">
        <v>437</v>
      </c>
      <c r="BA153" s="10" t="s">
        <v>60</v>
      </c>
      <c r="BC153" s="30">
        <f t="shared" si="215"/>
        <v>0</v>
      </c>
      <c r="BD153" s="30">
        <f t="shared" si="216"/>
        <v>0</v>
      </c>
      <c r="BE153" s="30">
        <v>0</v>
      </c>
      <c r="BF153" s="30">
        <f>153</f>
        <v>153</v>
      </c>
      <c r="BH153" s="30">
        <f t="shared" si="217"/>
        <v>0</v>
      </c>
      <c r="BI153" s="30">
        <f t="shared" si="218"/>
        <v>0</v>
      </c>
      <c r="BJ153" s="30">
        <f t="shared" si="219"/>
        <v>0</v>
      </c>
      <c r="BK153" s="30"/>
      <c r="BL153" s="30">
        <v>731</v>
      </c>
      <c r="BW153" s="30">
        <v>12</v>
      </c>
      <c r="BX153" s="4" t="s">
        <v>449</v>
      </c>
    </row>
    <row r="154" spans="1:76" x14ac:dyDescent="0.25">
      <c r="A154" s="32" t="s">
        <v>451</v>
      </c>
      <c r="B154" s="33" t="s">
        <v>452</v>
      </c>
      <c r="C154" s="125" t="s">
        <v>453</v>
      </c>
      <c r="D154" s="126"/>
      <c r="E154" s="33" t="s">
        <v>450</v>
      </c>
      <c r="F154" s="34">
        <v>1</v>
      </c>
      <c r="G154" s="35">
        <v>0</v>
      </c>
      <c r="H154" s="34">
        <f t="shared" si="198"/>
        <v>0</v>
      </c>
      <c r="I154" s="34">
        <f t="shared" si="199"/>
        <v>0</v>
      </c>
      <c r="J154" s="34">
        <f t="shared" si="200"/>
        <v>0</v>
      </c>
      <c r="K154" s="36" t="s">
        <v>57</v>
      </c>
      <c r="Z154" s="30">
        <f t="shared" si="201"/>
        <v>0</v>
      </c>
      <c r="AB154" s="30">
        <f t="shared" si="202"/>
        <v>0</v>
      </c>
      <c r="AC154" s="30">
        <f t="shared" si="203"/>
        <v>0</v>
      </c>
      <c r="AD154" s="30">
        <f t="shared" si="204"/>
        <v>0</v>
      </c>
      <c r="AE154" s="30">
        <f t="shared" si="205"/>
        <v>0</v>
      </c>
      <c r="AF154" s="30">
        <f t="shared" si="206"/>
        <v>0</v>
      </c>
      <c r="AG154" s="30">
        <f t="shared" si="207"/>
        <v>0</v>
      </c>
      <c r="AH154" s="30">
        <f t="shared" si="208"/>
        <v>0</v>
      </c>
      <c r="AI154" s="10" t="s">
        <v>50</v>
      </c>
      <c r="AJ154" s="30">
        <f t="shared" si="209"/>
        <v>0</v>
      </c>
      <c r="AK154" s="30">
        <f t="shared" si="210"/>
        <v>0</v>
      </c>
      <c r="AL154" s="30">
        <f t="shared" si="211"/>
        <v>0</v>
      </c>
      <c r="AN154" s="30">
        <v>12</v>
      </c>
      <c r="AO154" s="30">
        <f>G154*0.896311637</f>
        <v>0</v>
      </c>
      <c r="AP154" s="30">
        <f>G154*(1-0.896311637)</f>
        <v>0</v>
      </c>
      <c r="AQ154" s="31" t="s">
        <v>81</v>
      </c>
      <c r="AV154" s="30">
        <f t="shared" si="212"/>
        <v>0</v>
      </c>
      <c r="AW154" s="30">
        <f t="shared" si="213"/>
        <v>0</v>
      </c>
      <c r="AX154" s="30">
        <f t="shared" si="214"/>
        <v>0</v>
      </c>
      <c r="AY154" s="31" t="s">
        <v>436</v>
      </c>
      <c r="AZ154" s="31" t="s">
        <v>437</v>
      </c>
      <c r="BA154" s="10" t="s">
        <v>60</v>
      </c>
      <c r="BC154" s="30">
        <f t="shared" si="215"/>
        <v>0</v>
      </c>
      <c r="BD154" s="30">
        <f t="shared" si="216"/>
        <v>0</v>
      </c>
      <c r="BE154" s="30">
        <v>0</v>
      </c>
      <c r="BF154" s="30">
        <f>154</f>
        <v>154</v>
      </c>
      <c r="BH154" s="30">
        <f t="shared" si="217"/>
        <v>0</v>
      </c>
      <c r="BI154" s="30">
        <f t="shared" si="218"/>
        <v>0</v>
      </c>
      <c r="BJ154" s="30">
        <f t="shared" si="219"/>
        <v>0</v>
      </c>
      <c r="BK154" s="30"/>
      <c r="BL154" s="30">
        <v>731</v>
      </c>
      <c r="BW154" s="30">
        <v>12</v>
      </c>
      <c r="BX154" s="4" t="s">
        <v>453</v>
      </c>
    </row>
    <row r="155" spans="1:76" x14ac:dyDescent="0.25">
      <c r="A155" s="32" t="s">
        <v>454</v>
      </c>
      <c r="B155" s="33" t="s">
        <v>455</v>
      </c>
      <c r="C155" s="125" t="s">
        <v>456</v>
      </c>
      <c r="D155" s="126"/>
      <c r="E155" s="33" t="s">
        <v>56</v>
      </c>
      <c r="F155" s="34">
        <v>4</v>
      </c>
      <c r="G155" s="35">
        <v>0</v>
      </c>
      <c r="H155" s="34">
        <f t="shared" si="198"/>
        <v>0</v>
      </c>
      <c r="I155" s="34">
        <f t="shared" si="199"/>
        <v>0</v>
      </c>
      <c r="J155" s="34">
        <f t="shared" si="200"/>
        <v>0</v>
      </c>
      <c r="K155" s="36" t="s">
        <v>57</v>
      </c>
      <c r="Z155" s="30">
        <f t="shared" si="201"/>
        <v>0</v>
      </c>
      <c r="AB155" s="30">
        <f t="shared" si="202"/>
        <v>0</v>
      </c>
      <c r="AC155" s="30">
        <f t="shared" si="203"/>
        <v>0</v>
      </c>
      <c r="AD155" s="30">
        <f t="shared" si="204"/>
        <v>0</v>
      </c>
      <c r="AE155" s="30">
        <f t="shared" si="205"/>
        <v>0</v>
      </c>
      <c r="AF155" s="30">
        <f t="shared" si="206"/>
        <v>0</v>
      </c>
      <c r="AG155" s="30">
        <f t="shared" si="207"/>
        <v>0</v>
      </c>
      <c r="AH155" s="30">
        <f t="shared" si="208"/>
        <v>0</v>
      </c>
      <c r="AI155" s="10" t="s">
        <v>50</v>
      </c>
      <c r="AJ155" s="30">
        <f t="shared" si="209"/>
        <v>0</v>
      </c>
      <c r="AK155" s="30">
        <f t="shared" si="210"/>
        <v>0</v>
      </c>
      <c r="AL155" s="30">
        <f t="shared" si="211"/>
        <v>0</v>
      </c>
      <c r="AN155" s="30">
        <v>12</v>
      </c>
      <c r="AO155" s="30">
        <f>G155*0.944840391</f>
        <v>0</v>
      </c>
      <c r="AP155" s="30">
        <f>G155*(1-0.944840391)</f>
        <v>0</v>
      </c>
      <c r="AQ155" s="31" t="s">
        <v>81</v>
      </c>
      <c r="AV155" s="30">
        <f t="shared" si="212"/>
        <v>0</v>
      </c>
      <c r="AW155" s="30">
        <f t="shared" si="213"/>
        <v>0</v>
      </c>
      <c r="AX155" s="30">
        <f t="shared" si="214"/>
        <v>0</v>
      </c>
      <c r="AY155" s="31" t="s">
        <v>436</v>
      </c>
      <c r="AZ155" s="31" t="s">
        <v>437</v>
      </c>
      <c r="BA155" s="10" t="s">
        <v>60</v>
      </c>
      <c r="BC155" s="30">
        <f t="shared" si="215"/>
        <v>0</v>
      </c>
      <c r="BD155" s="30">
        <f t="shared" si="216"/>
        <v>0</v>
      </c>
      <c r="BE155" s="30">
        <v>0</v>
      </c>
      <c r="BF155" s="30">
        <f>155</f>
        <v>155</v>
      </c>
      <c r="BH155" s="30">
        <f t="shared" si="217"/>
        <v>0</v>
      </c>
      <c r="BI155" s="30">
        <f t="shared" si="218"/>
        <v>0</v>
      </c>
      <c r="BJ155" s="30">
        <f t="shared" si="219"/>
        <v>0</v>
      </c>
      <c r="BK155" s="30"/>
      <c r="BL155" s="30">
        <v>731</v>
      </c>
      <c r="BW155" s="30">
        <v>12</v>
      </c>
      <c r="BX155" s="4" t="s">
        <v>456</v>
      </c>
    </row>
    <row r="156" spans="1:76" x14ac:dyDescent="0.25">
      <c r="A156" s="32" t="s">
        <v>457</v>
      </c>
      <c r="B156" s="33" t="s">
        <v>458</v>
      </c>
      <c r="C156" s="125" t="s">
        <v>459</v>
      </c>
      <c r="D156" s="126"/>
      <c r="E156" s="33" t="s">
        <v>90</v>
      </c>
      <c r="F156" s="34">
        <v>6.5740000000000007E-2</v>
      </c>
      <c r="G156" s="35">
        <v>0</v>
      </c>
      <c r="H156" s="34">
        <f t="shared" si="198"/>
        <v>0</v>
      </c>
      <c r="I156" s="34">
        <f t="shared" si="199"/>
        <v>0</v>
      </c>
      <c r="J156" s="34">
        <f t="shared" si="200"/>
        <v>0</v>
      </c>
      <c r="K156" s="36" t="s">
        <v>57</v>
      </c>
      <c r="Z156" s="30">
        <f t="shared" si="201"/>
        <v>0</v>
      </c>
      <c r="AB156" s="30">
        <f t="shared" si="202"/>
        <v>0</v>
      </c>
      <c r="AC156" s="30">
        <f t="shared" si="203"/>
        <v>0</v>
      </c>
      <c r="AD156" s="30">
        <f t="shared" si="204"/>
        <v>0</v>
      </c>
      <c r="AE156" s="30">
        <f t="shared" si="205"/>
        <v>0</v>
      </c>
      <c r="AF156" s="30">
        <f t="shared" si="206"/>
        <v>0</v>
      </c>
      <c r="AG156" s="30">
        <f t="shared" si="207"/>
        <v>0</v>
      </c>
      <c r="AH156" s="30">
        <f t="shared" si="208"/>
        <v>0</v>
      </c>
      <c r="AI156" s="10" t="s">
        <v>50</v>
      </c>
      <c r="AJ156" s="30">
        <f t="shared" si="209"/>
        <v>0</v>
      </c>
      <c r="AK156" s="30">
        <f t="shared" si="210"/>
        <v>0</v>
      </c>
      <c r="AL156" s="30">
        <f t="shared" si="211"/>
        <v>0</v>
      </c>
      <c r="AN156" s="30">
        <v>12</v>
      </c>
      <c r="AO156" s="30">
        <f>G156*0</f>
        <v>0</v>
      </c>
      <c r="AP156" s="30">
        <f>G156*(1-0)</f>
        <v>0</v>
      </c>
      <c r="AQ156" s="31" t="s">
        <v>74</v>
      </c>
      <c r="AV156" s="30">
        <f t="shared" si="212"/>
        <v>0</v>
      </c>
      <c r="AW156" s="30">
        <f t="shared" si="213"/>
        <v>0</v>
      </c>
      <c r="AX156" s="30">
        <f t="shared" si="214"/>
        <v>0</v>
      </c>
      <c r="AY156" s="31" t="s">
        <v>436</v>
      </c>
      <c r="AZ156" s="31" t="s">
        <v>437</v>
      </c>
      <c r="BA156" s="10" t="s">
        <v>60</v>
      </c>
      <c r="BC156" s="30">
        <f t="shared" si="215"/>
        <v>0</v>
      </c>
      <c r="BD156" s="30">
        <f t="shared" si="216"/>
        <v>0</v>
      </c>
      <c r="BE156" s="30">
        <v>0</v>
      </c>
      <c r="BF156" s="30">
        <f>156</f>
        <v>156</v>
      </c>
      <c r="BH156" s="30">
        <f t="shared" si="217"/>
        <v>0</v>
      </c>
      <c r="BI156" s="30">
        <f t="shared" si="218"/>
        <v>0</v>
      </c>
      <c r="BJ156" s="30">
        <f t="shared" si="219"/>
        <v>0</v>
      </c>
      <c r="BK156" s="30"/>
      <c r="BL156" s="30">
        <v>731</v>
      </c>
      <c r="BW156" s="30">
        <v>12</v>
      </c>
      <c r="BX156" s="4" t="s">
        <v>459</v>
      </c>
    </row>
    <row r="157" spans="1:76" x14ac:dyDescent="0.25">
      <c r="A157" s="39" t="s">
        <v>50</v>
      </c>
      <c r="B157" s="40" t="s">
        <v>460</v>
      </c>
      <c r="C157" s="131" t="s">
        <v>461</v>
      </c>
      <c r="D157" s="132"/>
      <c r="E157" s="41" t="s">
        <v>4</v>
      </c>
      <c r="F157" s="41" t="s">
        <v>4</v>
      </c>
      <c r="G157" s="42" t="s">
        <v>4</v>
      </c>
      <c r="H157" s="43">
        <f>SUM(H158:H158)</f>
        <v>0</v>
      </c>
      <c r="I157" s="43">
        <f>SUM(I158:I158)</f>
        <v>0</v>
      </c>
      <c r="J157" s="43">
        <f>SUM(J158:J158)</f>
        <v>0</v>
      </c>
      <c r="K157" s="44" t="s">
        <v>50</v>
      </c>
      <c r="AI157" s="10" t="s">
        <v>50</v>
      </c>
      <c r="AS157" s="1">
        <f>SUM(AJ158:AJ158)</f>
        <v>0</v>
      </c>
      <c r="AT157" s="1">
        <f>SUM(AK158:AK158)</f>
        <v>0</v>
      </c>
      <c r="AU157" s="1">
        <f>SUM(AL158:AL158)</f>
        <v>0</v>
      </c>
    </row>
    <row r="158" spans="1:76" x14ac:dyDescent="0.25">
      <c r="A158" s="25" t="s">
        <v>462</v>
      </c>
      <c r="B158" s="26" t="s">
        <v>463</v>
      </c>
      <c r="C158" s="123" t="s">
        <v>464</v>
      </c>
      <c r="D158" s="124"/>
      <c r="E158" s="26" t="s">
        <v>307</v>
      </c>
      <c r="F158" s="27">
        <v>1</v>
      </c>
      <c r="G158" s="28">
        <v>0</v>
      </c>
      <c r="H158" s="27">
        <f>F158*AO158</f>
        <v>0</v>
      </c>
      <c r="I158" s="27">
        <f>F158*AP158</f>
        <v>0</v>
      </c>
      <c r="J158" s="27">
        <f>F158*G158</f>
        <v>0</v>
      </c>
      <c r="K158" s="29" t="s">
        <v>57</v>
      </c>
      <c r="Z158" s="30">
        <f>IF(AQ158="5",BJ158,0)</f>
        <v>0</v>
      </c>
      <c r="AB158" s="30">
        <f>IF(AQ158="1",BH158,0)</f>
        <v>0</v>
      </c>
      <c r="AC158" s="30">
        <f>IF(AQ158="1",BI158,0)</f>
        <v>0</v>
      </c>
      <c r="AD158" s="30">
        <f>IF(AQ158="7",BH158,0)</f>
        <v>0</v>
      </c>
      <c r="AE158" s="30">
        <f>IF(AQ158="7",BI158,0)</f>
        <v>0</v>
      </c>
      <c r="AF158" s="30">
        <f>IF(AQ158="2",BH158,0)</f>
        <v>0</v>
      </c>
      <c r="AG158" s="30">
        <f>IF(AQ158="2",BI158,0)</f>
        <v>0</v>
      </c>
      <c r="AH158" s="30">
        <f>IF(AQ158="0",BJ158,0)</f>
        <v>0</v>
      </c>
      <c r="AI158" s="10" t="s">
        <v>50</v>
      </c>
      <c r="AJ158" s="30">
        <f>IF(AN158=0,J158,0)</f>
        <v>0</v>
      </c>
      <c r="AK158" s="30">
        <f>IF(AN158=12,J158,0)</f>
        <v>0</v>
      </c>
      <c r="AL158" s="30">
        <f>IF(AN158=21,J158,0)</f>
        <v>0</v>
      </c>
      <c r="AN158" s="30">
        <v>12</v>
      </c>
      <c r="AO158" s="30">
        <f>G158*0.902083527</f>
        <v>0</v>
      </c>
      <c r="AP158" s="30">
        <f>G158*(1-0.902083527)</f>
        <v>0</v>
      </c>
      <c r="AQ158" s="31" t="s">
        <v>81</v>
      </c>
      <c r="AV158" s="30">
        <f>AW158+AX158</f>
        <v>0</v>
      </c>
      <c r="AW158" s="30">
        <f>F158*AO158</f>
        <v>0</v>
      </c>
      <c r="AX158" s="30">
        <f>F158*AP158</f>
        <v>0</v>
      </c>
      <c r="AY158" s="31" t="s">
        <v>465</v>
      </c>
      <c r="AZ158" s="31" t="s">
        <v>437</v>
      </c>
      <c r="BA158" s="10" t="s">
        <v>60</v>
      </c>
      <c r="BC158" s="30">
        <f>AW158+AX158</f>
        <v>0</v>
      </c>
      <c r="BD158" s="30">
        <f>G158/(100-BE158)*100</f>
        <v>0</v>
      </c>
      <c r="BE158" s="30">
        <v>0</v>
      </c>
      <c r="BF158" s="30">
        <f>158</f>
        <v>158</v>
      </c>
      <c r="BH158" s="30">
        <f>F158*AO158</f>
        <v>0</v>
      </c>
      <c r="BI158" s="30">
        <f>F158*AP158</f>
        <v>0</v>
      </c>
      <c r="BJ158" s="30">
        <f>F158*G158</f>
        <v>0</v>
      </c>
      <c r="BK158" s="30"/>
      <c r="BL158" s="30">
        <v>732</v>
      </c>
      <c r="BW158" s="30">
        <v>12</v>
      </c>
      <c r="BX158" s="4" t="s">
        <v>464</v>
      </c>
    </row>
    <row r="159" spans="1:76" x14ac:dyDescent="0.25">
      <c r="A159" s="39" t="s">
        <v>50</v>
      </c>
      <c r="B159" s="40" t="s">
        <v>466</v>
      </c>
      <c r="C159" s="131" t="s">
        <v>467</v>
      </c>
      <c r="D159" s="132"/>
      <c r="E159" s="41" t="s">
        <v>4</v>
      </c>
      <c r="F159" s="41" t="s">
        <v>4</v>
      </c>
      <c r="G159" s="42" t="s">
        <v>4</v>
      </c>
      <c r="H159" s="43">
        <f>SUM(H160:H167)</f>
        <v>0</v>
      </c>
      <c r="I159" s="43">
        <f>SUM(I160:I167)</f>
        <v>0</v>
      </c>
      <c r="J159" s="43">
        <f>SUM(J160:J167)</f>
        <v>0</v>
      </c>
      <c r="K159" s="44" t="s">
        <v>50</v>
      </c>
      <c r="AI159" s="10" t="s">
        <v>50</v>
      </c>
      <c r="AS159" s="1">
        <f>SUM(AJ160:AJ167)</f>
        <v>0</v>
      </c>
      <c r="AT159" s="1">
        <f>SUM(AK160:AK167)</f>
        <v>0</v>
      </c>
      <c r="AU159" s="1">
        <f>SUM(AL160:AL167)</f>
        <v>0</v>
      </c>
    </row>
    <row r="160" spans="1:76" x14ac:dyDescent="0.25">
      <c r="A160" s="25" t="s">
        <v>468</v>
      </c>
      <c r="B160" s="26" t="s">
        <v>469</v>
      </c>
      <c r="C160" s="123" t="s">
        <v>470</v>
      </c>
      <c r="D160" s="124"/>
      <c r="E160" s="26" t="s">
        <v>80</v>
      </c>
      <c r="F160" s="27">
        <v>15</v>
      </c>
      <c r="G160" s="28">
        <v>0</v>
      </c>
      <c r="H160" s="27">
        <f>F160*AO160</f>
        <v>0</v>
      </c>
      <c r="I160" s="27">
        <f>F160*AP160</f>
        <v>0</v>
      </c>
      <c r="J160" s="27">
        <f>F160*G160</f>
        <v>0</v>
      </c>
      <c r="K160" s="29" t="s">
        <v>57</v>
      </c>
      <c r="Z160" s="30">
        <f>IF(AQ160="5",BJ160,0)</f>
        <v>0</v>
      </c>
      <c r="AB160" s="30">
        <f>IF(AQ160="1",BH160,0)</f>
        <v>0</v>
      </c>
      <c r="AC160" s="30">
        <f>IF(AQ160="1",BI160,0)</f>
        <v>0</v>
      </c>
      <c r="AD160" s="30">
        <f>IF(AQ160="7",BH160,0)</f>
        <v>0</v>
      </c>
      <c r="AE160" s="30">
        <f>IF(AQ160="7",BI160,0)</f>
        <v>0</v>
      </c>
      <c r="AF160" s="30">
        <f>IF(AQ160="2",BH160,0)</f>
        <v>0</v>
      </c>
      <c r="AG160" s="30">
        <f>IF(AQ160="2",BI160,0)</f>
        <v>0</v>
      </c>
      <c r="AH160" s="30">
        <f>IF(AQ160="0",BJ160,0)</f>
        <v>0</v>
      </c>
      <c r="AI160" s="10" t="s">
        <v>50</v>
      </c>
      <c r="AJ160" s="30">
        <f>IF(AN160=0,J160,0)</f>
        <v>0</v>
      </c>
      <c r="AK160" s="30">
        <f>IF(AN160=12,J160,0)</f>
        <v>0</v>
      </c>
      <c r="AL160" s="30">
        <f>IF(AN160=21,J160,0)</f>
        <v>0</v>
      </c>
      <c r="AN160" s="30">
        <v>12</v>
      </c>
      <c r="AO160" s="30">
        <f>G160*0.603939394</f>
        <v>0</v>
      </c>
      <c r="AP160" s="30">
        <f>G160*(1-0.603939394)</f>
        <v>0</v>
      </c>
      <c r="AQ160" s="31" t="s">
        <v>81</v>
      </c>
      <c r="AV160" s="30">
        <f>AW160+AX160</f>
        <v>0</v>
      </c>
      <c r="AW160" s="30">
        <f>F160*AO160</f>
        <v>0</v>
      </c>
      <c r="AX160" s="30">
        <f>F160*AP160</f>
        <v>0</v>
      </c>
      <c r="AY160" s="31" t="s">
        <v>471</v>
      </c>
      <c r="AZ160" s="31" t="s">
        <v>437</v>
      </c>
      <c r="BA160" s="10" t="s">
        <v>60</v>
      </c>
      <c r="BC160" s="30">
        <f>AW160+AX160</f>
        <v>0</v>
      </c>
      <c r="BD160" s="30">
        <f>G160/(100-BE160)*100</f>
        <v>0</v>
      </c>
      <c r="BE160" s="30">
        <v>0</v>
      </c>
      <c r="BF160" s="30">
        <f>160</f>
        <v>160</v>
      </c>
      <c r="BH160" s="30">
        <f>F160*AO160</f>
        <v>0</v>
      </c>
      <c r="BI160" s="30">
        <f>F160*AP160</f>
        <v>0</v>
      </c>
      <c r="BJ160" s="30">
        <f>F160*G160</f>
        <v>0</v>
      </c>
      <c r="BK160" s="30"/>
      <c r="BL160" s="30">
        <v>733</v>
      </c>
      <c r="BW160" s="30">
        <v>12</v>
      </c>
      <c r="BX160" s="4" t="s">
        <v>470</v>
      </c>
    </row>
    <row r="161" spans="1:76" x14ac:dyDescent="0.25">
      <c r="A161" s="32" t="s">
        <v>472</v>
      </c>
      <c r="B161" s="33" t="s">
        <v>473</v>
      </c>
      <c r="C161" s="125" t="s">
        <v>474</v>
      </c>
      <c r="D161" s="126"/>
      <c r="E161" s="33" t="s">
        <v>80</v>
      </c>
      <c r="F161" s="34">
        <v>19</v>
      </c>
      <c r="G161" s="35">
        <v>0</v>
      </c>
      <c r="H161" s="34">
        <f>F161*AO161</f>
        <v>0</v>
      </c>
      <c r="I161" s="34">
        <f>F161*AP161</f>
        <v>0</v>
      </c>
      <c r="J161" s="34">
        <f>F161*G161</f>
        <v>0</v>
      </c>
      <c r="K161" s="36" t="s">
        <v>57</v>
      </c>
      <c r="Z161" s="30">
        <f>IF(AQ161="5",BJ161,0)</f>
        <v>0</v>
      </c>
      <c r="AB161" s="30">
        <f>IF(AQ161="1",BH161,0)</f>
        <v>0</v>
      </c>
      <c r="AC161" s="30">
        <f>IF(AQ161="1",BI161,0)</f>
        <v>0</v>
      </c>
      <c r="AD161" s="30">
        <f>IF(AQ161="7",BH161,0)</f>
        <v>0</v>
      </c>
      <c r="AE161" s="30">
        <f>IF(AQ161="7",BI161,0)</f>
        <v>0</v>
      </c>
      <c r="AF161" s="30">
        <f>IF(AQ161="2",BH161,0)</f>
        <v>0</v>
      </c>
      <c r="AG161" s="30">
        <f>IF(AQ161="2",BI161,0)</f>
        <v>0</v>
      </c>
      <c r="AH161" s="30">
        <f>IF(AQ161="0",BJ161,0)</f>
        <v>0</v>
      </c>
      <c r="AI161" s="10" t="s">
        <v>50</v>
      </c>
      <c r="AJ161" s="30">
        <f>IF(AN161=0,J161,0)</f>
        <v>0</v>
      </c>
      <c r="AK161" s="30">
        <f>IF(AN161=12,J161,0)</f>
        <v>0</v>
      </c>
      <c r="AL161" s="30">
        <f>IF(AN161=21,J161,0)</f>
        <v>0</v>
      </c>
      <c r="AN161" s="30">
        <v>12</v>
      </c>
      <c r="AO161" s="30">
        <f>G161*0.642337284</f>
        <v>0</v>
      </c>
      <c r="AP161" s="30">
        <f>G161*(1-0.642337284)</f>
        <v>0</v>
      </c>
      <c r="AQ161" s="31" t="s">
        <v>81</v>
      </c>
      <c r="AV161" s="30">
        <f>AW161+AX161</f>
        <v>0</v>
      </c>
      <c r="AW161" s="30">
        <f>F161*AO161</f>
        <v>0</v>
      </c>
      <c r="AX161" s="30">
        <f>F161*AP161</f>
        <v>0</v>
      </c>
      <c r="AY161" s="31" t="s">
        <v>471</v>
      </c>
      <c r="AZ161" s="31" t="s">
        <v>437</v>
      </c>
      <c r="BA161" s="10" t="s">
        <v>60</v>
      </c>
      <c r="BC161" s="30">
        <f>AW161+AX161</f>
        <v>0</v>
      </c>
      <c r="BD161" s="30">
        <f>G161/(100-BE161)*100</f>
        <v>0</v>
      </c>
      <c r="BE161" s="30">
        <v>0</v>
      </c>
      <c r="BF161" s="30">
        <f>161</f>
        <v>161</v>
      </c>
      <c r="BH161" s="30">
        <f>F161*AO161</f>
        <v>0</v>
      </c>
      <c r="BI161" s="30">
        <f>F161*AP161</f>
        <v>0</v>
      </c>
      <c r="BJ161" s="30">
        <f>F161*G161</f>
        <v>0</v>
      </c>
      <c r="BK161" s="30"/>
      <c r="BL161" s="30">
        <v>733</v>
      </c>
      <c r="BW161" s="30">
        <v>12</v>
      </c>
      <c r="BX161" s="4" t="s">
        <v>474</v>
      </c>
    </row>
    <row r="162" spans="1:76" x14ac:dyDescent="0.25">
      <c r="A162" s="32" t="s">
        <v>475</v>
      </c>
      <c r="B162" s="33" t="s">
        <v>476</v>
      </c>
      <c r="C162" s="125" t="s">
        <v>477</v>
      </c>
      <c r="D162" s="126"/>
      <c r="E162" s="33" t="s">
        <v>80</v>
      </c>
      <c r="F162" s="34">
        <v>15</v>
      </c>
      <c r="G162" s="35">
        <v>0</v>
      </c>
      <c r="H162" s="34">
        <f>F162*AO162</f>
        <v>0</v>
      </c>
      <c r="I162" s="34">
        <f>F162*AP162</f>
        <v>0</v>
      </c>
      <c r="J162" s="34">
        <f>F162*G162</f>
        <v>0</v>
      </c>
      <c r="K162" s="36" t="s">
        <v>57</v>
      </c>
      <c r="Z162" s="30">
        <f>IF(AQ162="5",BJ162,0)</f>
        <v>0</v>
      </c>
      <c r="AB162" s="30">
        <f>IF(AQ162="1",BH162,0)</f>
        <v>0</v>
      </c>
      <c r="AC162" s="30">
        <f>IF(AQ162="1",BI162,0)</f>
        <v>0</v>
      </c>
      <c r="AD162" s="30">
        <f>IF(AQ162="7",BH162,0)</f>
        <v>0</v>
      </c>
      <c r="AE162" s="30">
        <f>IF(AQ162="7",BI162,0)</f>
        <v>0</v>
      </c>
      <c r="AF162" s="30">
        <f>IF(AQ162="2",BH162,0)</f>
        <v>0</v>
      </c>
      <c r="AG162" s="30">
        <f>IF(AQ162="2",BI162,0)</f>
        <v>0</v>
      </c>
      <c r="AH162" s="30">
        <f>IF(AQ162="0",BJ162,0)</f>
        <v>0</v>
      </c>
      <c r="AI162" s="10" t="s">
        <v>50</v>
      </c>
      <c r="AJ162" s="30">
        <f>IF(AN162=0,J162,0)</f>
        <v>0</v>
      </c>
      <c r="AK162" s="30">
        <f>IF(AN162=12,J162,0)</f>
        <v>0</v>
      </c>
      <c r="AL162" s="30">
        <f>IF(AN162=21,J162,0)</f>
        <v>0</v>
      </c>
      <c r="AN162" s="30">
        <v>12</v>
      </c>
      <c r="AO162" s="30">
        <f>G162*0.209235209</f>
        <v>0</v>
      </c>
      <c r="AP162" s="30">
        <f>G162*(1-0.209235209)</f>
        <v>0</v>
      </c>
      <c r="AQ162" s="31" t="s">
        <v>81</v>
      </c>
      <c r="AV162" s="30">
        <f>AW162+AX162</f>
        <v>0</v>
      </c>
      <c r="AW162" s="30">
        <f>F162*AO162</f>
        <v>0</v>
      </c>
      <c r="AX162" s="30">
        <f>F162*AP162</f>
        <v>0</v>
      </c>
      <c r="AY162" s="31" t="s">
        <v>471</v>
      </c>
      <c r="AZ162" s="31" t="s">
        <v>437</v>
      </c>
      <c r="BA162" s="10" t="s">
        <v>60</v>
      </c>
      <c r="BC162" s="30">
        <f>AW162+AX162</f>
        <v>0</v>
      </c>
      <c r="BD162" s="30">
        <f>G162/(100-BE162)*100</f>
        <v>0</v>
      </c>
      <c r="BE162" s="30">
        <v>0</v>
      </c>
      <c r="BF162" s="30">
        <f>162</f>
        <v>162</v>
      </c>
      <c r="BH162" s="30">
        <f>F162*AO162</f>
        <v>0</v>
      </c>
      <c r="BI162" s="30">
        <f>F162*AP162</f>
        <v>0</v>
      </c>
      <c r="BJ162" s="30">
        <f>F162*G162</f>
        <v>0</v>
      </c>
      <c r="BK162" s="30"/>
      <c r="BL162" s="30">
        <v>733</v>
      </c>
      <c r="BW162" s="30">
        <v>12</v>
      </c>
      <c r="BX162" s="4" t="s">
        <v>477</v>
      </c>
    </row>
    <row r="163" spans="1:76" ht="13.5" customHeight="1" x14ac:dyDescent="0.25">
      <c r="A163" s="37"/>
      <c r="B163" s="38" t="s">
        <v>68</v>
      </c>
      <c r="C163" s="127" t="s">
        <v>478</v>
      </c>
      <c r="D163" s="128"/>
      <c r="E163" s="128"/>
      <c r="F163" s="128"/>
      <c r="G163" s="129"/>
      <c r="H163" s="128"/>
      <c r="I163" s="128"/>
      <c r="J163" s="128"/>
      <c r="K163" s="130"/>
    </row>
    <row r="164" spans="1:76" x14ac:dyDescent="0.25">
      <c r="A164" s="25" t="s">
        <v>479</v>
      </c>
      <c r="B164" s="26" t="s">
        <v>480</v>
      </c>
      <c r="C164" s="123" t="s">
        <v>477</v>
      </c>
      <c r="D164" s="124"/>
      <c r="E164" s="26" t="s">
        <v>80</v>
      </c>
      <c r="F164" s="27">
        <v>19</v>
      </c>
      <c r="G164" s="28">
        <v>0</v>
      </c>
      <c r="H164" s="27">
        <f>F164*AO164</f>
        <v>0</v>
      </c>
      <c r="I164" s="27">
        <f>F164*AP164</f>
        <v>0</v>
      </c>
      <c r="J164" s="27">
        <f>F164*G164</f>
        <v>0</v>
      </c>
      <c r="K164" s="29" t="s">
        <v>57</v>
      </c>
      <c r="Z164" s="30">
        <f>IF(AQ164="5",BJ164,0)</f>
        <v>0</v>
      </c>
      <c r="AB164" s="30">
        <f>IF(AQ164="1",BH164,0)</f>
        <v>0</v>
      </c>
      <c r="AC164" s="30">
        <f>IF(AQ164="1",BI164,0)</f>
        <v>0</v>
      </c>
      <c r="AD164" s="30">
        <f>IF(AQ164="7",BH164,0)</f>
        <v>0</v>
      </c>
      <c r="AE164" s="30">
        <f>IF(AQ164="7",BI164,0)</f>
        <v>0</v>
      </c>
      <c r="AF164" s="30">
        <f>IF(AQ164="2",BH164,0)</f>
        <v>0</v>
      </c>
      <c r="AG164" s="30">
        <f>IF(AQ164="2",BI164,0)</f>
        <v>0</v>
      </c>
      <c r="AH164" s="30">
        <f>IF(AQ164="0",BJ164,0)</f>
        <v>0</v>
      </c>
      <c r="AI164" s="10" t="s">
        <v>50</v>
      </c>
      <c r="AJ164" s="30">
        <f>IF(AN164=0,J164,0)</f>
        <v>0</v>
      </c>
      <c r="AK164" s="30">
        <f>IF(AN164=12,J164,0)</f>
        <v>0</v>
      </c>
      <c r="AL164" s="30">
        <f>IF(AN164=21,J164,0)</f>
        <v>0</v>
      </c>
      <c r="AN164" s="30">
        <v>12</v>
      </c>
      <c r="AO164" s="30">
        <f>G164*0.221444967</f>
        <v>0</v>
      </c>
      <c r="AP164" s="30">
        <f>G164*(1-0.221444967)</f>
        <v>0</v>
      </c>
      <c r="AQ164" s="31" t="s">
        <v>81</v>
      </c>
      <c r="AV164" s="30">
        <f>AW164+AX164</f>
        <v>0</v>
      </c>
      <c r="AW164" s="30">
        <f>F164*AO164</f>
        <v>0</v>
      </c>
      <c r="AX164" s="30">
        <f>F164*AP164</f>
        <v>0</v>
      </c>
      <c r="AY164" s="31" t="s">
        <v>471</v>
      </c>
      <c r="AZ164" s="31" t="s">
        <v>437</v>
      </c>
      <c r="BA164" s="10" t="s">
        <v>60</v>
      </c>
      <c r="BC164" s="30">
        <f>AW164+AX164</f>
        <v>0</v>
      </c>
      <c r="BD164" s="30">
        <f>G164/(100-BE164)*100</f>
        <v>0</v>
      </c>
      <c r="BE164" s="30">
        <v>0</v>
      </c>
      <c r="BF164" s="30">
        <f>164</f>
        <v>164</v>
      </c>
      <c r="BH164" s="30">
        <f>F164*AO164</f>
        <v>0</v>
      </c>
      <c r="BI164" s="30">
        <f>F164*AP164</f>
        <v>0</v>
      </c>
      <c r="BJ164" s="30">
        <f>F164*G164</f>
        <v>0</v>
      </c>
      <c r="BK164" s="30"/>
      <c r="BL164" s="30">
        <v>733</v>
      </c>
      <c r="BW164" s="30">
        <v>12</v>
      </c>
      <c r="BX164" s="4" t="s">
        <v>477</v>
      </c>
    </row>
    <row r="165" spans="1:76" ht="13.5" customHeight="1" x14ac:dyDescent="0.25">
      <c r="A165" s="37"/>
      <c r="B165" s="38" t="s">
        <v>68</v>
      </c>
      <c r="C165" s="127" t="s">
        <v>481</v>
      </c>
      <c r="D165" s="128"/>
      <c r="E165" s="128"/>
      <c r="F165" s="128"/>
      <c r="G165" s="129"/>
      <c r="H165" s="128"/>
      <c r="I165" s="128"/>
      <c r="J165" s="128"/>
      <c r="K165" s="130"/>
    </row>
    <row r="166" spans="1:76" x14ac:dyDescent="0.25">
      <c r="A166" s="25" t="s">
        <v>482</v>
      </c>
      <c r="B166" s="26" t="s">
        <v>483</v>
      </c>
      <c r="C166" s="123" t="s">
        <v>484</v>
      </c>
      <c r="D166" s="124"/>
      <c r="E166" s="26" t="s">
        <v>80</v>
      </c>
      <c r="F166" s="27">
        <v>34</v>
      </c>
      <c r="G166" s="28">
        <v>0</v>
      </c>
      <c r="H166" s="27">
        <f>F166*AO166</f>
        <v>0</v>
      </c>
      <c r="I166" s="27">
        <f>F166*AP166</f>
        <v>0</v>
      </c>
      <c r="J166" s="27">
        <f>F166*G166</f>
        <v>0</v>
      </c>
      <c r="K166" s="29" t="s">
        <v>57</v>
      </c>
      <c r="Z166" s="30">
        <f>IF(AQ166="5",BJ166,0)</f>
        <v>0</v>
      </c>
      <c r="AB166" s="30">
        <f>IF(AQ166="1",BH166,0)</f>
        <v>0</v>
      </c>
      <c r="AC166" s="30">
        <f>IF(AQ166="1",BI166,0)</f>
        <v>0</v>
      </c>
      <c r="AD166" s="30">
        <f>IF(AQ166="7",BH166,0)</f>
        <v>0</v>
      </c>
      <c r="AE166" s="30">
        <f>IF(AQ166="7",BI166,0)</f>
        <v>0</v>
      </c>
      <c r="AF166" s="30">
        <f>IF(AQ166="2",BH166,0)</f>
        <v>0</v>
      </c>
      <c r="AG166" s="30">
        <f>IF(AQ166="2",BI166,0)</f>
        <v>0</v>
      </c>
      <c r="AH166" s="30">
        <f>IF(AQ166="0",BJ166,0)</f>
        <v>0</v>
      </c>
      <c r="AI166" s="10" t="s">
        <v>50</v>
      </c>
      <c r="AJ166" s="30">
        <f>IF(AN166=0,J166,0)</f>
        <v>0</v>
      </c>
      <c r="AK166" s="30">
        <f>IF(AN166=12,J166,0)</f>
        <v>0</v>
      </c>
      <c r="AL166" s="30">
        <f>IF(AN166=21,J166,0)</f>
        <v>0</v>
      </c>
      <c r="AN166" s="30">
        <v>12</v>
      </c>
      <c r="AO166" s="30">
        <f>G166*0.024528302</f>
        <v>0</v>
      </c>
      <c r="AP166" s="30">
        <f>G166*(1-0.024528302)</f>
        <v>0</v>
      </c>
      <c r="AQ166" s="31" t="s">
        <v>81</v>
      </c>
      <c r="AV166" s="30">
        <f>AW166+AX166</f>
        <v>0</v>
      </c>
      <c r="AW166" s="30">
        <f>F166*AO166</f>
        <v>0</v>
      </c>
      <c r="AX166" s="30">
        <f>F166*AP166</f>
        <v>0</v>
      </c>
      <c r="AY166" s="31" t="s">
        <v>471</v>
      </c>
      <c r="AZ166" s="31" t="s">
        <v>437</v>
      </c>
      <c r="BA166" s="10" t="s">
        <v>60</v>
      </c>
      <c r="BC166" s="30">
        <f>AW166+AX166</f>
        <v>0</v>
      </c>
      <c r="BD166" s="30">
        <f>G166/(100-BE166)*100</f>
        <v>0</v>
      </c>
      <c r="BE166" s="30">
        <v>0</v>
      </c>
      <c r="BF166" s="30">
        <f>166</f>
        <v>166</v>
      </c>
      <c r="BH166" s="30">
        <f>F166*AO166</f>
        <v>0</v>
      </c>
      <c r="BI166" s="30">
        <f>F166*AP166</f>
        <v>0</v>
      </c>
      <c r="BJ166" s="30">
        <f>F166*G166</f>
        <v>0</v>
      </c>
      <c r="BK166" s="30"/>
      <c r="BL166" s="30">
        <v>733</v>
      </c>
      <c r="BW166" s="30">
        <v>12</v>
      </c>
      <c r="BX166" s="4" t="s">
        <v>484</v>
      </c>
    </row>
    <row r="167" spans="1:76" x14ac:dyDescent="0.25">
      <c r="A167" s="32" t="s">
        <v>485</v>
      </c>
      <c r="B167" s="33" t="s">
        <v>486</v>
      </c>
      <c r="C167" s="125" t="s">
        <v>487</v>
      </c>
      <c r="D167" s="126"/>
      <c r="E167" s="33" t="s">
        <v>90</v>
      </c>
      <c r="F167" s="34">
        <v>2.8799999999999999E-2</v>
      </c>
      <c r="G167" s="35">
        <v>0</v>
      </c>
      <c r="H167" s="34">
        <f>F167*AO167</f>
        <v>0</v>
      </c>
      <c r="I167" s="34">
        <f>F167*AP167</f>
        <v>0</v>
      </c>
      <c r="J167" s="34">
        <f>F167*G167</f>
        <v>0</v>
      </c>
      <c r="K167" s="36" t="s">
        <v>57</v>
      </c>
      <c r="Z167" s="30">
        <f>IF(AQ167="5",BJ167,0)</f>
        <v>0</v>
      </c>
      <c r="AB167" s="30">
        <f>IF(AQ167="1",BH167,0)</f>
        <v>0</v>
      </c>
      <c r="AC167" s="30">
        <f>IF(AQ167="1",BI167,0)</f>
        <v>0</v>
      </c>
      <c r="AD167" s="30">
        <f>IF(AQ167="7",BH167,0)</f>
        <v>0</v>
      </c>
      <c r="AE167" s="30">
        <f>IF(AQ167="7",BI167,0)</f>
        <v>0</v>
      </c>
      <c r="AF167" s="30">
        <f>IF(AQ167="2",BH167,0)</f>
        <v>0</v>
      </c>
      <c r="AG167" s="30">
        <f>IF(AQ167="2",BI167,0)</f>
        <v>0</v>
      </c>
      <c r="AH167" s="30">
        <f>IF(AQ167="0",BJ167,0)</f>
        <v>0</v>
      </c>
      <c r="AI167" s="10" t="s">
        <v>50</v>
      </c>
      <c r="AJ167" s="30">
        <f>IF(AN167=0,J167,0)</f>
        <v>0</v>
      </c>
      <c r="AK167" s="30">
        <f>IF(AN167=12,J167,0)</f>
        <v>0</v>
      </c>
      <c r="AL167" s="30">
        <f>IF(AN167=21,J167,0)</f>
        <v>0</v>
      </c>
      <c r="AN167" s="30">
        <v>12</v>
      </c>
      <c r="AO167" s="30">
        <f>G167*0</f>
        <v>0</v>
      </c>
      <c r="AP167" s="30">
        <f>G167*(1-0)</f>
        <v>0</v>
      </c>
      <c r="AQ167" s="31" t="s">
        <v>74</v>
      </c>
      <c r="AV167" s="30">
        <f>AW167+AX167</f>
        <v>0</v>
      </c>
      <c r="AW167" s="30">
        <f>F167*AO167</f>
        <v>0</v>
      </c>
      <c r="AX167" s="30">
        <f>F167*AP167</f>
        <v>0</v>
      </c>
      <c r="AY167" s="31" t="s">
        <v>471</v>
      </c>
      <c r="AZ167" s="31" t="s">
        <v>437</v>
      </c>
      <c r="BA167" s="10" t="s">
        <v>60</v>
      </c>
      <c r="BC167" s="30">
        <f>AW167+AX167</f>
        <v>0</v>
      </c>
      <c r="BD167" s="30">
        <f>G167/(100-BE167)*100</f>
        <v>0</v>
      </c>
      <c r="BE167" s="30">
        <v>0</v>
      </c>
      <c r="BF167" s="30">
        <f>167</f>
        <v>167</v>
      </c>
      <c r="BH167" s="30">
        <f>F167*AO167</f>
        <v>0</v>
      </c>
      <c r="BI167" s="30">
        <f>F167*AP167</f>
        <v>0</v>
      </c>
      <c r="BJ167" s="30">
        <f>F167*G167</f>
        <v>0</v>
      </c>
      <c r="BK167" s="30"/>
      <c r="BL167" s="30">
        <v>733</v>
      </c>
      <c r="BW167" s="30">
        <v>12</v>
      </c>
      <c r="BX167" s="4" t="s">
        <v>487</v>
      </c>
    </row>
    <row r="168" spans="1:76" x14ac:dyDescent="0.25">
      <c r="A168" s="39" t="s">
        <v>50</v>
      </c>
      <c r="B168" s="40" t="s">
        <v>488</v>
      </c>
      <c r="C168" s="131" t="s">
        <v>489</v>
      </c>
      <c r="D168" s="132"/>
      <c r="E168" s="41" t="s">
        <v>4</v>
      </c>
      <c r="F168" s="41" t="s">
        <v>4</v>
      </c>
      <c r="G168" s="42" t="s">
        <v>4</v>
      </c>
      <c r="H168" s="43">
        <f>SUM(H169:H177)</f>
        <v>0</v>
      </c>
      <c r="I168" s="43">
        <f>SUM(I169:I177)</f>
        <v>0</v>
      </c>
      <c r="J168" s="43">
        <f>SUM(J169:J177)</f>
        <v>0</v>
      </c>
      <c r="K168" s="44" t="s">
        <v>50</v>
      </c>
      <c r="AI168" s="10" t="s">
        <v>50</v>
      </c>
      <c r="AS168" s="1">
        <f>SUM(AJ169:AJ177)</f>
        <v>0</v>
      </c>
      <c r="AT168" s="1">
        <f>SUM(AK169:AK177)</f>
        <v>0</v>
      </c>
      <c r="AU168" s="1">
        <f>SUM(AL169:AL177)</f>
        <v>0</v>
      </c>
    </row>
    <row r="169" spans="1:76" x14ac:dyDescent="0.25">
      <c r="A169" s="25" t="s">
        <v>490</v>
      </c>
      <c r="B169" s="26" t="s">
        <v>491</v>
      </c>
      <c r="C169" s="123" t="s">
        <v>492</v>
      </c>
      <c r="D169" s="124"/>
      <c r="E169" s="26" t="s">
        <v>56</v>
      </c>
      <c r="F169" s="27">
        <v>3</v>
      </c>
      <c r="G169" s="28">
        <v>0</v>
      </c>
      <c r="H169" s="27">
        <f>F169*AO169</f>
        <v>0</v>
      </c>
      <c r="I169" s="27">
        <f>F169*AP169</f>
        <v>0</v>
      </c>
      <c r="J169" s="27">
        <f>F169*G169</f>
        <v>0</v>
      </c>
      <c r="K169" s="29" t="s">
        <v>57</v>
      </c>
      <c r="Z169" s="30">
        <f>IF(AQ169="5",BJ169,0)</f>
        <v>0</v>
      </c>
      <c r="AB169" s="30">
        <f>IF(AQ169="1",BH169,0)</f>
        <v>0</v>
      </c>
      <c r="AC169" s="30">
        <f>IF(AQ169="1",BI169,0)</f>
        <v>0</v>
      </c>
      <c r="AD169" s="30">
        <f>IF(AQ169="7",BH169,0)</f>
        <v>0</v>
      </c>
      <c r="AE169" s="30">
        <f>IF(AQ169="7",BI169,0)</f>
        <v>0</v>
      </c>
      <c r="AF169" s="30">
        <f>IF(AQ169="2",BH169,0)</f>
        <v>0</v>
      </c>
      <c r="AG169" s="30">
        <f>IF(AQ169="2",BI169,0)</f>
        <v>0</v>
      </c>
      <c r="AH169" s="30">
        <f>IF(AQ169="0",BJ169,0)</f>
        <v>0</v>
      </c>
      <c r="AI169" s="10" t="s">
        <v>50</v>
      </c>
      <c r="AJ169" s="30">
        <f>IF(AN169=0,J169,0)</f>
        <v>0</v>
      </c>
      <c r="AK169" s="30">
        <f>IF(AN169=12,J169,0)</f>
        <v>0</v>
      </c>
      <c r="AL169" s="30">
        <f>IF(AN169=21,J169,0)</f>
        <v>0</v>
      </c>
      <c r="AN169" s="30">
        <v>12</v>
      </c>
      <c r="AO169" s="30">
        <f>G169*0.785112299</f>
        <v>0</v>
      </c>
      <c r="AP169" s="30">
        <f>G169*(1-0.785112299)</f>
        <v>0</v>
      </c>
      <c r="AQ169" s="31" t="s">
        <v>81</v>
      </c>
      <c r="AV169" s="30">
        <f>AW169+AX169</f>
        <v>0</v>
      </c>
      <c r="AW169" s="30">
        <f>F169*AO169</f>
        <v>0</v>
      </c>
      <c r="AX169" s="30">
        <f>F169*AP169</f>
        <v>0</v>
      </c>
      <c r="AY169" s="31" t="s">
        <v>493</v>
      </c>
      <c r="AZ169" s="31" t="s">
        <v>437</v>
      </c>
      <c r="BA169" s="10" t="s">
        <v>60</v>
      </c>
      <c r="BC169" s="30">
        <f>AW169+AX169</f>
        <v>0</v>
      </c>
      <c r="BD169" s="30">
        <f>G169/(100-BE169)*100</f>
        <v>0</v>
      </c>
      <c r="BE169" s="30">
        <v>0</v>
      </c>
      <c r="BF169" s="30">
        <f>169</f>
        <v>169</v>
      </c>
      <c r="BH169" s="30">
        <f>F169*AO169</f>
        <v>0</v>
      </c>
      <c r="BI169" s="30">
        <f>F169*AP169</f>
        <v>0</v>
      </c>
      <c r="BJ169" s="30">
        <f>F169*G169</f>
        <v>0</v>
      </c>
      <c r="BK169" s="30"/>
      <c r="BL169" s="30">
        <v>734</v>
      </c>
      <c r="BW169" s="30">
        <v>12</v>
      </c>
      <c r="BX169" s="4" t="s">
        <v>492</v>
      </c>
    </row>
    <row r="170" spans="1:76" ht="13.5" customHeight="1" x14ac:dyDescent="0.25">
      <c r="A170" s="37"/>
      <c r="B170" s="38" t="s">
        <v>68</v>
      </c>
      <c r="C170" s="127" t="s">
        <v>494</v>
      </c>
      <c r="D170" s="128"/>
      <c r="E170" s="128"/>
      <c r="F170" s="128"/>
      <c r="G170" s="129"/>
      <c r="H170" s="128"/>
      <c r="I170" s="128"/>
      <c r="J170" s="128"/>
      <c r="K170" s="130"/>
    </row>
    <row r="171" spans="1:76" x14ac:dyDescent="0.25">
      <c r="A171" s="25" t="s">
        <v>495</v>
      </c>
      <c r="B171" s="26" t="s">
        <v>496</v>
      </c>
      <c r="C171" s="123" t="s">
        <v>497</v>
      </c>
      <c r="D171" s="124"/>
      <c r="E171" s="26" t="s">
        <v>56</v>
      </c>
      <c r="F171" s="27">
        <v>3</v>
      </c>
      <c r="G171" s="28">
        <v>0</v>
      </c>
      <c r="H171" s="27">
        <f t="shared" ref="H171:H177" si="220">F171*AO171</f>
        <v>0</v>
      </c>
      <c r="I171" s="27">
        <f t="shared" ref="I171:I177" si="221">F171*AP171</f>
        <v>0</v>
      </c>
      <c r="J171" s="27">
        <f t="shared" ref="J171:J177" si="222">F171*G171</f>
        <v>0</v>
      </c>
      <c r="K171" s="29" t="s">
        <v>57</v>
      </c>
      <c r="Z171" s="30">
        <f t="shared" ref="Z171:Z177" si="223">IF(AQ171="5",BJ171,0)</f>
        <v>0</v>
      </c>
      <c r="AB171" s="30">
        <f t="shared" ref="AB171:AB177" si="224">IF(AQ171="1",BH171,0)</f>
        <v>0</v>
      </c>
      <c r="AC171" s="30">
        <f t="shared" ref="AC171:AC177" si="225">IF(AQ171="1",BI171,0)</f>
        <v>0</v>
      </c>
      <c r="AD171" s="30">
        <f t="shared" ref="AD171:AD177" si="226">IF(AQ171="7",BH171,0)</f>
        <v>0</v>
      </c>
      <c r="AE171" s="30">
        <f t="shared" ref="AE171:AE177" si="227">IF(AQ171="7",BI171,0)</f>
        <v>0</v>
      </c>
      <c r="AF171" s="30">
        <f t="shared" ref="AF171:AF177" si="228">IF(AQ171="2",BH171,0)</f>
        <v>0</v>
      </c>
      <c r="AG171" s="30">
        <f t="shared" ref="AG171:AG177" si="229">IF(AQ171="2",BI171,0)</f>
        <v>0</v>
      </c>
      <c r="AH171" s="30">
        <f t="shared" ref="AH171:AH177" si="230">IF(AQ171="0",BJ171,0)</f>
        <v>0</v>
      </c>
      <c r="AI171" s="10" t="s">
        <v>50</v>
      </c>
      <c r="AJ171" s="30">
        <f t="shared" ref="AJ171:AJ177" si="231">IF(AN171=0,J171,0)</f>
        <v>0</v>
      </c>
      <c r="AK171" s="30">
        <f t="shared" ref="AK171:AK177" si="232">IF(AN171=12,J171,0)</f>
        <v>0</v>
      </c>
      <c r="AL171" s="30">
        <f t="shared" ref="AL171:AL177" si="233">IF(AN171=21,J171,0)</f>
        <v>0</v>
      </c>
      <c r="AN171" s="30">
        <v>12</v>
      </c>
      <c r="AO171" s="30">
        <f>G171*0.913556485</f>
        <v>0</v>
      </c>
      <c r="AP171" s="30">
        <f>G171*(1-0.913556485)</f>
        <v>0</v>
      </c>
      <c r="AQ171" s="31" t="s">
        <v>81</v>
      </c>
      <c r="AV171" s="30">
        <f t="shared" ref="AV171:AV177" si="234">AW171+AX171</f>
        <v>0</v>
      </c>
      <c r="AW171" s="30">
        <f t="shared" ref="AW171:AW177" si="235">F171*AO171</f>
        <v>0</v>
      </c>
      <c r="AX171" s="30">
        <f t="shared" ref="AX171:AX177" si="236">F171*AP171</f>
        <v>0</v>
      </c>
      <c r="AY171" s="31" t="s">
        <v>493</v>
      </c>
      <c r="AZ171" s="31" t="s">
        <v>437</v>
      </c>
      <c r="BA171" s="10" t="s">
        <v>60</v>
      </c>
      <c r="BC171" s="30">
        <f t="shared" ref="BC171:BC177" si="237">AW171+AX171</f>
        <v>0</v>
      </c>
      <c r="BD171" s="30">
        <f t="shared" ref="BD171:BD177" si="238">G171/(100-BE171)*100</f>
        <v>0</v>
      </c>
      <c r="BE171" s="30">
        <v>0</v>
      </c>
      <c r="BF171" s="30">
        <f>171</f>
        <v>171</v>
      </c>
      <c r="BH171" s="30">
        <f t="shared" ref="BH171:BH177" si="239">F171*AO171</f>
        <v>0</v>
      </c>
      <c r="BI171" s="30">
        <f t="shared" ref="BI171:BI177" si="240">F171*AP171</f>
        <v>0</v>
      </c>
      <c r="BJ171" s="30">
        <f t="shared" ref="BJ171:BJ177" si="241">F171*G171</f>
        <v>0</v>
      </c>
      <c r="BK171" s="30"/>
      <c r="BL171" s="30">
        <v>734</v>
      </c>
      <c r="BW171" s="30">
        <v>12</v>
      </c>
      <c r="BX171" s="4" t="s">
        <v>497</v>
      </c>
    </row>
    <row r="172" spans="1:76" x14ac:dyDescent="0.25">
      <c r="A172" s="32" t="s">
        <v>498</v>
      </c>
      <c r="B172" s="33" t="s">
        <v>499</v>
      </c>
      <c r="C172" s="125" t="s">
        <v>500</v>
      </c>
      <c r="D172" s="126"/>
      <c r="E172" s="33" t="s">
        <v>56</v>
      </c>
      <c r="F172" s="34">
        <v>1</v>
      </c>
      <c r="G172" s="35">
        <v>0</v>
      </c>
      <c r="H172" s="34">
        <f t="shared" si="220"/>
        <v>0</v>
      </c>
      <c r="I172" s="34">
        <f t="shared" si="221"/>
        <v>0</v>
      </c>
      <c r="J172" s="34">
        <f t="shared" si="222"/>
        <v>0</v>
      </c>
      <c r="K172" s="36" t="s">
        <v>57</v>
      </c>
      <c r="Z172" s="30">
        <f t="shared" si="223"/>
        <v>0</v>
      </c>
      <c r="AB172" s="30">
        <f t="shared" si="224"/>
        <v>0</v>
      </c>
      <c r="AC172" s="30">
        <f t="shared" si="225"/>
        <v>0</v>
      </c>
      <c r="AD172" s="30">
        <f t="shared" si="226"/>
        <v>0</v>
      </c>
      <c r="AE172" s="30">
        <f t="shared" si="227"/>
        <v>0</v>
      </c>
      <c r="AF172" s="30">
        <f t="shared" si="228"/>
        <v>0</v>
      </c>
      <c r="AG172" s="30">
        <f t="shared" si="229"/>
        <v>0</v>
      </c>
      <c r="AH172" s="30">
        <f t="shared" si="230"/>
        <v>0</v>
      </c>
      <c r="AI172" s="10" t="s">
        <v>50</v>
      </c>
      <c r="AJ172" s="30">
        <f t="shared" si="231"/>
        <v>0</v>
      </c>
      <c r="AK172" s="30">
        <f t="shared" si="232"/>
        <v>0</v>
      </c>
      <c r="AL172" s="30">
        <f t="shared" si="233"/>
        <v>0</v>
      </c>
      <c r="AN172" s="30">
        <v>12</v>
      </c>
      <c r="AO172" s="30">
        <f>G172*0.873605684</f>
        <v>0</v>
      </c>
      <c r="AP172" s="30">
        <f>G172*(1-0.873605684)</f>
        <v>0</v>
      </c>
      <c r="AQ172" s="31" t="s">
        <v>81</v>
      </c>
      <c r="AV172" s="30">
        <f t="shared" si="234"/>
        <v>0</v>
      </c>
      <c r="AW172" s="30">
        <f t="shared" si="235"/>
        <v>0</v>
      </c>
      <c r="AX172" s="30">
        <f t="shared" si="236"/>
        <v>0</v>
      </c>
      <c r="AY172" s="31" t="s">
        <v>493</v>
      </c>
      <c r="AZ172" s="31" t="s">
        <v>437</v>
      </c>
      <c r="BA172" s="10" t="s">
        <v>60</v>
      </c>
      <c r="BC172" s="30">
        <f t="shared" si="237"/>
        <v>0</v>
      </c>
      <c r="BD172" s="30">
        <f t="shared" si="238"/>
        <v>0</v>
      </c>
      <c r="BE172" s="30">
        <v>0</v>
      </c>
      <c r="BF172" s="30">
        <f>172</f>
        <v>172</v>
      </c>
      <c r="BH172" s="30">
        <f t="shared" si="239"/>
        <v>0</v>
      </c>
      <c r="BI172" s="30">
        <f t="shared" si="240"/>
        <v>0</v>
      </c>
      <c r="BJ172" s="30">
        <f t="shared" si="241"/>
        <v>0</v>
      </c>
      <c r="BK172" s="30"/>
      <c r="BL172" s="30">
        <v>734</v>
      </c>
      <c r="BW172" s="30">
        <v>12</v>
      </c>
      <c r="BX172" s="4" t="s">
        <v>500</v>
      </c>
    </row>
    <row r="173" spans="1:76" x14ac:dyDescent="0.25">
      <c r="A173" s="32" t="s">
        <v>501</v>
      </c>
      <c r="B173" s="33" t="s">
        <v>502</v>
      </c>
      <c r="C173" s="125" t="s">
        <v>503</v>
      </c>
      <c r="D173" s="126"/>
      <c r="E173" s="33" t="s">
        <v>56</v>
      </c>
      <c r="F173" s="34">
        <v>2</v>
      </c>
      <c r="G173" s="35">
        <v>0</v>
      </c>
      <c r="H173" s="34">
        <f t="shared" si="220"/>
        <v>0</v>
      </c>
      <c r="I173" s="34">
        <f t="shared" si="221"/>
        <v>0</v>
      </c>
      <c r="J173" s="34">
        <f t="shared" si="222"/>
        <v>0</v>
      </c>
      <c r="K173" s="36" t="s">
        <v>57</v>
      </c>
      <c r="Z173" s="30">
        <f t="shared" si="223"/>
        <v>0</v>
      </c>
      <c r="AB173" s="30">
        <f t="shared" si="224"/>
        <v>0</v>
      </c>
      <c r="AC173" s="30">
        <f t="shared" si="225"/>
        <v>0</v>
      </c>
      <c r="AD173" s="30">
        <f t="shared" si="226"/>
        <v>0</v>
      </c>
      <c r="AE173" s="30">
        <f t="shared" si="227"/>
        <v>0</v>
      </c>
      <c r="AF173" s="30">
        <f t="shared" si="228"/>
        <v>0</v>
      </c>
      <c r="AG173" s="30">
        <f t="shared" si="229"/>
        <v>0</v>
      </c>
      <c r="AH173" s="30">
        <f t="shared" si="230"/>
        <v>0</v>
      </c>
      <c r="AI173" s="10" t="s">
        <v>50</v>
      </c>
      <c r="AJ173" s="30">
        <f t="shared" si="231"/>
        <v>0</v>
      </c>
      <c r="AK173" s="30">
        <f t="shared" si="232"/>
        <v>0</v>
      </c>
      <c r="AL173" s="30">
        <f t="shared" si="233"/>
        <v>0</v>
      </c>
      <c r="AN173" s="30">
        <v>12</v>
      </c>
      <c r="AO173" s="30">
        <f>G173*0.672672176</f>
        <v>0</v>
      </c>
      <c r="AP173" s="30">
        <f>G173*(1-0.672672176)</f>
        <v>0</v>
      </c>
      <c r="AQ173" s="31" t="s">
        <v>81</v>
      </c>
      <c r="AV173" s="30">
        <f t="shared" si="234"/>
        <v>0</v>
      </c>
      <c r="AW173" s="30">
        <f t="shared" si="235"/>
        <v>0</v>
      </c>
      <c r="AX173" s="30">
        <f t="shared" si="236"/>
        <v>0</v>
      </c>
      <c r="AY173" s="31" t="s">
        <v>493</v>
      </c>
      <c r="AZ173" s="31" t="s">
        <v>437</v>
      </c>
      <c r="BA173" s="10" t="s">
        <v>60</v>
      </c>
      <c r="BC173" s="30">
        <f t="shared" si="237"/>
        <v>0</v>
      </c>
      <c r="BD173" s="30">
        <f t="shared" si="238"/>
        <v>0</v>
      </c>
      <c r="BE173" s="30">
        <v>0</v>
      </c>
      <c r="BF173" s="30">
        <f>173</f>
        <v>173</v>
      </c>
      <c r="BH173" s="30">
        <f t="shared" si="239"/>
        <v>0</v>
      </c>
      <c r="BI173" s="30">
        <f t="shared" si="240"/>
        <v>0</v>
      </c>
      <c r="BJ173" s="30">
        <f t="shared" si="241"/>
        <v>0</v>
      </c>
      <c r="BK173" s="30"/>
      <c r="BL173" s="30">
        <v>734</v>
      </c>
      <c r="BW173" s="30">
        <v>12</v>
      </c>
      <c r="BX173" s="4" t="s">
        <v>503</v>
      </c>
    </row>
    <row r="174" spans="1:76" x14ac:dyDescent="0.25">
      <c r="A174" s="32" t="s">
        <v>504</v>
      </c>
      <c r="B174" s="33" t="s">
        <v>505</v>
      </c>
      <c r="C174" s="125" t="s">
        <v>506</v>
      </c>
      <c r="D174" s="126"/>
      <c r="E174" s="33" t="s">
        <v>56</v>
      </c>
      <c r="F174" s="34">
        <v>1</v>
      </c>
      <c r="G174" s="35">
        <v>0</v>
      </c>
      <c r="H174" s="34">
        <f t="shared" si="220"/>
        <v>0</v>
      </c>
      <c r="I174" s="34">
        <f t="shared" si="221"/>
        <v>0</v>
      </c>
      <c r="J174" s="34">
        <f t="shared" si="222"/>
        <v>0</v>
      </c>
      <c r="K174" s="36" t="s">
        <v>57</v>
      </c>
      <c r="Z174" s="30">
        <f t="shared" si="223"/>
        <v>0</v>
      </c>
      <c r="AB174" s="30">
        <f t="shared" si="224"/>
        <v>0</v>
      </c>
      <c r="AC174" s="30">
        <f t="shared" si="225"/>
        <v>0</v>
      </c>
      <c r="AD174" s="30">
        <f t="shared" si="226"/>
        <v>0</v>
      </c>
      <c r="AE174" s="30">
        <f t="shared" si="227"/>
        <v>0</v>
      </c>
      <c r="AF174" s="30">
        <f t="shared" si="228"/>
        <v>0</v>
      </c>
      <c r="AG174" s="30">
        <f t="shared" si="229"/>
        <v>0</v>
      </c>
      <c r="AH174" s="30">
        <f t="shared" si="230"/>
        <v>0</v>
      </c>
      <c r="AI174" s="10" t="s">
        <v>50</v>
      </c>
      <c r="AJ174" s="30">
        <f t="shared" si="231"/>
        <v>0</v>
      </c>
      <c r="AK174" s="30">
        <f t="shared" si="232"/>
        <v>0</v>
      </c>
      <c r="AL174" s="30">
        <f t="shared" si="233"/>
        <v>0</v>
      </c>
      <c r="AN174" s="30">
        <v>12</v>
      </c>
      <c r="AO174" s="30">
        <f>G174*0.694415584</f>
        <v>0</v>
      </c>
      <c r="AP174" s="30">
        <f>G174*(1-0.694415584)</f>
        <v>0</v>
      </c>
      <c r="AQ174" s="31" t="s">
        <v>81</v>
      </c>
      <c r="AV174" s="30">
        <f t="shared" si="234"/>
        <v>0</v>
      </c>
      <c r="AW174" s="30">
        <f t="shared" si="235"/>
        <v>0</v>
      </c>
      <c r="AX174" s="30">
        <f t="shared" si="236"/>
        <v>0</v>
      </c>
      <c r="AY174" s="31" t="s">
        <v>493</v>
      </c>
      <c r="AZ174" s="31" t="s">
        <v>437</v>
      </c>
      <c r="BA174" s="10" t="s">
        <v>60</v>
      </c>
      <c r="BC174" s="30">
        <f t="shared" si="237"/>
        <v>0</v>
      </c>
      <c r="BD174" s="30">
        <f t="shared" si="238"/>
        <v>0</v>
      </c>
      <c r="BE174" s="30">
        <v>0</v>
      </c>
      <c r="BF174" s="30">
        <f>174</f>
        <v>174</v>
      </c>
      <c r="BH174" s="30">
        <f t="shared" si="239"/>
        <v>0</v>
      </c>
      <c r="BI174" s="30">
        <f t="shared" si="240"/>
        <v>0</v>
      </c>
      <c r="BJ174" s="30">
        <f t="shared" si="241"/>
        <v>0</v>
      </c>
      <c r="BK174" s="30"/>
      <c r="BL174" s="30">
        <v>734</v>
      </c>
      <c r="BW174" s="30">
        <v>12</v>
      </c>
      <c r="BX174" s="4" t="s">
        <v>506</v>
      </c>
    </row>
    <row r="175" spans="1:76" x14ac:dyDescent="0.25">
      <c r="A175" s="32" t="s">
        <v>507</v>
      </c>
      <c r="B175" s="33" t="s">
        <v>508</v>
      </c>
      <c r="C175" s="125" t="s">
        <v>509</v>
      </c>
      <c r="D175" s="126"/>
      <c r="E175" s="33" t="s">
        <v>56</v>
      </c>
      <c r="F175" s="34">
        <v>1</v>
      </c>
      <c r="G175" s="35">
        <v>0</v>
      </c>
      <c r="H175" s="34">
        <f t="shared" si="220"/>
        <v>0</v>
      </c>
      <c r="I175" s="34">
        <f t="shared" si="221"/>
        <v>0</v>
      </c>
      <c r="J175" s="34">
        <f t="shared" si="222"/>
        <v>0</v>
      </c>
      <c r="K175" s="36" t="s">
        <v>57</v>
      </c>
      <c r="Z175" s="30">
        <f t="shared" si="223"/>
        <v>0</v>
      </c>
      <c r="AB175" s="30">
        <f t="shared" si="224"/>
        <v>0</v>
      </c>
      <c r="AC175" s="30">
        <f t="shared" si="225"/>
        <v>0</v>
      </c>
      <c r="AD175" s="30">
        <f t="shared" si="226"/>
        <v>0</v>
      </c>
      <c r="AE175" s="30">
        <f t="shared" si="227"/>
        <v>0</v>
      </c>
      <c r="AF175" s="30">
        <f t="shared" si="228"/>
        <v>0</v>
      </c>
      <c r="AG175" s="30">
        <f t="shared" si="229"/>
        <v>0</v>
      </c>
      <c r="AH175" s="30">
        <f t="shared" si="230"/>
        <v>0</v>
      </c>
      <c r="AI175" s="10" t="s">
        <v>50</v>
      </c>
      <c r="AJ175" s="30">
        <f t="shared" si="231"/>
        <v>0</v>
      </c>
      <c r="AK175" s="30">
        <f t="shared" si="232"/>
        <v>0</v>
      </c>
      <c r="AL175" s="30">
        <f t="shared" si="233"/>
        <v>0</v>
      </c>
      <c r="AN175" s="30">
        <v>12</v>
      </c>
      <c r="AO175" s="30">
        <f>G175*0.961180328</f>
        <v>0</v>
      </c>
      <c r="AP175" s="30">
        <f>G175*(1-0.961180328)</f>
        <v>0</v>
      </c>
      <c r="AQ175" s="31" t="s">
        <v>81</v>
      </c>
      <c r="AV175" s="30">
        <f t="shared" si="234"/>
        <v>0</v>
      </c>
      <c r="AW175" s="30">
        <f t="shared" si="235"/>
        <v>0</v>
      </c>
      <c r="AX175" s="30">
        <f t="shared" si="236"/>
        <v>0</v>
      </c>
      <c r="AY175" s="31" t="s">
        <v>493</v>
      </c>
      <c r="AZ175" s="31" t="s">
        <v>437</v>
      </c>
      <c r="BA175" s="10" t="s">
        <v>60</v>
      </c>
      <c r="BC175" s="30">
        <f t="shared" si="237"/>
        <v>0</v>
      </c>
      <c r="BD175" s="30">
        <f t="shared" si="238"/>
        <v>0</v>
      </c>
      <c r="BE175" s="30">
        <v>0</v>
      </c>
      <c r="BF175" s="30">
        <f>175</f>
        <v>175</v>
      </c>
      <c r="BH175" s="30">
        <f t="shared" si="239"/>
        <v>0</v>
      </c>
      <c r="BI175" s="30">
        <f t="shared" si="240"/>
        <v>0</v>
      </c>
      <c r="BJ175" s="30">
        <f t="shared" si="241"/>
        <v>0</v>
      </c>
      <c r="BK175" s="30"/>
      <c r="BL175" s="30">
        <v>734</v>
      </c>
      <c r="BW175" s="30">
        <v>12</v>
      </c>
      <c r="BX175" s="4" t="s">
        <v>509</v>
      </c>
    </row>
    <row r="176" spans="1:76" x14ac:dyDescent="0.25">
      <c r="A176" s="32" t="s">
        <v>510</v>
      </c>
      <c r="B176" s="33" t="s">
        <v>511</v>
      </c>
      <c r="C176" s="125" t="s">
        <v>512</v>
      </c>
      <c r="D176" s="126"/>
      <c r="E176" s="33" t="s">
        <v>56</v>
      </c>
      <c r="F176" s="34">
        <v>3</v>
      </c>
      <c r="G176" s="35">
        <v>0</v>
      </c>
      <c r="H176" s="34">
        <f t="shared" si="220"/>
        <v>0</v>
      </c>
      <c r="I176" s="34">
        <f t="shared" si="221"/>
        <v>0</v>
      </c>
      <c r="J176" s="34">
        <f t="shared" si="222"/>
        <v>0</v>
      </c>
      <c r="K176" s="36" t="s">
        <v>57</v>
      </c>
      <c r="Z176" s="30">
        <f t="shared" si="223"/>
        <v>0</v>
      </c>
      <c r="AB176" s="30">
        <f t="shared" si="224"/>
        <v>0</v>
      </c>
      <c r="AC176" s="30">
        <f t="shared" si="225"/>
        <v>0</v>
      </c>
      <c r="AD176" s="30">
        <f t="shared" si="226"/>
        <v>0</v>
      </c>
      <c r="AE176" s="30">
        <f t="shared" si="227"/>
        <v>0</v>
      </c>
      <c r="AF176" s="30">
        <f t="shared" si="228"/>
        <v>0</v>
      </c>
      <c r="AG176" s="30">
        <f t="shared" si="229"/>
        <v>0</v>
      </c>
      <c r="AH176" s="30">
        <f t="shared" si="230"/>
        <v>0</v>
      </c>
      <c r="AI176" s="10" t="s">
        <v>50</v>
      </c>
      <c r="AJ176" s="30">
        <f t="shared" si="231"/>
        <v>0</v>
      </c>
      <c r="AK176" s="30">
        <f t="shared" si="232"/>
        <v>0</v>
      </c>
      <c r="AL176" s="30">
        <f t="shared" si="233"/>
        <v>0</v>
      </c>
      <c r="AN176" s="30">
        <v>12</v>
      </c>
      <c r="AO176" s="30">
        <f>G176*0.039716312</f>
        <v>0</v>
      </c>
      <c r="AP176" s="30">
        <f>G176*(1-0.039716312)</f>
        <v>0</v>
      </c>
      <c r="AQ176" s="31" t="s">
        <v>81</v>
      </c>
      <c r="AV176" s="30">
        <f t="shared" si="234"/>
        <v>0</v>
      </c>
      <c r="AW176" s="30">
        <f t="shared" si="235"/>
        <v>0</v>
      </c>
      <c r="AX176" s="30">
        <f t="shared" si="236"/>
        <v>0</v>
      </c>
      <c r="AY176" s="31" t="s">
        <v>493</v>
      </c>
      <c r="AZ176" s="31" t="s">
        <v>437</v>
      </c>
      <c r="BA176" s="10" t="s">
        <v>60</v>
      </c>
      <c r="BC176" s="30">
        <f t="shared" si="237"/>
        <v>0</v>
      </c>
      <c r="BD176" s="30">
        <f t="shared" si="238"/>
        <v>0</v>
      </c>
      <c r="BE176" s="30">
        <v>0</v>
      </c>
      <c r="BF176" s="30">
        <f>176</f>
        <v>176</v>
      </c>
      <c r="BH176" s="30">
        <f t="shared" si="239"/>
        <v>0</v>
      </c>
      <c r="BI176" s="30">
        <f t="shared" si="240"/>
        <v>0</v>
      </c>
      <c r="BJ176" s="30">
        <f t="shared" si="241"/>
        <v>0</v>
      </c>
      <c r="BK176" s="30"/>
      <c r="BL176" s="30">
        <v>734</v>
      </c>
      <c r="BW176" s="30">
        <v>12</v>
      </c>
      <c r="BX176" s="4" t="s">
        <v>512</v>
      </c>
    </row>
    <row r="177" spans="1:76" x14ac:dyDescent="0.25">
      <c r="A177" s="32" t="s">
        <v>513</v>
      </c>
      <c r="B177" s="33" t="s">
        <v>514</v>
      </c>
      <c r="C177" s="125" t="s">
        <v>515</v>
      </c>
      <c r="D177" s="126"/>
      <c r="E177" s="33" t="s">
        <v>90</v>
      </c>
      <c r="F177" s="34">
        <v>4.3699999999999998E-3</v>
      </c>
      <c r="G177" s="35">
        <v>0</v>
      </c>
      <c r="H177" s="34">
        <f t="shared" si="220"/>
        <v>0</v>
      </c>
      <c r="I177" s="34">
        <f t="shared" si="221"/>
        <v>0</v>
      </c>
      <c r="J177" s="34">
        <f t="shared" si="222"/>
        <v>0</v>
      </c>
      <c r="K177" s="36" t="s">
        <v>57</v>
      </c>
      <c r="Z177" s="30">
        <f t="shared" si="223"/>
        <v>0</v>
      </c>
      <c r="AB177" s="30">
        <f t="shared" si="224"/>
        <v>0</v>
      </c>
      <c r="AC177" s="30">
        <f t="shared" si="225"/>
        <v>0</v>
      </c>
      <c r="AD177" s="30">
        <f t="shared" si="226"/>
        <v>0</v>
      </c>
      <c r="AE177" s="30">
        <f t="shared" si="227"/>
        <v>0</v>
      </c>
      <c r="AF177" s="30">
        <f t="shared" si="228"/>
        <v>0</v>
      </c>
      <c r="AG177" s="30">
        <f t="shared" si="229"/>
        <v>0</v>
      </c>
      <c r="AH177" s="30">
        <f t="shared" si="230"/>
        <v>0</v>
      </c>
      <c r="AI177" s="10" t="s">
        <v>50</v>
      </c>
      <c r="AJ177" s="30">
        <f t="shared" si="231"/>
        <v>0</v>
      </c>
      <c r="AK177" s="30">
        <f t="shared" si="232"/>
        <v>0</v>
      </c>
      <c r="AL177" s="30">
        <f t="shared" si="233"/>
        <v>0</v>
      </c>
      <c r="AN177" s="30">
        <v>12</v>
      </c>
      <c r="AO177" s="30">
        <f>G177*0</f>
        <v>0</v>
      </c>
      <c r="AP177" s="30">
        <f>G177*(1-0)</f>
        <v>0</v>
      </c>
      <c r="AQ177" s="31" t="s">
        <v>74</v>
      </c>
      <c r="AV177" s="30">
        <f t="shared" si="234"/>
        <v>0</v>
      </c>
      <c r="AW177" s="30">
        <f t="shared" si="235"/>
        <v>0</v>
      </c>
      <c r="AX177" s="30">
        <f t="shared" si="236"/>
        <v>0</v>
      </c>
      <c r="AY177" s="31" t="s">
        <v>493</v>
      </c>
      <c r="AZ177" s="31" t="s">
        <v>437</v>
      </c>
      <c r="BA177" s="10" t="s">
        <v>60</v>
      </c>
      <c r="BC177" s="30">
        <f t="shared" si="237"/>
        <v>0</v>
      </c>
      <c r="BD177" s="30">
        <f t="shared" si="238"/>
        <v>0</v>
      </c>
      <c r="BE177" s="30">
        <v>0</v>
      </c>
      <c r="BF177" s="30">
        <f>177</f>
        <v>177</v>
      </c>
      <c r="BH177" s="30">
        <f t="shared" si="239"/>
        <v>0</v>
      </c>
      <c r="BI177" s="30">
        <f t="shared" si="240"/>
        <v>0</v>
      </c>
      <c r="BJ177" s="30">
        <f t="shared" si="241"/>
        <v>0</v>
      </c>
      <c r="BK177" s="30"/>
      <c r="BL177" s="30">
        <v>734</v>
      </c>
      <c r="BW177" s="30">
        <v>12</v>
      </c>
      <c r="BX177" s="4" t="s">
        <v>515</v>
      </c>
    </row>
    <row r="178" spans="1:76" x14ac:dyDescent="0.25">
      <c r="A178" s="39" t="s">
        <v>50</v>
      </c>
      <c r="B178" s="40" t="s">
        <v>516</v>
      </c>
      <c r="C178" s="131" t="s">
        <v>517</v>
      </c>
      <c r="D178" s="132"/>
      <c r="E178" s="41" t="s">
        <v>4</v>
      </c>
      <c r="F178" s="41" t="s">
        <v>4</v>
      </c>
      <c r="G178" s="42" t="s">
        <v>4</v>
      </c>
      <c r="H178" s="43">
        <f>SUM(H179:H182)</f>
        <v>0</v>
      </c>
      <c r="I178" s="43">
        <f>SUM(I179:I182)</f>
        <v>0</v>
      </c>
      <c r="J178" s="43">
        <f>SUM(J179:J182)</f>
        <v>0</v>
      </c>
      <c r="K178" s="44" t="s">
        <v>50</v>
      </c>
      <c r="AI178" s="10" t="s">
        <v>50</v>
      </c>
      <c r="AS178" s="1">
        <f>SUM(AJ179:AJ182)</f>
        <v>0</v>
      </c>
      <c r="AT178" s="1">
        <f>SUM(AK179:AK182)</f>
        <v>0</v>
      </c>
      <c r="AU178" s="1">
        <f>SUM(AL179:AL182)</f>
        <v>0</v>
      </c>
    </row>
    <row r="179" spans="1:76" x14ac:dyDescent="0.25">
      <c r="A179" s="25" t="s">
        <v>518</v>
      </c>
      <c r="B179" s="26" t="s">
        <v>519</v>
      </c>
      <c r="C179" s="123" t="s">
        <v>520</v>
      </c>
      <c r="D179" s="124"/>
      <c r="E179" s="26" t="s">
        <v>56</v>
      </c>
      <c r="F179" s="27">
        <v>1</v>
      </c>
      <c r="G179" s="28">
        <v>0</v>
      </c>
      <c r="H179" s="27">
        <f>F179*AO179</f>
        <v>0</v>
      </c>
      <c r="I179" s="27">
        <f>F179*AP179</f>
        <v>0</v>
      </c>
      <c r="J179" s="27">
        <f>F179*G179</f>
        <v>0</v>
      </c>
      <c r="K179" s="29" t="s">
        <v>57</v>
      </c>
      <c r="Z179" s="30">
        <f>IF(AQ179="5",BJ179,0)</f>
        <v>0</v>
      </c>
      <c r="AB179" s="30">
        <f>IF(AQ179="1",BH179,0)</f>
        <v>0</v>
      </c>
      <c r="AC179" s="30">
        <f>IF(AQ179="1",BI179,0)</f>
        <v>0</v>
      </c>
      <c r="AD179" s="30">
        <f>IF(AQ179="7",BH179,0)</f>
        <v>0</v>
      </c>
      <c r="AE179" s="30">
        <f>IF(AQ179="7",BI179,0)</f>
        <v>0</v>
      </c>
      <c r="AF179" s="30">
        <f>IF(AQ179="2",BH179,0)</f>
        <v>0</v>
      </c>
      <c r="AG179" s="30">
        <f>IF(AQ179="2",BI179,0)</f>
        <v>0</v>
      </c>
      <c r="AH179" s="30">
        <f>IF(AQ179="0",BJ179,0)</f>
        <v>0</v>
      </c>
      <c r="AI179" s="10" t="s">
        <v>50</v>
      </c>
      <c r="AJ179" s="30">
        <f>IF(AN179=0,J179,0)</f>
        <v>0</v>
      </c>
      <c r="AK179" s="30">
        <f>IF(AN179=12,J179,0)</f>
        <v>0</v>
      </c>
      <c r="AL179" s="30">
        <f>IF(AN179=21,J179,0)</f>
        <v>0</v>
      </c>
      <c r="AN179" s="30">
        <v>12</v>
      </c>
      <c r="AO179" s="30">
        <f>G179*0.914563713</f>
        <v>0</v>
      </c>
      <c r="AP179" s="30">
        <f>G179*(1-0.914563713)</f>
        <v>0</v>
      </c>
      <c r="AQ179" s="31" t="s">
        <v>81</v>
      </c>
      <c r="AV179" s="30">
        <f>AW179+AX179</f>
        <v>0</v>
      </c>
      <c r="AW179" s="30">
        <f>F179*AO179</f>
        <v>0</v>
      </c>
      <c r="AX179" s="30">
        <f>F179*AP179</f>
        <v>0</v>
      </c>
      <c r="AY179" s="31" t="s">
        <v>521</v>
      </c>
      <c r="AZ179" s="31" t="s">
        <v>437</v>
      </c>
      <c r="BA179" s="10" t="s">
        <v>60</v>
      </c>
      <c r="BC179" s="30">
        <f>AW179+AX179</f>
        <v>0</v>
      </c>
      <c r="BD179" s="30">
        <f>G179/(100-BE179)*100</f>
        <v>0</v>
      </c>
      <c r="BE179" s="30">
        <v>0</v>
      </c>
      <c r="BF179" s="30">
        <f>179</f>
        <v>179</v>
      </c>
      <c r="BH179" s="30">
        <f>F179*AO179</f>
        <v>0</v>
      </c>
      <c r="BI179" s="30">
        <f>F179*AP179</f>
        <v>0</v>
      </c>
      <c r="BJ179" s="30">
        <f>F179*G179</f>
        <v>0</v>
      </c>
      <c r="BK179" s="30"/>
      <c r="BL179" s="30">
        <v>735</v>
      </c>
      <c r="BW179" s="30">
        <v>12</v>
      </c>
      <c r="BX179" s="4" t="s">
        <v>520</v>
      </c>
    </row>
    <row r="180" spans="1:76" ht="13.5" customHeight="1" x14ac:dyDescent="0.25">
      <c r="A180" s="37"/>
      <c r="B180" s="38" t="s">
        <v>68</v>
      </c>
      <c r="C180" s="127" t="s">
        <v>522</v>
      </c>
      <c r="D180" s="128"/>
      <c r="E180" s="128"/>
      <c r="F180" s="128"/>
      <c r="G180" s="129"/>
      <c r="H180" s="128"/>
      <c r="I180" s="128"/>
      <c r="J180" s="128"/>
      <c r="K180" s="130"/>
    </row>
    <row r="181" spans="1:76" x14ac:dyDescent="0.25">
      <c r="A181" s="25" t="s">
        <v>523</v>
      </c>
      <c r="B181" s="26" t="s">
        <v>524</v>
      </c>
      <c r="C181" s="123" t="s">
        <v>525</v>
      </c>
      <c r="D181" s="124"/>
      <c r="E181" s="26" t="s">
        <v>56</v>
      </c>
      <c r="F181" s="27">
        <v>2</v>
      </c>
      <c r="G181" s="28">
        <v>0</v>
      </c>
      <c r="H181" s="27">
        <f>F181*AO181</f>
        <v>0</v>
      </c>
      <c r="I181" s="27">
        <f>F181*AP181</f>
        <v>0</v>
      </c>
      <c r="J181" s="27">
        <f>F181*G181</f>
        <v>0</v>
      </c>
      <c r="K181" s="29" t="s">
        <v>57</v>
      </c>
      <c r="Z181" s="30">
        <f>IF(AQ181="5",BJ181,0)</f>
        <v>0</v>
      </c>
      <c r="AB181" s="30">
        <f>IF(AQ181="1",BH181,0)</f>
        <v>0</v>
      </c>
      <c r="AC181" s="30">
        <f>IF(AQ181="1",BI181,0)</f>
        <v>0</v>
      </c>
      <c r="AD181" s="30">
        <f>IF(AQ181="7",BH181,0)</f>
        <v>0</v>
      </c>
      <c r="AE181" s="30">
        <f>IF(AQ181="7",BI181,0)</f>
        <v>0</v>
      </c>
      <c r="AF181" s="30">
        <f>IF(AQ181="2",BH181,0)</f>
        <v>0</v>
      </c>
      <c r="AG181" s="30">
        <f>IF(AQ181="2",BI181,0)</f>
        <v>0</v>
      </c>
      <c r="AH181" s="30">
        <f>IF(AQ181="0",BJ181,0)</f>
        <v>0</v>
      </c>
      <c r="AI181" s="10" t="s">
        <v>50</v>
      </c>
      <c r="AJ181" s="30">
        <f>IF(AN181=0,J181,0)</f>
        <v>0</v>
      </c>
      <c r="AK181" s="30">
        <f>IF(AN181=12,J181,0)</f>
        <v>0</v>
      </c>
      <c r="AL181" s="30">
        <f>IF(AN181=21,J181,0)</f>
        <v>0</v>
      </c>
      <c r="AN181" s="30">
        <v>12</v>
      </c>
      <c r="AO181" s="30">
        <f>G181*0.921590032</f>
        <v>0</v>
      </c>
      <c r="AP181" s="30">
        <f>G181*(1-0.921590032)</f>
        <v>0</v>
      </c>
      <c r="AQ181" s="31" t="s">
        <v>81</v>
      </c>
      <c r="AV181" s="30">
        <f>AW181+AX181</f>
        <v>0</v>
      </c>
      <c r="AW181" s="30">
        <f>F181*AO181</f>
        <v>0</v>
      </c>
      <c r="AX181" s="30">
        <f>F181*AP181</f>
        <v>0</v>
      </c>
      <c r="AY181" s="31" t="s">
        <v>521</v>
      </c>
      <c r="AZ181" s="31" t="s">
        <v>437</v>
      </c>
      <c r="BA181" s="10" t="s">
        <v>60</v>
      </c>
      <c r="BC181" s="30">
        <f>AW181+AX181</f>
        <v>0</v>
      </c>
      <c r="BD181" s="30">
        <f>G181/(100-BE181)*100</f>
        <v>0</v>
      </c>
      <c r="BE181" s="30">
        <v>0</v>
      </c>
      <c r="BF181" s="30">
        <f>181</f>
        <v>181</v>
      </c>
      <c r="BH181" s="30">
        <f>F181*AO181</f>
        <v>0</v>
      </c>
      <c r="BI181" s="30">
        <f>F181*AP181</f>
        <v>0</v>
      </c>
      <c r="BJ181" s="30">
        <f>F181*G181</f>
        <v>0</v>
      </c>
      <c r="BK181" s="30"/>
      <c r="BL181" s="30">
        <v>735</v>
      </c>
      <c r="BW181" s="30">
        <v>12</v>
      </c>
      <c r="BX181" s="4" t="s">
        <v>525</v>
      </c>
    </row>
    <row r="182" spans="1:76" x14ac:dyDescent="0.25">
      <c r="A182" s="32" t="s">
        <v>526</v>
      </c>
      <c r="B182" s="33" t="s">
        <v>527</v>
      </c>
      <c r="C182" s="125" t="s">
        <v>528</v>
      </c>
      <c r="D182" s="126"/>
      <c r="E182" s="33" t="s">
        <v>90</v>
      </c>
      <c r="F182" s="34">
        <v>1.6920000000000001E-2</v>
      </c>
      <c r="G182" s="35">
        <v>0</v>
      </c>
      <c r="H182" s="34">
        <f>F182*AO182</f>
        <v>0</v>
      </c>
      <c r="I182" s="34">
        <f>F182*AP182</f>
        <v>0</v>
      </c>
      <c r="J182" s="34">
        <f>F182*G182</f>
        <v>0</v>
      </c>
      <c r="K182" s="36" t="s">
        <v>57</v>
      </c>
      <c r="Z182" s="30">
        <f>IF(AQ182="5",BJ182,0)</f>
        <v>0</v>
      </c>
      <c r="AB182" s="30">
        <f>IF(AQ182="1",BH182,0)</f>
        <v>0</v>
      </c>
      <c r="AC182" s="30">
        <f>IF(AQ182="1",BI182,0)</f>
        <v>0</v>
      </c>
      <c r="AD182" s="30">
        <f>IF(AQ182="7",BH182,0)</f>
        <v>0</v>
      </c>
      <c r="AE182" s="30">
        <f>IF(AQ182="7",BI182,0)</f>
        <v>0</v>
      </c>
      <c r="AF182" s="30">
        <f>IF(AQ182="2",BH182,0)</f>
        <v>0</v>
      </c>
      <c r="AG182" s="30">
        <f>IF(AQ182="2",BI182,0)</f>
        <v>0</v>
      </c>
      <c r="AH182" s="30">
        <f>IF(AQ182="0",BJ182,0)</f>
        <v>0</v>
      </c>
      <c r="AI182" s="10" t="s">
        <v>50</v>
      </c>
      <c r="AJ182" s="30">
        <f>IF(AN182=0,J182,0)</f>
        <v>0</v>
      </c>
      <c r="AK182" s="30">
        <f>IF(AN182=12,J182,0)</f>
        <v>0</v>
      </c>
      <c r="AL182" s="30">
        <f>IF(AN182=21,J182,0)</f>
        <v>0</v>
      </c>
      <c r="AN182" s="30">
        <v>12</v>
      </c>
      <c r="AO182" s="30">
        <f>G182*0</f>
        <v>0</v>
      </c>
      <c r="AP182" s="30">
        <f>G182*(1-0)</f>
        <v>0</v>
      </c>
      <c r="AQ182" s="31" t="s">
        <v>74</v>
      </c>
      <c r="AV182" s="30">
        <f>AW182+AX182</f>
        <v>0</v>
      </c>
      <c r="AW182" s="30">
        <f>F182*AO182</f>
        <v>0</v>
      </c>
      <c r="AX182" s="30">
        <f>F182*AP182</f>
        <v>0</v>
      </c>
      <c r="AY182" s="31" t="s">
        <v>521</v>
      </c>
      <c r="AZ182" s="31" t="s">
        <v>437</v>
      </c>
      <c r="BA182" s="10" t="s">
        <v>60</v>
      </c>
      <c r="BC182" s="30">
        <f>AW182+AX182</f>
        <v>0</v>
      </c>
      <c r="BD182" s="30">
        <f>G182/(100-BE182)*100</f>
        <v>0</v>
      </c>
      <c r="BE182" s="30">
        <v>0</v>
      </c>
      <c r="BF182" s="30">
        <f>182</f>
        <v>182</v>
      </c>
      <c r="BH182" s="30">
        <f>F182*AO182</f>
        <v>0</v>
      </c>
      <c r="BI182" s="30">
        <f>F182*AP182</f>
        <v>0</v>
      </c>
      <c r="BJ182" s="30">
        <f>F182*G182</f>
        <v>0</v>
      </c>
      <c r="BK182" s="30"/>
      <c r="BL182" s="30">
        <v>735</v>
      </c>
      <c r="BW182" s="30">
        <v>12</v>
      </c>
      <c r="BX182" s="4" t="s">
        <v>528</v>
      </c>
    </row>
    <row r="183" spans="1:76" x14ac:dyDescent="0.25">
      <c r="A183" s="39" t="s">
        <v>50</v>
      </c>
      <c r="B183" s="40" t="s">
        <v>529</v>
      </c>
      <c r="C183" s="131" t="s">
        <v>530</v>
      </c>
      <c r="D183" s="132"/>
      <c r="E183" s="41" t="s">
        <v>4</v>
      </c>
      <c r="F183" s="41" t="s">
        <v>4</v>
      </c>
      <c r="G183" s="42" t="s">
        <v>4</v>
      </c>
      <c r="H183" s="43">
        <f>SUM(H184:H187)</f>
        <v>0</v>
      </c>
      <c r="I183" s="43">
        <f>SUM(I184:I187)</f>
        <v>0</v>
      </c>
      <c r="J183" s="43">
        <f>SUM(J184:J187)</f>
        <v>0</v>
      </c>
      <c r="K183" s="44" t="s">
        <v>50</v>
      </c>
      <c r="AI183" s="10" t="s">
        <v>50</v>
      </c>
      <c r="AS183" s="1">
        <f>SUM(AJ184:AJ187)</f>
        <v>0</v>
      </c>
      <c r="AT183" s="1">
        <f>SUM(AK184:AK187)</f>
        <v>0</v>
      </c>
      <c r="AU183" s="1">
        <f>SUM(AL184:AL187)</f>
        <v>0</v>
      </c>
    </row>
    <row r="184" spans="1:76" x14ac:dyDescent="0.25">
      <c r="A184" s="25" t="s">
        <v>531</v>
      </c>
      <c r="B184" s="26" t="s">
        <v>532</v>
      </c>
      <c r="C184" s="123" t="s">
        <v>533</v>
      </c>
      <c r="D184" s="124"/>
      <c r="E184" s="26" t="s">
        <v>64</v>
      </c>
      <c r="F184" s="27">
        <v>3.25</v>
      </c>
      <c r="G184" s="28">
        <v>0</v>
      </c>
      <c r="H184" s="27">
        <f>F184*AO184</f>
        <v>0</v>
      </c>
      <c r="I184" s="27">
        <f>F184*AP184</f>
        <v>0</v>
      </c>
      <c r="J184" s="27">
        <f>F184*G184</f>
        <v>0</v>
      </c>
      <c r="K184" s="29" t="s">
        <v>57</v>
      </c>
      <c r="Z184" s="30">
        <f>IF(AQ184="5",BJ184,0)</f>
        <v>0</v>
      </c>
      <c r="AB184" s="30">
        <f>IF(AQ184="1",BH184,0)</f>
        <v>0</v>
      </c>
      <c r="AC184" s="30">
        <f>IF(AQ184="1",BI184,0)</f>
        <v>0</v>
      </c>
      <c r="AD184" s="30">
        <f>IF(AQ184="7",BH184,0)</f>
        <v>0</v>
      </c>
      <c r="AE184" s="30">
        <f>IF(AQ184="7",BI184,0)</f>
        <v>0</v>
      </c>
      <c r="AF184" s="30">
        <f>IF(AQ184="2",BH184,0)</f>
        <v>0</v>
      </c>
      <c r="AG184" s="30">
        <f>IF(AQ184="2",BI184,0)</f>
        <v>0</v>
      </c>
      <c r="AH184" s="30">
        <f>IF(AQ184="0",BJ184,0)</f>
        <v>0</v>
      </c>
      <c r="AI184" s="10" t="s">
        <v>50</v>
      </c>
      <c r="AJ184" s="30">
        <f>IF(AN184=0,J184,0)</f>
        <v>0</v>
      </c>
      <c r="AK184" s="30">
        <f>IF(AN184=12,J184,0)</f>
        <v>0</v>
      </c>
      <c r="AL184" s="30">
        <f>IF(AN184=21,J184,0)</f>
        <v>0</v>
      </c>
      <c r="AN184" s="30">
        <v>12</v>
      </c>
      <c r="AO184" s="30">
        <f>G184*0</f>
        <v>0</v>
      </c>
      <c r="AP184" s="30">
        <f>G184*(1-0)</f>
        <v>0</v>
      </c>
      <c r="AQ184" s="31" t="s">
        <v>81</v>
      </c>
      <c r="AV184" s="30">
        <f>AW184+AX184</f>
        <v>0</v>
      </c>
      <c r="AW184" s="30">
        <f>F184*AO184</f>
        <v>0</v>
      </c>
      <c r="AX184" s="30">
        <f>F184*AP184</f>
        <v>0</v>
      </c>
      <c r="AY184" s="31" t="s">
        <v>534</v>
      </c>
      <c r="AZ184" s="31" t="s">
        <v>535</v>
      </c>
      <c r="BA184" s="10" t="s">
        <v>60</v>
      </c>
      <c r="BC184" s="30">
        <f>AW184+AX184</f>
        <v>0</v>
      </c>
      <c r="BD184" s="30">
        <f>G184/(100-BE184)*100</f>
        <v>0</v>
      </c>
      <c r="BE184" s="30">
        <v>0</v>
      </c>
      <c r="BF184" s="30">
        <f>184</f>
        <v>184</v>
      </c>
      <c r="BH184" s="30">
        <f>F184*AO184</f>
        <v>0</v>
      </c>
      <c r="BI184" s="30">
        <f>F184*AP184</f>
        <v>0</v>
      </c>
      <c r="BJ184" s="30">
        <f>F184*G184</f>
        <v>0</v>
      </c>
      <c r="BK184" s="30"/>
      <c r="BL184" s="30">
        <v>762</v>
      </c>
      <c r="BW184" s="30">
        <v>12</v>
      </c>
      <c r="BX184" s="4" t="s">
        <v>533</v>
      </c>
    </row>
    <row r="185" spans="1:76" x14ac:dyDescent="0.25">
      <c r="A185" s="32" t="s">
        <v>536</v>
      </c>
      <c r="B185" s="33" t="s">
        <v>537</v>
      </c>
      <c r="C185" s="125" t="s">
        <v>538</v>
      </c>
      <c r="D185" s="126"/>
      <c r="E185" s="33" t="s">
        <v>64</v>
      </c>
      <c r="F185" s="34">
        <v>3.25</v>
      </c>
      <c r="G185" s="35">
        <v>0</v>
      </c>
      <c r="H185" s="34">
        <f>F185*AO185</f>
        <v>0</v>
      </c>
      <c r="I185" s="34">
        <f>F185*AP185</f>
        <v>0</v>
      </c>
      <c r="J185" s="34">
        <f>F185*G185</f>
        <v>0</v>
      </c>
      <c r="K185" s="36" t="s">
        <v>57</v>
      </c>
      <c r="Z185" s="30">
        <f>IF(AQ185="5",BJ185,0)</f>
        <v>0</v>
      </c>
      <c r="AB185" s="30">
        <f>IF(AQ185="1",BH185,0)</f>
        <v>0</v>
      </c>
      <c r="AC185" s="30">
        <f>IF(AQ185="1",BI185,0)</f>
        <v>0</v>
      </c>
      <c r="AD185" s="30">
        <f>IF(AQ185="7",BH185,0)</f>
        <v>0</v>
      </c>
      <c r="AE185" s="30">
        <f>IF(AQ185="7",BI185,0)</f>
        <v>0</v>
      </c>
      <c r="AF185" s="30">
        <f>IF(AQ185="2",BH185,0)</f>
        <v>0</v>
      </c>
      <c r="AG185" s="30">
        <f>IF(AQ185="2",BI185,0)</f>
        <v>0</v>
      </c>
      <c r="AH185" s="30">
        <f>IF(AQ185="0",BJ185,0)</f>
        <v>0</v>
      </c>
      <c r="AI185" s="10" t="s">
        <v>50</v>
      </c>
      <c r="AJ185" s="30">
        <f>IF(AN185=0,J185,0)</f>
        <v>0</v>
      </c>
      <c r="AK185" s="30">
        <f>IF(AN185=12,J185,0)</f>
        <v>0</v>
      </c>
      <c r="AL185" s="30">
        <f>IF(AN185=21,J185,0)</f>
        <v>0</v>
      </c>
      <c r="AN185" s="30">
        <v>12</v>
      </c>
      <c r="AO185" s="30">
        <f>G185*0.716490872</f>
        <v>0</v>
      </c>
      <c r="AP185" s="30">
        <f>G185*(1-0.716490872)</f>
        <v>0</v>
      </c>
      <c r="AQ185" s="31" t="s">
        <v>81</v>
      </c>
      <c r="AV185" s="30">
        <f>AW185+AX185</f>
        <v>0</v>
      </c>
      <c r="AW185" s="30">
        <f>F185*AO185</f>
        <v>0</v>
      </c>
      <c r="AX185" s="30">
        <f>F185*AP185</f>
        <v>0</v>
      </c>
      <c r="AY185" s="31" t="s">
        <v>534</v>
      </c>
      <c r="AZ185" s="31" t="s">
        <v>535</v>
      </c>
      <c r="BA185" s="10" t="s">
        <v>60</v>
      </c>
      <c r="BC185" s="30">
        <f>AW185+AX185</f>
        <v>0</v>
      </c>
      <c r="BD185" s="30">
        <f>G185/(100-BE185)*100</f>
        <v>0</v>
      </c>
      <c r="BE185" s="30">
        <v>0</v>
      </c>
      <c r="BF185" s="30">
        <f>185</f>
        <v>185</v>
      </c>
      <c r="BH185" s="30">
        <f>F185*AO185</f>
        <v>0</v>
      </c>
      <c r="BI185" s="30">
        <f>F185*AP185</f>
        <v>0</v>
      </c>
      <c r="BJ185" s="30">
        <f>F185*G185</f>
        <v>0</v>
      </c>
      <c r="BK185" s="30"/>
      <c r="BL185" s="30">
        <v>762</v>
      </c>
      <c r="BW185" s="30">
        <v>12</v>
      </c>
      <c r="BX185" s="4" t="s">
        <v>538</v>
      </c>
    </row>
    <row r="186" spans="1:76" ht="13.5" customHeight="1" x14ac:dyDescent="0.25">
      <c r="A186" s="37"/>
      <c r="B186" s="38" t="s">
        <v>68</v>
      </c>
      <c r="C186" s="127" t="s">
        <v>539</v>
      </c>
      <c r="D186" s="128"/>
      <c r="E186" s="128"/>
      <c r="F186" s="128"/>
      <c r="G186" s="129"/>
      <c r="H186" s="128"/>
      <c r="I186" s="128"/>
      <c r="J186" s="128"/>
      <c r="K186" s="130"/>
    </row>
    <row r="187" spans="1:76" x14ac:dyDescent="0.25">
      <c r="A187" s="25" t="s">
        <v>540</v>
      </c>
      <c r="B187" s="26" t="s">
        <v>541</v>
      </c>
      <c r="C187" s="123" t="s">
        <v>542</v>
      </c>
      <c r="D187" s="124"/>
      <c r="E187" s="26" t="s">
        <v>90</v>
      </c>
      <c r="F187" s="27">
        <v>9.1850000000000001E-2</v>
      </c>
      <c r="G187" s="28">
        <v>0</v>
      </c>
      <c r="H187" s="27">
        <f>F187*AO187</f>
        <v>0</v>
      </c>
      <c r="I187" s="27">
        <f>F187*AP187</f>
        <v>0</v>
      </c>
      <c r="J187" s="27">
        <f>F187*G187</f>
        <v>0</v>
      </c>
      <c r="K187" s="29" t="s">
        <v>57</v>
      </c>
      <c r="Z187" s="30">
        <f>IF(AQ187="5",BJ187,0)</f>
        <v>0</v>
      </c>
      <c r="AB187" s="30">
        <f>IF(AQ187="1",BH187,0)</f>
        <v>0</v>
      </c>
      <c r="AC187" s="30">
        <f>IF(AQ187="1",BI187,0)</f>
        <v>0</v>
      </c>
      <c r="AD187" s="30">
        <f>IF(AQ187="7",BH187,0)</f>
        <v>0</v>
      </c>
      <c r="AE187" s="30">
        <f>IF(AQ187="7",BI187,0)</f>
        <v>0</v>
      </c>
      <c r="AF187" s="30">
        <f>IF(AQ187="2",BH187,0)</f>
        <v>0</v>
      </c>
      <c r="AG187" s="30">
        <f>IF(AQ187="2",BI187,0)</f>
        <v>0</v>
      </c>
      <c r="AH187" s="30">
        <f>IF(AQ187="0",BJ187,0)</f>
        <v>0</v>
      </c>
      <c r="AI187" s="10" t="s">
        <v>50</v>
      </c>
      <c r="AJ187" s="30">
        <f>IF(AN187=0,J187,0)</f>
        <v>0</v>
      </c>
      <c r="AK187" s="30">
        <f>IF(AN187=12,J187,0)</f>
        <v>0</v>
      </c>
      <c r="AL187" s="30">
        <f>IF(AN187=21,J187,0)</f>
        <v>0</v>
      </c>
      <c r="AN187" s="30">
        <v>12</v>
      </c>
      <c r="AO187" s="30">
        <f>G187*0</f>
        <v>0</v>
      </c>
      <c r="AP187" s="30">
        <f>G187*(1-0)</f>
        <v>0</v>
      </c>
      <c r="AQ187" s="31" t="s">
        <v>74</v>
      </c>
      <c r="AV187" s="30">
        <f>AW187+AX187</f>
        <v>0</v>
      </c>
      <c r="AW187" s="30">
        <f>F187*AO187</f>
        <v>0</v>
      </c>
      <c r="AX187" s="30">
        <f>F187*AP187</f>
        <v>0</v>
      </c>
      <c r="AY187" s="31" t="s">
        <v>534</v>
      </c>
      <c r="AZ187" s="31" t="s">
        <v>535</v>
      </c>
      <c r="BA187" s="10" t="s">
        <v>60</v>
      </c>
      <c r="BC187" s="30">
        <f>AW187+AX187</f>
        <v>0</v>
      </c>
      <c r="BD187" s="30">
        <f>G187/(100-BE187)*100</f>
        <v>0</v>
      </c>
      <c r="BE187" s="30">
        <v>0</v>
      </c>
      <c r="BF187" s="30">
        <f>187</f>
        <v>187</v>
      </c>
      <c r="BH187" s="30">
        <f>F187*AO187</f>
        <v>0</v>
      </c>
      <c r="BI187" s="30">
        <f>F187*AP187</f>
        <v>0</v>
      </c>
      <c r="BJ187" s="30">
        <f>F187*G187</f>
        <v>0</v>
      </c>
      <c r="BK187" s="30"/>
      <c r="BL187" s="30">
        <v>762</v>
      </c>
      <c r="BW187" s="30">
        <v>12</v>
      </c>
      <c r="BX187" s="4" t="s">
        <v>542</v>
      </c>
    </row>
    <row r="188" spans="1:76" x14ac:dyDescent="0.25">
      <c r="A188" s="39" t="s">
        <v>50</v>
      </c>
      <c r="B188" s="40" t="s">
        <v>543</v>
      </c>
      <c r="C188" s="131" t="s">
        <v>544</v>
      </c>
      <c r="D188" s="132"/>
      <c r="E188" s="41" t="s">
        <v>4</v>
      </c>
      <c r="F188" s="41" t="s">
        <v>4</v>
      </c>
      <c r="G188" s="42" t="s">
        <v>4</v>
      </c>
      <c r="H188" s="43">
        <f>SUM(H189:H195)</f>
        <v>0</v>
      </c>
      <c r="I188" s="43">
        <f>SUM(I189:I195)</f>
        <v>0</v>
      </c>
      <c r="J188" s="43">
        <f>SUM(J189:J195)</f>
        <v>0</v>
      </c>
      <c r="K188" s="44" t="s">
        <v>50</v>
      </c>
      <c r="AI188" s="10" t="s">
        <v>50</v>
      </c>
      <c r="AS188" s="1">
        <f>SUM(AJ189:AJ195)</f>
        <v>0</v>
      </c>
      <c r="AT188" s="1">
        <f>SUM(AK189:AK195)</f>
        <v>0</v>
      </c>
      <c r="AU188" s="1">
        <f>SUM(AL189:AL195)</f>
        <v>0</v>
      </c>
    </row>
    <row r="189" spans="1:76" x14ac:dyDescent="0.25">
      <c r="A189" s="25" t="s">
        <v>545</v>
      </c>
      <c r="B189" s="26" t="s">
        <v>546</v>
      </c>
      <c r="C189" s="123" t="s">
        <v>547</v>
      </c>
      <c r="D189" s="124"/>
      <c r="E189" s="26" t="s">
        <v>56</v>
      </c>
      <c r="F189" s="27">
        <v>1</v>
      </c>
      <c r="G189" s="28">
        <v>0</v>
      </c>
      <c r="H189" s="27">
        <f>F189*AO189</f>
        <v>0</v>
      </c>
      <c r="I189" s="27">
        <f>F189*AP189</f>
        <v>0</v>
      </c>
      <c r="J189" s="27">
        <f>F189*G189</f>
        <v>0</v>
      </c>
      <c r="K189" s="29" t="s">
        <v>57</v>
      </c>
      <c r="Z189" s="30">
        <f>IF(AQ189="5",BJ189,0)</f>
        <v>0</v>
      </c>
      <c r="AB189" s="30">
        <f>IF(AQ189="1",BH189,0)</f>
        <v>0</v>
      </c>
      <c r="AC189" s="30">
        <f>IF(AQ189="1",BI189,0)</f>
        <v>0</v>
      </c>
      <c r="AD189" s="30">
        <f>IF(AQ189="7",BH189,0)</f>
        <v>0</v>
      </c>
      <c r="AE189" s="30">
        <f>IF(AQ189="7",BI189,0)</f>
        <v>0</v>
      </c>
      <c r="AF189" s="30">
        <f>IF(AQ189="2",BH189,0)</f>
        <v>0</v>
      </c>
      <c r="AG189" s="30">
        <f>IF(AQ189="2",BI189,0)</f>
        <v>0</v>
      </c>
      <c r="AH189" s="30">
        <f>IF(AQ189="0",BJ189,0)</f>
        <v>0</v>
      </c>
      <c r="AI189" s="10" t="s">
        <v>50</v>
      </c>
      <c r="AJ189" s="30">
        <f>IF(AN189=0,J189,0)</f>
        <v>0</v>
      </c>
      <c r="AK189" s="30">
        <f>IF(AN189=12,J189,0)</f>
        <v>0</v>
      </c>
      <c r="AL189" s="30">
        <f>IF(AN189=21,J189,0)</f>
        <v>0</v>
      </c>
      <c r="AN189" s="30">
        <v>12</v>
      </c>
      <c r="AO189" s="30">
        <f>G189*0</f>
        <v>0</v>
      </c>
      <c r="AP189" s="30">
        <f>G189*(1-0)</f>
        <v>0</v>
      </c>
      <c r="AQ189" s="31" t="s">
        <v>81</v>
      </c>
      <c r="AV189" s="30">
        <f>AW189+AX189</f>
        <v>0</v>
      </c>
      <c r="AW189" s="30">
        <f>F189*AO189</f>
        <v>0</v>
      </c>
      <c r="AX189" s="30">
        <f>F189*AP189</f>
        <v>0</v>
      </c>
      <c r="AY189" s="31" t="s">
        <v>548</v>
      </c>
      <c r="AZ189" s="31" t="s">
        <v>535</v>
      </c>
      <c r="BA189" s="10" t="s">
        <v>60</v>
      </c>
      <c r="BC189" s="30">
        <f>AW189+AX189</f>
        <v>0</v>
      </c>
      <c r="BD189" s="30">
        <f>G189/(100-BE189)*100</f>
        <v>0</v>
      </c>
      <c r="BE189" s="30">
        <v>0</v>
      </c>
      <c r="BF189" s="30">
        <f>189</f>
        <v>189</v>
      </c>
      <c r="BH189" s="30">
        <f>F189*AO189</f>
        <v>0</v>
      </c>
      <c r="BI189" s="30">
        <f>F189*AP189</f>
        <v>0</v>
      </c>
      <c r="BJ189" s="30">
        <f>F189*G189</f>
        <v>0</v>
      </c>
      <c r="BK189" s="30"/>
      <c r="BL189" s="30">
        <v>766</v>
      </c>
      <c r="BW189" s="30">
        <v>12</v>
      </c>
      <c r="BX189" s="4" t="s">
        <v>547</v>
      </c>
    </row>
    <row r="190" spans="1:76" x14ac:dyDescent="0.25">
      <c r="A190" s="32" t="s">
        <v>549</v>
      </c>
      <c r="B190" s="33" t="s">
        <v>550</v>
      </c>
      <c r="C190" s="125" t="s">
        <v>551</v>
      </c>
      <c r="D190" s="126"/>
      <c r="E190" s="33" t="s">
        <v>56</v>
      </c>
      <c r="F190" s="34">
        <v>1</v>
      </c>
      <c r="G190" s="35">
        <v>0</v>
      </c>
      <c r="H190" s="34">
        <f>F190*AO190</f>
        <v>0</v>
      </c>
      <c r="I190" s="34">
        <f>F190*AP190</f>
        <v>0</v>
      </c>
      <c r="J190" s="34">
        <f>F190*G190</f>
        <v>0</v>
      </c>
      <c r="K190" s="36" t="s">
        <v>57</v>
      </c>
      <c r="Z190" s="30">
        <f>IF(AQ190="5",BJ190,0)</f>
        <v>0</v>
      </c>
      <c r="AB190" s="30">
        <f>IF(AQ190="1",BH190,0)</f>
        <v>0</v>
      </c>
      <c r="AC190" s="30">
        <f>IF(AQ190="1",BI190,0)</f>
        <v>0</v>
      </c>
      <c r="AD190" s="30">
        <f>IF(AQ190="7",BH190,0)</f>
        <v>0</v>
      </c>
      <c r="AE190" s="30">
        <f>IF(AQ190="7",BI190,0)</f>
        <v>0</v>
      </c>
      <c r="AF190" s="30">
        <f>IF(AQ190="2",BH190,0)</f>
        <v>0</v>
      </c>
      <c r="AG190" s="30">
        <f>IF(AQ190="2",BI190,0)</f>
        <v>0</v>
      </c>
      <c r="AH190" s="30">
        <f>IF(AQ190="0",BJ190,0)</f>
        <v>0</v>
      </c>
      <c r="AI190" s="10" t="s">
        <v>50</v>
      </c>
      <c r="AJ190" s="30">
        <f>IF(AN190=0,J190,0)</f>
        <v>0</v>
      </c>
      <c r="AK190" s="30">
        <f>IF(AN190=12,J190,0)</f>
        <v>0</v>
      </c>
      <c r="AL190" s="30">
        <f>IF(AN190=21,J190,0)</f>
        <v>0</v>
      </c>
      <c r="AN190" s="30">
        <v>12</v>
      </c>
      <c r="AO190" s="30">
        <f>G190*0.864497362</f>
        <v>0</v>
      </c>
      <c r="AP190" s="30">
        <f>G190*(1-0.864497362)</f>
        <v>0</v>
      </c>
      <c r="AQ190" s="31" t="s">
        <v>81</v>
      </c>
      <c r="AV190" s="30">
        <f>AW190+AX190</f>
        <v>0</v>
      </c>
      <c r="AW190" s="30">
        <f>F190*AO190</f>
        <v>0</v>
      </c>
      <c r="AX190" s="30">
        <f>F190*AP190</f>
        <v>0</v>
      </c>
      <c r="AY190" s="31" t="s">
        <v>548</v>
      </c>
      <c r="AZ190" s="31" t="s">
        <v>535</v>
      </c>
      <c r="BA190" s="10" t="s">
        <v>60</v>
      </c>
      <c r="BC190" s="30">
        <f>AW190+AX190</f>
        <v>0</v>
      </c>
      <c r="BD190" s="30">
        <f>G190/(100-BE190)*100</f>
        <v>0</v>
      </c>
      <c r="BE190" s="30">
        <v>0</v>
      </c>
      <c r="BF190" s="30">
        <f>190</f>
        <v>190</v>
      </c>
      <c r="BH190" s="30">
        <f>F190*AO190</f>
        <v>0</v>
      </c>
      <c r="BI190" s="30">
        <f>F190*AP190</f>
        <v>0</v>
      </c>
      <c r="BJ190" s="30">
        <f>F190*G190</f>
        <v>0</v>
      </c>
      <c r="BK190" s="30"/>
      <c r="BL190" s="30">
        <v>766</v>
      </c>
      <c r="BW190" s="30">
        <v>12</v>
      </c>
      <c r="BX190" s="4" t="s">
        <v>551</v>
      </c>
    </row>
    <row r="191" spans="1:76" ht="13.5" customHeight="1" x14ac:dyDescent="0.25">
      <c r="A191" s="37"/>
      <c r="B191" s="38" t="s">
        <v>68</v>
      </c>
      <c r="C191" s="127" t="s">
        <v>552</v>
      </c>
      <c r="D191" s="128"/>
      <c r="E191" s="128"/>
      <c r="F191" s="128"/>
      <c r="G191" s="129"/>
      <c r="H191" s="128"/>
      <c r="I191" s="128"/>
      <c r="J191" s="128"/>
      <c r="K191" s="130"/>
    </row>
    <row r="192" spans="1:76" x14ac:dyDescent="0.25">
      <c r="A192" s="25" t="s">
        <v>553</v>
      </c>
      <c r="B192" s="26" t="s">
        <v>554</v>
      </c>
      <c r="C192" s="123" t="s">
        <v>555</v>
      </c>
      <c r="D192" s="124"/>
      <c r="E192" s="26" t="s">
        <v>56</v>
      </c>
      <c r="F192" s="27">
        <v>1</v>
      </c>
      <c r="G192" s="28">
        <v>0</v>
      </c>
      <c r="H192" s="27">
        <f>F192*AO192</f>
        <v>0</v>
      </c>
      <c r="I192" s="27">
        <f>F192*AP192</f>
        <v>0</v>
      </c>
      <c r="J192" s="27">
        <f>F192*G192</f>
        <v>0</v>
      </c>
      <c r="K192" s="29" t="s">
        <v>57</v>
      </c>
      <c r="Z192" s="30">
        <f>IF(AQ192="5",BJ192,0)</f>
        <v>0</v>
      </c>
      <c r="AB192" s="30">
        <f>IF(AQ192="1",BH192,0)</f>
        <v>0</v>
      </c>
      <c r="AC192" s="30">
        <f>IF(AQ192="1",BI192,0)</f>
        <v>0</v>
      </c>
      <c r="AD192" s="30">
        <f>IF(AQ192="7",BH192,0)</f>
        <v>0</v>
      </c>
      <c r="AE192" s="30">
        <f>IF(AQ192="7",BI192,0)</f>
        <v>0</v>
      </c>
      <c r="AF192" s="30">
        <f>IF(AQ192="2",BH192,0)</f>
        <v>0</v>
      </c>
      <c r="AG192" s="30">
        <f>IF(AQ192="2",BI192,0)</f>
        <v>0</v>
      </c>
      <c r="AH192" s="30">
        <f>IF(AQ192="0",BJ192,0)</f>
        <v>0</v>
      </c>
      <c r="AI192" s="10" t="s">
        <v>50</v>
      </c>
      <c r="AJ192" s="30">
        <f>IF(AN192=0,J192,0)</f>
        <v>0</v>
      </c>
      <c r="AK192" s="30">
        <f>IF(AN192=12,J192,0)</f>
        <v>0</v>
      </c>
      <c r="AL192" s="30">
        <f>IF(AN192=21,J192,0)</f>
        <v>0</v>
      </c>
      <c r="AN192" s="30">
        <v>12</v>
      </c>
      <c r="AO192" s="30">
        <f>G192*0</f>
        <v>0</v>
      </c>
      <c r="AP192" s="30">
        <f>G192*(1-0)</f>
        <v>0</v>
      </c>
      <c r="AQ192" s="31" t="s">
        <v>81</v>
      </c>
      <c r="AV192" s="30">
        <f>AW192+AX192</f>
        <v>0</v>
      </c>
      <c r="AW192" s="30">
        <f>F192*AO192</f>
        <v>0</v>
      </c>
      <c r="AX192" s="30">
        <f>F192*AP192</f>
        <v>0</v>
      </c>
      <c r="AY192" s="31" t="s">
        <v>548</v>
      </c>
      <c r="AZ192" s="31" t="s">
        <v>535</v>
      </c>
      <c r="BA192" s="10" t="s">
        <v>60</v>
      </c>
      <c r="BC192" s="30">
        <f>AW192+AX192</f>
        <v>0</v>
      </c>
      <c r="BD192" s="30">
        <f>G192/(100-BE192)*100</f>
        <v>0</v>
      </c>
      <c r="BE192" s="30">
        <v>0</v>
      </c>
      <c r="BF192" s="30">
        <f>192</f>
        <v>192</v>
      </c>
      <c r="BH192" s="30">
        <f>F192*AO192</f>
        <v>0</v>
      </c>
      <c r="BI192" s="30">
        <f>F192*AP192</f>
        <v>0</v>
      </c>
      <c r="BJ192" s="30">
        <f>F192*G192</f>
        <v>0</v>
      </c>
      <c r="BK192" s="30"/>
      <c r="BL192" s="30">
        <v>766</v>
      </c>
      <c r="BW192" s="30">
        <v>12</v>
      </c>
      <c r="BX192" s="4" t="s">
        <v>555</v>
      </c>
    </row>
    <row r="193" spans="1:76" x14ac:dyDescent="0.25">
      <c r="A193" s="32" t="s">
        <v>556</v>
      </c>
      <c r="B193" s="33" t="s">
        <v>557</v>
      </c>
      <c r="C193" s="125" t="s">
        <v>558</v>
      </c>
      <c r="D193" s="126"/>
      <c r="E193" s="33" t="s">
        <v>56</v>
      </c>
      <c r="F193" s="34">
        <v>1</v>
      </c>
      <c r="G193" s="35">
        <v>0</v>
      </c>
      <c r="H193" s="34">
        <f>F193*AO193</f>
        <v>0</v>
      </c>
      <c r="I193" s="34">
        <f>F193*AP193</f>
        <v>0</v>
      </c>
      <c r="J193" s="34">
        <f>F193*G193</f>
        <v>0</v>
      </c>
      <c r="K193" s="36" t="s">
        <v>57</v>
      </c>
      <c r="Z193" s="30">
        <f>IF(AQ193="5",BJ193,0)</f>
        <v>0</v>
      </c>
      <c r="AB193" s="30">
        <f>IF(AQ193="1",BH193,0)</f>
        <v>0</v>
      </c>
      <c r="AC193" s="30">
        <f>IF(AQ193="1",BI193,0)</f>
        <v>0</v>
      </c>
      <c r="AD193" s="30">
        <f>IF(AQ193="7",BH193,0)</f>
        <v>0</v>
      </c>
      <c r="AE193" s="30">
        <f>IF(AQ193="7",BI193,0)</f>
        <v>0</v>
      </c>
      <c r="AF193" s="30">
        <f>IF(AQ193="2",BH193,0)</f>
        <v>0</v>
      </c>
      <c r="AG193" s="30">
        <f>IF(AQ193="2",BI193,0)</f>
        <v>0</v>
      </c>
      <c r="AH193" s="30">
        <f>IF(AQ193="0",BJ193,0)</f>
        <v>0</v>
      </c>
      <c r="AI193" s="10" t="s">
        <v>50</v>
      </c>
      <c r="AJ193" s="30">
        <f>IF(AN193=0,J193,0)</f>
        <v>0</v>
      </c>
      <c r="AK193" s="30">
        <f>IF(AN193=12,J193,0)</f>
        <v>0</v>
      </c>
      <c r="AL193" s="30">
        <f>IF(AN193=21,J193,0)</f>
        <v>0</v>
      </c>
      <c r="AN193" s="30">
        <v>12</v>
      </c>
      <c r="AO193" s="30">
        <f>G193*0.005076923</f>
        <v>0</v>
      </c>
      <c r="AP193" s="30">
        <f>G193*(1-0.005076923)</f>
        <v>0</v>
      </c>
      <c r="AQ193" s="31" t="s">
        <v>81</v>
      </c>
      <c r="AV193" s="30">
        <f>AW193+AX193</f>
        <v>0</v>
      </c>
      <c r="AW193" s="30">
        <f>F193*AO193</f>
        <v>0</v>
      </c>
      <c r="AX193" s="30">
        <f>F193*AP193</f>
        <v>0</v>
      </c>
      <c r="AY193" s="31" t="s">
        <v>548</v>
      </c>
      <c r="AZ193" s="31" t="s">
        <v>535</v>
      </c>
      <c r="BA193" s="10" t="s">
        <v>60</v>
      </c>
      <c r="BC193" s="30">
        <f>AW193+AX193</f>
        <v>0</v>
      </c>
      <c r="BD193" s="30">
        <f>G193/(100-BE193)*100</f>
        <v>0</v>
      </c>
      <c r="BE193" s="30">
        <v>0</v>
      </c>
      <c r="BF193" s="30">
        <f>193</f>
        <v>193</v>
      </c>
      <c r="BH193" s="30">
        <f>F193*AO193</f>
        <v>0</v>
      </c>
      <c r="BI193" s="30">
        <f>F193*AP193</f>
        <v>0</v>
      </c>
      <c r="BJ193" s="30">
        <f>F193*G193</f>
        <v>0</v>
      </c>
      <c r="BK193" s="30"/>
      <c r="BL193" s="30">
        <v>766</v>
      </c>
      <c r="BW193" s="30">
        <v>12</v>
      </c>
      <c r="BX193" s="4" t="s">
        <v>558</v>
      </c>
    </row>
    <row r="194" spans="1:76" x14ac:dyDescent="0.25">
      <c r="A194" s="32" t="s">
        <v>559</v>
      </c>
      <c r="B194" s="33" t="s">
        <v>560</v>
      </c>
      <c r="C194" s="125" t="s">
        <v>561</v>
      </c>
      <c r="D194" s="126"/>
      <c r="E194" s="33" t="s">
        <v>56</v>
      </c>
      <c r="F194" s="34">
        <v>1</v>
      </c>
      <c r="G194" s="35">
        <v>0</v>
      </c>
      <c r="H194" s="34">
        <f>F194*AO194</f>
        <v>0</v>
      </c>
      <c r="I194" s="34">
        <f>F194*AP194</f>
        <v>0</v>
      </c>
      <c r="J194" s="34">
        <f>F194*G194</f>
        <v>0</v>
      </c>
      <c r="K194" s="36" t="s">
        <v>57</v>
      </c>
      <c r="Z194" s="30">
        <f>IF(AQ194="5",BJ194,0)</f>
        <v>0</v>
      </c>
      <c r="AB194" s="30">
        <f>IF(AQ194="1",BH194,0)</f>
        <v>0</v>
      </c>
      <c r="AC194" s="30">
        <f>IF(AQ194="1",BI194,0)</f>
        <v>0</v>
      </c>
      <c r="AD194" s="30">
        <f>IF(AQ194="7",BH194,0)</f>
        <v>0</v>
      </c>
      <c r="AE194" s="30">
        <f>IF(AQ194="7",BI194,0)</f>
        <v>0</v>
      </c>
      <c r="AF194" s="30">
        <f>IF(AQ194="2",BH194,0)</f>
        <v>0</v>
      </c>
      <c r="AG194" s="30">
        <f>IF(AQ194="2",BI194,0)</f>
        <v>0</v>
      </c>
      <c r="AH194" s="30">
        <f>IF(AQ194="0",BJ194,0)</f>
        <v>0</v>
      </c>
      <c r="AI194" s="10" t="s">
        <v>50</v>
      </c>
      <c r="AJ194" s="30">
        <f>IF(AN194=0,J194,0)</f>
        <v>0</v>
      </c>
      <c r="AK194" s="30">
        <f>IF(AN194=12,J194,0)</f>
        <v>0</v>
      </c>
      <c r="AL194" s="30">
        <f>IF(AN194=21,J194,0)</f>
        <v>0</v>
      </c>
      <c r="AN194" s="30">
        <v>12</v>
      </c>
      <c r="AO194" s="30">
        <f>G194*1</f>
        <v>0</v>
      </c>
      <c r="AP194" s="30">
        <f>G194*(1-1)</f>
        <v>0</v>
      </c>
      <c r="AQ194" s="31" t="s">
        <v>81</v>
      </c>
      <c r="AV194" s="30">
        <f>AW194+AX194</f>
        <v>0</v>
      </c>
      <c r="AW194" s="30">
        <f>F194*AO194</f>
        <v>0</v>
      </c>
      <c r="AX194" s="30">
        <f>F194*AP194</f>
        <v>0</v>
      </c>
      <c r="AY194" s="31" t="s">
        <v>548</v>
      </c>
      <c r="AZ194" s="31" t="s">
        <v>535</v>
      </c>
      <c r="BA194" s="10" t="s">
        <v>60</v>
      </c>
      <c r="BC194" s="30">
        <f>AW194+AX194</f>
        <v>0</v>
      </c>
      <c r="BD194" s="30">
        <f>G194/(100-BE194)*100</f>
        <v>0</v>
      </c>
      <c r="BE194" s="30">
        <v>0</v>
      </c>
      <c r="BF194" s="30">
        <f>194</f>
        <v>194</v>
      </c>
      <c r="BH194" s="30">
        <f>F194*AO194</f>
        <v>0</v>
      </c>
      <c r="BI194" s="30">
        <f>F194*AP194</f>
        <v>0</v>
      </c>
      <c r="BJ194" s="30">
        <f>F194*G194</f>
        <v>0</v>
      </c>
      <c r="BK194" s="30"/>
      <c r="BL194" s="30">
        <v>766</v>
      </c>
      <c r="BW194" s="30">
        <v>12</v>
      </c>
      <c r="BX194" s="4" t="s">
        <v>561</v>
      </c>
    </row>
    <row r="195" spans="1:76" x14ac:dyDescent="0.25">
      <c r="A195" s="32" t="s">
        <v>562</v>
      </c>
      <c r="B195" s="33" t="s">
        <v>563</v>
      </c>
      <c r="C195" s="125" t="s">
        <v>564</v>
      </c>
      <c r="D195" s="126"/>
      <c r="E195" s="33" t="s">
        <v>90</v>
      </c>
      <c r="F195" s="34">
        <v>0.21038999999999999</v>
      </c>
      <c r="G195" s="35">
        <v>0</v>
      </c>
      <c r="H195" s="34">
        <f>F195*AO195</f>
        <v>0</v>
      </c>
      <c r="I195" s="34">
        <f>F195*AP195</f>
        <v>0</v>
      </c>
      <c r="J195" s="34">
        <f>F195*G195</f>
        <v>0</v>
      </c>
      <c r="K195" s="36" t="s">
        <v>57</v>
      </c>
      <c r="Z195" s="30">
        <f>IF(AQ195="5",BJ195,0)</f>
        <v>0</v>
      </c>
      <c r="AB195" s="30">
        <f>IF(AQ195="1",BH195,0)</f>
        <v>0</v>
      </c>
      <c r="AC195" s="30">
        <f>IF(AQ195="1",BI195,0)</f>
        <v>0</v>
      </c>
      <c r="AD195" s="30">
        <f>IF(AQ195="7",BH195,0)</f>
        <v>0</v>
      </c>
      <c r="AE195" s="30">
        <f>IF(AQ195="7",BI195,0)</f>
        <v>0</v>
      </c>
      <c r="AF195" s="30">
        <f>IF(AQ195="2",BH195,0)</f>
        <v>0</v>
      </c>
      <c r="AG195" s="30">
        <f>IF(AQ195="2",BI195,0)</f>
        <v>0</v>
      </c>
      <c r="AH195" s="30">
        <f>IF(AQ195="0",BJ195,0)</f>
        <v>0</v>
      </c>
      <c r="AI195" s="10" t="s">
        <v>50</v>
      </c>
      <c r="AJ195" s="30">
        <f>IF(AN195=0,J195,0)</f>
        <v>0</v>
      </c>
      <c r="AK195" s="30">
        <f>IF(AN195=12,J195,0)</f>
        <v>0</v>
      </c>
      <c r="AL195" s="30">
        <f>IF(AN195=21,J195,0)</f>
        <v>0</v>
      </c>
      <c r="AN195" s="30">
        <v>12</v>
      </c>
      <c r="AO195" s="30">
        <f>G195*0</f>
        <v>0</v>
      </c>
      <c r="AP195" s="30">
        <f>G195*(1-0)</f>
        <v>0</v>
      </c>
      <c r="AQ195" s="31" t="s">
        <v>74</v>
      </c>
      <c r="AV195" s="30">
        <f>AW195+AX195</f>
        <v>0</v>
      </c>
      <c r="AW195" s="30">
        <f>F195*AO195</f>
        <v>0</v>
      </c>
      <c r="AX195" s="30">
        <f>F195*AP195</f>
        <v>0</v>
      </c>
      <c r="AY195" s="31" t="s">
        <v>548</v>
      </c>
      <c r="AZ195" s="31" t="s">
        <v>535</v>
      </c>
      <c r="BA195" s="10" t="s">
        <v>60</v>
      </c>
      <c r="BC195" s="30">
        <f>AW195+AX195</f>
        <v>0</v>
      </c>
      <c r="BD195" s="30">
        <f>G195/(100-BE195)*100</f>
        <v>0</v>
      </c>
      <c r="BE195" s="30">
        <v>0</v>
      </c>
      <c r="BF195" s="30">
        <f>195</f>
        <v>195</v>
      </c>
      <c r="BH195" s="30">
        <f>F195*AO195</f>
        <v>0</v>
      </c>
      <c r="BI195" s="30">
        <f>F195*AP195</f>
        <v>0</v>
      </c>
      <c r="BJ195" s="30">
        <f>F195*G195</f>
        <v>0</v>
      </c>
      <c r="BK195" s="30"/>
      <c r="BL195" s="30">
        <v>766</v>
      </c>
      <c r="BW195" s="30">
        <v>12</v>
      </c>
      <c r="BX195" s="4" t="s">
        <v>564</v>
      </c>
    </row>
    <row r="196" spans="1:76" x14ac:dyDescent="0.25">
      <c r="A196" s="39" t="s">
        <v>50</v>
      </c>
      <c r="B196" s="40" t="s">
        <v>565</v>
      </c>
      <c r="C196" s="131" t="s">
        <v>566</v>
      </c>
      <c r="D196" s="132"/>
      <c r="E196" s="41" t="s">
        <v>4</v>
      </c>
      <c r="F196" s="41" t="s">
        <v>4</v>
      </c>
      <c r="G196" s="42" t="s">
        <v>4</v>
      </c>
      <c r="H196" s="43">
        <f>SUM(H197:H218)</f>
        <v>0</v>
      </c>
      <c r="I196" s="43">
        <f>SUM(I197:I218)</f>
        <v>0</v>
      </c>
      <c r="J196" s="43">
        <f>SUM(J197:J218)</f>
        <v>0</v>
      </c>
      <c r="K196" s="44" t="s">
        <v>50</v>
      </c>
      <c r="AI196" s="10" t="s">
        <v>50</v>
      </c>
      <c r="AS196" s="1">
        <f>SUM(AJ197:AJ218)</f>
        <v>0</v>
      </c>
      <c r="AT196" s="1">
        <f>SUM(AK197:AK218)</f>
        <v>0</v>
      </c>
      <c r="AU196" s="1">
        <f>SUM(AL197:AL218)</f>
        <v>0</v>
      </c>
    </row>
    <row r="197" spans="1:76" x14ac:dyDescent="0.25">
      <c r="A197" s="25" t="s">
        <v>567</v>
      </c>
      <c r="B197" s="26" t="s">
        <v>568</v>
      </c>
      <c r="C197" s="123" t="s">
        <v>569</v>
      </c>
      <c r="D197" s="124"/>
      <c r="E197" s="26" t="s">
        <v>111</v>
      </c>
      <c r="F197" s="27">
        <v>0.40949999999999998</v>
      </c>
      <c r="G197" s="28">
        <v>0</v>
      </c>
      <c r="H197" s="27">
        <f t="shared" ref="H197:H202" si="242">F197*AO197</f>
        <v>0</v>
      </c>
      <c r="I197" s="27">
        <f t="shared" ref="I197:I202" si="243">F197*AP197</f>
        <v>0</v>
      </c>
      <c r="J197" s="27">
        <f t="shared" ref="J197:J202" si="244">F197*G197</f>
        <v>0</v>
      </c>
      <c r="K197" s="29" t="s">
        <v>57</v>
      </c>
      <c r="Z197" s="30">
        <f t="shared" ref="Z197:Z202" si="245">IF(AQ197="5",BJ197,0)</f>
        <v>0</v>
      </c>
      <c r="AB197" s="30">
        <f t="shared" ref="AB197:AB202" si="246">IF(AQ197="1",BH197,0)</f>
        <v>0</v>
      </c>
      <c r="AC197" s="30">
        <f t="shared" ref="AC197:AC202" si="247">IF(AQ197="1",BI197,0)</f>
        <v>0</v>
      </c>
      <c r="AD197" s="30">
        <f t="shared" ref="AD197:AD202" si="248">IF(AQ197="7",BH197,0)</f>
        <v>0</v>
      </c>
      <c r="AE197" s="30">
        <f t="shared" ref="AE197:AE202" si="249">IF(AQ197="7",BI197,0)</f>
        <v>0</v>
      </c>
      <c r="AF197" s="30">
        <f t="shared" ref="AF197:AF202" si="250">IF(AQ197="2",BH197,0)</f>
        <v>0</v>
      </c>
      <c r="AG197" s="30">
        <f t="shared" ref="AG197:AG202" si="251">IF(AQ197="2",BI197,0)</f>
        <v>0</v>
      </c>
      <c r="AH197" s="30">
        <f t="shared" ref="AH197:AH202" si="252">IF(AQ197="0",BJ197,0)</f>
        <v>0</v>
      </c>
      <c r="AI197" s="10" t="s">
        <v>50</v>
      </c>
      <c r="AJ197" s="30">
        <f t="shared" ref="AJ197:AJ202" si="253">IF(AN197=0,J197,0)</f>
        <v>0</v>
      </c>
      <c r="AK197" s="30">
        <f t="shared" ref="AK197:AK202" si="254">IF(AN197=12,J197,0)</f>
        <v>0</v>
      </c>
      <c r="AL197" s="30">
        <f t="shared" ref="AL197:AL202" si="255">IF(AN197=21,J197,0)</f>
        <v>0</v>
      </c>
      <c r="AN197" s="30">
        <v>12</v>
      </c>
      <c r="AO197" s="30">
        <f>G197*0</f>
        <v>0</v>
      </c>
      <c r="AP197" s="30">
        <f>G197*(1-0)</f>
        <v>0</v>
      </c>
      <c r="AQ197" s="31" t="s">
        <v>81</v>
      </c>
      <c r="AV197" s="30">
        <f t="shared" ref="AV197:AV202" si="256">AW197+AX197</f>
        <v>0</v>
      </c>
      <c r="AW197" s="30">
        <f t="shared" ref="AW197:AW202" si="257">F197*AO197</f>
        <v>0</v>
      </c>
      <c r="AX197" s="30">
        <f t="shared" ref="AX197:AX202" si="258">F197*AP197</f>
        <v>0</v>
      </c>
      <c r="AY197" s="31" t="s">
        <v>570</v>
      </c>
      <c r="AZ197" s="31" t="s">
        <v>571</v>
      </c>
      <c r="BA197" s="10" t="s">
        <v>60</v>
      </c>
      <c r="BC197" s="30">
        <f t="shared" ref="BC197:BC202" si="259">AW197+AX197</f>
        <v>0</v>
      </c>
      <c r="BD197" s="30">
        <f t="shared" ref="BD197:BD202" si="260">G197/(100-BE197)*100</f>
        <v>0</v>
      </c>
      <c r="BE197" s="30">
        <v>0</v>
      </c>
      <c r="BF197" s="30">
        <f>197</f>
        <v>197</v>
      </c>
      <c r="BH197" s="30">
        <f t="shared" ref="BH197:BH202" si="261">F197*AO197</f>
        <v>0</v>
      </c>
      <c r="BI197" s="30">
        <f t="shared" ref="BI197:BI202" si="262">F197*AP197</f>
        <v>0</v>
      </c>
      <c r="BJ197" s="30">
        <f t="shared" ref="BJ197:BJ202" si="263">F197*G197</f>
        <v>0</v>
      </c>
      <c r="BK197" s="30"/>
      <c r="BL197" s="30">
        <v>771</v>
      </c>
      <c r="BW197" s="30">
        <v>12</v>
      </c>
      <c r="BX197" s="4" t="s">
        <v>569</v>
      </c>
    </row>
    <row r="198" spans="1:76" x14ac:dyDescent="0.25">
      <c r="A198" s="32" t="s">
        <v>572</v>
      </c>
      <c r="B198" s="33" t="s">
        <v>573</v>
      </c>
      <c r="C198" s="125" t="s">
        <v>574</v>
      </c>
      <c r="D198" s="126"/>
      <c r="E198" s="33" t="s">
        <v>64</v>
      </c>
      <c r="F198" s="34">
        <v>2.73</v>
      </c>
      <c r="G198" s="35">
        <v>0</v>
      </c>
      <c r="H198" s="34">
        <f t="shared" si="242"/>
        <v>0</v>
      </c>
      <c r="I198" s="34">
        <f t="shared" si="243"/>
        <v>0</v>
      </c>
      <c r="J198" s="34">
        <f t="shared" si="244"/>
        <v>0</v>
      </c>
      <c r="K198" s="36" t="s">
        <v>57</v>
      </c>
      <c r="Z198" s="30">
        <f t="shared" si="245"/>
        <v>0</v>
      </c>
      <c r="AB198" s="30">
        <f t="shared" si="246"/>
        <v>0</v>
      </c>
      <c r="AC198" s="30">
        <f t="shared" si="247"/>
        <v>0</v>
      </c>
      <c r="AD198" s="30">
        <f t="shared" si="248"/>
        <v>0</v>
      </c>
      <c r="AE198" s="30">
        <f t="shared" si="249"/>
        <v>0</v>
      </c>
      <c r="AF198" s="30">
        <f t="shared" si="250"/>
        <v>0</v>
      </c>
      <c r="AG198" s="30">
        <f t="shared" si="251"/>
        <v>0</v>
      </c>
      <c r="AH198" s="30">
        <f t="shared" si="252"/>
        <v>0</v>
      </c>
      <c r="AI198" s="10" t="s">
        <v>50</v>
      </c>
      <c r="AJ198" s="30">
        <f t="shared" si="253"/>
        <v>0</v>
      </c>
      <c r="AK198" s="30">
        <f t="shared" si="254"/>
        <v>0</v>
      </c>
      <c r="AL198" s="30">
        <f t="shared" si="255"/>
        <v>0</v>
      </c>
      <c r="AN198" s="30">
        <v>12</v>
      </c>
      <c r="AO198" s="30">
        <f>G198*0</f>
        <v>0</v>
      </c>
      <c r="AP198" s="30">
        <f>G198*(1-0)</f>
        <v>0</v>
      </c>
      <c r="AQ198" s="31" t="s">
        <v>81</v>
      </c>
      <c r="AV198" s="30">
        <f t="shared" si="256"/>
        <v>0</v>
      </c>
      <c r="AW198" s="30">
        <f t="shared" si="257"/>
        <v>0</v>
      </c>
      <c r="AX198" s="30">
        <f t="shared" si="258"/>
        <v>0</v>
      </c>
      <c r="AY198" s="31" t="s">
        <v>570</v>
      </c>
      <c r="AZ198" s="31" t="s">
        <v>571</v>
      </c>
      <c r="BA198" s="10" t="s">
        <v>60</v>
      </c>
      <c r="BC198" s="30">
        <f t="shared" si="259"/>
        <v>0</v>
      </c>
      <c r="BD198" s="30">
        <f t="shared" si="260"/>
        <v>0</v>
      </c>
      <c r="BE198" s="30">
        <v>0</v>
      </c>
      <c r="BF198" s="30">
        <f>198</f>
        <v>198</v>
      </c>
      <c r="BH198" s="30">
        <f t="shared" si="261"/>
        <v>0</v>
      </c>
      <c r="BI198" s="30">
        <f t="shared" si="262"/>
        <v>0</v>
      </c>
      <c r="BJ198" s="30">
        <f t="shared" si="263"/>
        <v>0</v>
      </c>
      <c r="BK198" s="30"/>
      <c r="BL198" s="30">
        <v>771</v>
      </c>
      <c r="BW198" s="30">
        <v>12</v>
      </c>
      <c r="BX198" s="4" t="s">
        <v>574</v>
      </c>
    </row>
    <row r="199" spans="1:76" x14ac:dyDescent="0.25">
      <c r="A199" s="32" t="s">
        <v>575</v>
      </c>
      <c r="B199" s="33" t="s">
        <v>88</v>
      </c>
      <c r="C199" s="125" t="s">
        <v>89</v>
      </c>
      <c r="D199" s="126"/>
      <c r="E199" s="33" t="s">
        <v>90</v>
      </c>
      <c r="F199" s="34">
        <v>1.0783499999999999</v>
      </c>
      <c r="G199" s="35">
        <v>0</v>
      </c>
      <c r="H199" s="34">
        <f t="shared" si="242"/>
        <v>0</v>
      </c>
      <c r="I199" s="34">
        <f t="shared" si="243"/>
        <v>0</v>
      </c>
      <c r="J199" s="34">
        <f t="shared" si="244"/>
        <v>0</v>
      </c>
      <c r="K199" s="36" t="s">
        <v>57</v>
      </c>
      <c r="Z199" s="30">
        <f t="shared" si="245"/>
        <v>0</v>
      </c>
      <c r="AB199" s="30">
        <f t="shared" si="246"/>
        <v>0</v>
      </c>
      <c r="AC199" s="30">
        <f t="shared" si="247"/>
        <v>0</v>
      </c>
      <c r="AD199" s="30">
        <f t="shared" si="248"/>
        <v>0</v>
      </c>
      <c r="AE199" s="30">
        <f t="shared" si="249"/>
        <v>0</v>
      </c>
      <c r="AF199" s="30">
        <f t="shared" si="250"/>
        <v>0</v>
      </c>
      <c r="AG199" s="30">
        <f t="shared" si="251"/>
        <v>0</v>
      </c>
      <c r="AH199" s="30">
        <f t="shared" si="252"/>
        <v>0</v>
      </c>
      <c r="AI199" s="10" t="s">
        <v>50</v>
      </c>
      <c r="AJ199" s="30">
        <f t="shared" si="253"/>
        <v>0</v>
      </c>
      <c r="AK199" s="30">
        <f t="shared" si="254"/>
        <v>0</v>
      </c>
      <c r="AL199" s="30">
        <f t="shared" si="255"/>
        <v>0</v>
      </c>
      <c r="AN199" s="30">
        <v>12</v>
      </c>
      <c r="AO199" s="30">
        <f>G199*0</f>
        <v>0</v>
      </c>
      <c r="AP199" s="30">
        <f>G199*(1-0)</f>
        <v>0</v>
      </c>
      <c r="AQ199" s="31" t="s">
        <v>74</v>
      </c>
      <c r="AV199" s="30">
        <f t="shared" si="256"/>
        <v>0</v>
      </c>
      <c r="AW199" s="30">
        <f t="shared" si="257"/>
        <v>0</v>
      </c>
      <c r="AX199" s="30">
        <f t="shared" si="258"/>
        <v>0</v>
      </c>
      <c r="AY199" s="31" t="s">
        <v>570</v>
      </c>
      <c r="AZ199" s="31" t="s">
        <v>571</v>
      </c>
      <c r="BA199" s="10" t="s">
        <v>60</v>
      </c>
      <c r="BC199" s="30">
        <f t="shared" si="259"/>
        <v>0</v>
      </c>
      <c r="BD199" s="30">
        <f t="shared" si="260"/>
        <v>0</v>
      </c>
      <c r="BE199" s="30">
        <v>0</v>
      </c>
      <c r="BF199" s="30">
        <f>199</f>
        <v>199</v>
      </c>
      <c r="BH199" s="30">
        <f t="shared" si="261"/>
        <v>0</v>
      </c>
      <c r="BI199" s="30">
        <f t="shared" si="262"/>
        <v>0</v>
      </c>
      <c r="BJ199" s="30">
        <f t="shared" si="263"/>
        <v>0</v>
      </c>
      <c r="BK199" s="30"/>
      <c r="BL199" s="30">
        <v>771</v>
      </c>
      <c r="BW199" s="30">
        <v>12</v>
      </c>
      <c r="BX199" s="4" t="s">
        <v>89</v>
      </c>
    </row>
    <row r="200" spans="1:76" x14ac:dyDescent="0.25">
      <c r="A200" s="32" t="s">
        <v>576</v>
      </c>
      <c r="B200" s="33" t="s">
        <v>92</v>
      </c>
      <c r="C200" s="125" t="s">
        <v>93</v>
      </c>
      <c r="D200" s="126"/>
      <c r="E200" s="33" t="s">
        <v>90</v>
      </c>
      <c r="F200" s="34">
        <v>1.0783499999999999</v>
      </c>
      <c r="G200" s="35">
        <v>0</v>
      </c>
      <c r="H200" s="34">
        <f t="shared" si="242"/>
        <v>0</v>
      </c>
      <c r="I200" s="34">
        <f t="shared" si="243"/>
        <v>0</v>
      </c>
      <c r="J200" s="34">
        <f t="shared" si="244"/>
        <v>0</v>
      </c>
      <c r="K200" s="36" t="s">
        <v>57</v>
      </c>
      <c r="Z200" s="30">
        <f t="shared" si="245"/>
        <v>0</v>
      </c>
      <c r="AB200" s="30">
        <f t="shared" si="246"/>
        <v>0</v>
      </c>
      <c r="AC200" s="30">
        <f t="shared" si="247"/>
        <v>0</v>
      </c>
      <c r="AD200" s="30">
        <f t="shared" si="248"/>
        <v>0</v>
      </c>
      <c r="AE200" s="30">
        <f t="shared" si="249"/>
        <v>0</v>
      </c>
      <c r="AF200" s="30">
        <f t="shared" si="250"/>
        <v>0</v>
      </c>
      <c r="AG200" s="30">
        <f t="shared" si="251"/>
        <v>0</v>
      </c>
      <c r="AH200" s="30">
        <f t="shared" si="252"/>
        <v>0</v>
      </c>
      <c r="AI200" s="10" t="s">
        <v>50</v>
      </c>
      <c r="AJ200" s="30">
        <f t="shared" si="253"/>
        <v>0</v>
      </c>
      <c r="AK200" s="30">
        <f t="shared" si="254"/>
        <v>0</v>
      </c>
      <c r="AL200" s="30">
        <f t="shared" si="255"/>
        <v>0</v>
      </c>
      <c r="AN200" s="30">
        <v>12</v>
      </c>
      <c r="AO200" s="30">
        <f>G200*0.010795495</f>
        <v>0</v>
      </c>
      <c r="AP200" s="30">
        <f>G200*(1-0.010795495)</f>
        <v>0</v>
      </c>
      <c r="AQ200" s="31" t="s">
        <v>74</v>
      </c>
      <c r="AV200" s="30">
        <f t="shared" si="256"/>
        <v>0</v>
      </c>
      <c r="AW200" s="30">
        <f t="shared" si="257"/>
        <v>0</v>
      </c>
      <c r="AX200" s="30">
        <f t="shared" si="258"/>
        <v>0</v>
      </c>
      <c r="AY200" s="31" t="s">
        <v>570</v>
      </c>
      <c r="AZ200" s="31" t="s">
        <v>571</v>
      </c>
      <c r="BA200" s="10" t="s">
        <v>60</v>
      </c>
      <c r="BC200" s="30">
        <f t="shared" si="259"/>
        <v>0</v>
      </c>
      <c r="BD200" s="30">
        <f t="shared" si="260"/>
        <v>0</v>
      </c>
      <c r="BE200" s="30">
        <v>0</v>
      </c>
      <c r="BF200" s="30">
        <f>200</f>
        <v>200</v>
      </c>
      <c r="BH200" s="30">
        <f t="shared" si="261"/>
        <v>0</v>
      </c>
      <c r="BI200" s="30">
        <f t="shared" si="262"/>
        <v>0</v>
      </c>
      <c r="BJ200" s="30">
        <f t="shared" si="263"/>
        <v>0</v>
      </c>
      <c r="BK200" s="30"/>
      <c r="BL200" s="30">
        <v>771</v>
      </c>
      <c r="BW200" s="30">
        <v>12</v>
      </c>
      <c r="BX200" s="4" t="s">
        <v>93</v>
      </c>
    </row>
    <row r="201" spans="1:76" x14ac:dyDescent="0.25">
      <c r="A201" s="32" t="s">
        <v>577</v>
      </c>
      <c r="B201" s="33" t="s">
        <v>128</v>
      </c>
      <c r="C201" s="125" t="s">
        <v>129</v>
      </c>
      <c r="D201" s="126"/>
      <c r="E201" s="33" t="s">
        <v>90</v>
      </c>
      <c r="F201" s="34">
        <v>1.0783499999999999</v>
      </c>
      <c r="G201" s="35">
        <v>0</v>
      </c>
      <c r="H201" s="34">
        <f t="shared" si="242"/>
        <v>0</v>
      </c>
      <c r="I201" s="34">
        <f t="shared" si="243"/>
        <v>0</v>
      </c>
      <c r="J201" s="34">
        <f t="shared" si="244"/>
        <v>0</v>
      </c>
      <c r="K201" s="36" t="s">
        <v>130</v>
      </c>
      <c r="Z201" s="30">
        <f t="shared" si="245"/>
        <v>0</v>
      </c>
      <c r="AB201" s="30">
        <f t="shared" si="246"/>
        <v>0</v>
      </c>
      <c r="AC201" s="30">
        <f t="shared" si="247"/>
        <v>0</v>
      </c>
      <c r="AD201" s="30">
        <f t="shared" si="248"/>
        <v>0</v>
      </c>
      <c r="AE201" s="30">
        <f t="shared" si="249"/>
        <v>0</v>
      </c>
      <c r="AF201" s="30">
        <f t="shared" si="250"/>
        <v>0</v>
      </c>
      <c r="AG201" s="30">
        <f t="shared" si="251"/>
        <v>0</v>
      </c>
      <c r="AH201" s="30">
        <f t="shared" si="252"/>
        <v>0</v>
      </c>
      <c r="AI201" s="10" t="s">
        <v>50</v>
      </c>
      <c r="AJ201" s="30">
        <f t="shared" si="253"/>
        <v>0</v>
      </c>
      <c r="AK201" s="30">
        <f t="shared" si="254"/>
        <v>0</v>
      </c>
      <c r="AL201" s="30">
        <f t="shared" si="255"/>
        <v>0</v>
      </c>
      <c r="AN201" s="30">
        <v>12</v>
      </c>
      <c r="AO201" s="30">
        <f>G201*0</f>
        <v>0</v>
      </c>
      <c r="AP201" s="30">
        <f>G201*(1-0)</f>
        <v>0</v>
      </c>
      <c r="AQ201" s="31" t="s">
        <v>74</v>
      </c>
      <c r="AV201" s="30">
        <f t="shared" si="256"/>
        <v>0</v>
      </c>
      <c r="AW201" s="30">
        <f t="shared" si="257"/>
        <v>0</v>
      </c>
      <c r="AX201" s="30">
        <f t="shared" si="258"/>
        <v>0</v>
      </c>
      <c r="AY201" s="31" t="s">
        <v>570</v>
      </c>
      <c r="AZ201" s="31" t="s">
        <v>571</v>
      </c>
      <c r="BA201" s="10" t="s">
        <v>60</v>
      </c>
      <c r="BC201" s="30">
        <f t="shared" si="259"/>
        <v>0</v>
      </c>
      <c r="BD201" s="30">
        <f t="shared" si="260"/>
        <v>0</v>
      </c>
      <c r="BE201" s="30">
        <v>0</v>
      </c>
      <c r="BF201" s="30">
        <f>201</f>
        <v>201</v>
      </c>
      <c r="BH201" s="30">
        <f t="shared" si="261"/>
        <v>0</v>
      </c>
      <c r="BI201" s="30">
        <f t="shared" si="262"/>
        <v>0</v>
      </c>
      <c r="BJ201" s="30">
        <f t="shared" si="263"/>
        <v>0</v>
      </c>
      <c r="BK201" s="30"/>
      <c r="BL201" s="30">
        <v>771</v>
      </c>
      <c r="BW201" s="30">
        <v>12</v>
      </c>
      <c r="BX201" s="4" t="s">
        <v>129</v>
      </c>
    </row>
    <row r="202" spans="1:76" x14ac:dyDescent="0.25">
      <c r="A202" s="32" t="s">
        <v>578</v>
      </c>
      <c r="B202" s="33" t="s">
        <v>579</v>
      </c>
      <c r="C202" s="125" t="s">
        <v>580</v>
      </c>
      <c r="D202" s="126"/>
      <c r="E202" s="33" t="s">
        <v>64</v>
      </c>
      <c r="F202" s="34">
        <v>13.71612</v>
      </c>
      <c r="G202" s="35">
        <v>0</v>
      </c>
      <c r="H202" s="34">
        <f t="shared" si="242"/>
        <v>0</v>
      </c>
      <c r="I202" s="34">
        <f t="shared" si="243"/>
        <v>0</v>
      </c>
      <c r="J202" s="34">
        <f t="shared" si="244"/>
        <v>0</v>
      </c>
      <c r="K202" s="36" t="s">
        <v>57</v>
      </c>
      <c r="Z202" s="30">
        <f t="shared" si="245"/>
        <v>0</v>
      </c>
      <c r="AB202" s="30">
        <f t="shared" si="246"/>
        <v>0</v>
      </c>
      <c r="AC202" s="30">
        <f t="shared" si="247"/>
        <v>0</v>
      </c>
      <c r="AD202" s="30">
        <f t="shared" si="248"/>
        <v>0</v>
      </c>
      <c r="AE202" s="30">
        <f t="shared" si="249"/>
        <v>0</v>
      </c>
      <c r="AF202" s="30">
        <f t="shared" si="250"/>
        <v>0</v>
      </c>
      <c r="AG202" s="30">
        <f t="shared" si="251"/>
        <v>0</v>
      </c>
      <c r="AH202" s="30">
        <f t="shared" si="252"/>
        <v>0</v>
      </c>
      <c r="AI202" s="10" t="s">
        <v>50</v>
      </c>
      <c r="AJ202" s="30">
        <f t="shared" si="253"/>
        <v>0</v>
      </c>
      <c r="AK202" s="30">
        <f t="shared" si="254"/>
        <v>0</v>
      </c>
      <c r="AL202" s="30">
        <f t="shared" si="255"/>
        <v>0</v>
      </c>
      <c r="AN202" s="30">
        <v>12</v>
      </c>
      <c r="AO202" s="30">
        <f>G202*0.208661087</f>
        <v>0</v>
      </c>
      <c r="AP202" s="30">
        <f>G202*(1-0.208661087)</f>
        <v>0</v>
      </c>
      <c r="AQ202" s="31" t="s">
        <v>81</v>
      </c>
      <c r="AV202" s="30">
        <f t="shared" si="256"/>
        <v>0</v>
      </c>
      <c r="AW202" s="30">
        <f t="shared" si="257"/>
        <v>0</v>
      </c>
      <c r="AX202" s="30">
        <f t="shared" si="258"/>
        <v>0</v>
      </c>
      <c r="AY202" s="31" t="s">
        <v>570</v>
      </c>
      <c r="AZ202" s="31" t="s">
        <v>571</v>
      </c>
      <c r="BA202" s="10" t="s">
        <v>60</v>
      </c>
      <c r="BC202" s="30">
        <f t="shared" si="259"/>
        <v>0</v>
      </c>
      <c r="BD202" s="30">
        <f t="shared" si="260"/>
        <v>0</v>
      </c>
      <c r="BE202" s="30">
        <v>0</v>
      </c>
      <c r="BF202" s="30">
        <f>202</f>
        <v>202</v>
      </c>
      <c r="BH202" s="30">
        <f t="shared" si="261"/>
        <v>0</v>
      </c>
      <c r="BI202" s="30">
        <f t="shared" si="262"/>
        <v>0</v>
      </c>
      <c r="BJ202" s="30">
        <f t="shared" si="263"/>
        <v>0</v>
      </c>
      <c r="BK202" s="30"/>
      <c r="BL202" s="30">
        <v>771</v>
      </c>
      <c r="BW202" s="30">
        <v>12</v>
      </c>
      <c r="BX202" s="4" t="s">
        <v>580</v>
      </c>
    </row>
    <row r="203" spans="1:76" ht="13.5" customHeight="1" x14ac:dyDescent="0.25">
      <c r="A203" s="37"/>
      <c r="B203" s="38" t="s">
        <v>68</v>
      </c>
      <c r="C203" s="127" t="s">
        <v>581</v>
      </c>
      <c r="D203" s="128"/>
      <c r="E203" s="128"/>
      <c r="F203" s="128"/>
      <c r="G203" s="129"/>
      <c r="H203" s="128"/>
      <c r="I203" s="128"/>
      <c r="J203" s="128"/>
      <c r="K203" s="130"/>
    </row>
    <row r="204" spans="1:76" x14ac:dyDescent="0.25">
      <c r="A204" s="25" t="s">
        <v>582</v>
      </c>
      <c r="B204" s="26" t="s">
        <v>583</v>
      </c>
      <c r="C204" s="123" t="s">
        <v>584</v>
      </c>
      <c r="D204" s="124"/>
      <c r="E204" s="26" t="s">
        <v>111</v>
      </c>
      <c r="F204" s="27">
        <v>0.82296999999999998</v>
      </c>
      <c r="G204" s="28">
        <v>0</v>
      </c>
      <c r="H204" s="27">
        <f>F204*AO204</f>
        <v>0</v>
      </c>
      <c r="I204" s="27">
        <f>F204*AP204</f>
        <v>0</v>
      </c>
      <c r="J204" s="27">
        <f>F204*G204</f>
        <v>0</v>
      </c>
      <c r="K204" s="29" t="s">
        <v>57</v>
      </c>
      <c r="Z204" s="30">
        <f>IF(AQ204="5",BJ204,0)</f>
        <v>0</v>
      </c>
      <c r="AB204" s="30">
        <f>IF(AQ204="1",BH204,0)</f>
        <v>0</v>
      </c>
      <c r="AC204" s="30">
        <f>IF(AQ204="1",BI204,0)</f>
        <v>0</v>
      </c>
      <c r="AD204" s="30">
        <f>IF(AQ204="7",BH204,0)</f>
        <v>0</v>
      </c>
      <c r="AE204" s="30">
        <f>IF(AQ204="7",BI204,0)</f>
        <v>0</v>
      </c>
      <c r="AF204" s="30">
        <f>IF(AQ204="2",BH204,0)</f>
        <v>0</v>
      </c>
      <c r="AG204" s="30">
        <f>IF(AQ204="2",BI204,0)</f>
        <v>0</v>
      </c>
      <c r="AH204" s="30">
        <f>IF(AQ204="0",BJ204,0)</f>
        <v>0</v>
      </c>
      <c r="AI204" s="10" t="s">
        <v>50</v>
      </c>
      <c r="AJ204" s="30">
        <f>IF(AN204=0,J204,0)</f>
        <v>0</v>
      </c>
      <c r="AK204" s="30">
        <f>IF(AN204=12,J204,0)</f>
        <v>0</v>
      </c>
      <c r="AL204" s="30">
        <f>IF(AN204=21,J204,0)</f>
        <v>0</v>
      </c>
      <c r="AN204" s="30">
        <v>12</v>
      </c>
      <c r="AO204" s="30">
        <f>G204*0.911141786</f>
        <v>0</v>
      </c>
      <c r="AP204" s="30">
        <f>G204*(1-0.911141786)</f>
        <v>0</v>
      </c>
      <c r="AQ204" s="31" t="s">
        <v>81</v>
      </c>
      <c r="AV204" s="30">
        <f>AW204+AX204</f>
        <v>0</v>
      </c>
      <c r="AW204" s="30">
        <f>F204*AO204</f>
        <v>0</v>
      </c>
      <c r="AX204" s="30">
        <f>F204*AP204</f>
        <v>0</v>
      </c>
      <c r="AY204" s="31" t="s">
        <v>570</v>
      </c>
      <c r="AZ204" s="31" t="s">
        <v>571</v>
      </c>
      <c r="BA204" s="10" t="s">
        <v>60</v>
      </c>
      <c r="BC204" s="30">
        <f>AW204+AX204</f>
        <v>0</v>
      </c>
      <c r="BD204" s="30">
        <f>G204/(100-BE204)*100</f>
        <v>0</v>
      </c>
      <c r="BE204" s="30">
        <v>0</v>
      </c>
      <c r="BF204" s="30">
        <f>204</f>
        <v>204</v>
      </c>
      <c r="BH204" s="30">
        <f>F204*AO204</f>
        <v>0</v>
      </c>
      <c r="BI204" s="30">
        <f>F204*AP204</f>
        <v>0</v>
      </c>
      <c r="BJ204" s="30">
        <f>F204*G204</f>
        <v>0</v>
      </c>
      <c r="BK204" s="30"/>
      <c r="BL204" s="30">
        <v>771</v>
      </c>
      <c r="BW204" s="30">
        <v>12</v>
      </c>
      <c r="BX204" s="4" t="s">
        <v>584</v>
      </c>
    </row>
    <row r="205" spans="1:76" x14ac:dyDescent="0.25">
      <c r="A205" s="32" t="s">
        <v>585</v>
      </c>
      <c r="B205" s="33" t="s">
        <v>586</v>
      </c>
      <c r="C205" s="125" t="s">
        <v>587</v>
      </c>
      <c r="D205" s="126"/>
      <c r="E205" s="33" t="s">
        <v>64</v>
      </c>
      <c r="F205" s="34">
        <v>13.71612</v>
      </c>
      <c r="G205" s="35">
        <v>0</v>
      </c>
      <c r="H205" s="34">
        <f>F205*AO205</f>
        <v>0</v>
      </c>
      <c r="I205" s="34">
        <f>F205*AP205</f>
        <v>0</v>
      </c>
      <c r="J205" s="34">
        <f>F205*G205</f>
        <v>0</v>
      </c>
      <c r="K205" s="36" t="s">
        <v>57</v>
      </c>
      <c r="Z205" s="30">
        <f>IF(AQ205="5",BJ205,0)</f>
        <v>0</v>
      </c>
      <c r="AB205" s="30">
        <f>IF(AQ205="1",BH205,0)</f>
        <v>0</v>
      </c>
      <c r="AC205" s="30">
        <f>IF(AQ205="1",BI205,0)</f>
        <v>0</v>
      </c>
      <c r="AD205" s="30">
        <f>IF(AQ205="7",BH205,0)</f>
        <v>0</v>
      </c>
      <c r="AE205" s="30">
        <f>IF(AQ205="7",BI205,0)</f>
        <v>0</v>
      </c>
      <c r="AF205" s="30">
        <f>IF(AQ205="2",BH205,0)</f>
        <v>0</v>
      </c>
      <c r="AG205" s="30">
        <f>IF(AQ205="2",BI205,0)</f>
        <v>0</v>
      </c>
      <c r="AH205" s="30">
        <f>IF(AQ205="0",BJ205,0)</f>
        <v>0</v>
      </c>
      <c r="AI205" s="10" t="s">
        <v>50</v>
      </c>
      <c r="AJ205" s="30">
        <f>IF(AN205=0,J205,0)</f>
        <v>0</v>
      </c>
      <c r="AK205" s="30">
        <f>IF(AN205=12,J205,0)</f>
        <v>0</v>
      </c>
      <c r="AL205" s="30">
        <f>IF(AN205=21,J205,0)</f>
        <v>0</v>
      </c>
      <c r="AN205" s="30">
        <v>12</v>
      </c>
      <c r="AO205" s="30">
        <f>G205*0.512641058</f>
        <v>0</v>
      </c>
      <c r="AP205" s="30">
        <f>G205*(1-0.512641058)</f>
        <v>0</v>
      </c>
      <c r="AQ205" s="31" t="s">
        <v>81</v>
      </c>
      <c r="AV205" s="30">
        <f>AW205+AX205</f>
        <v>0</v>
      </c>
      <c r="AW205" s="30">
        <f>F205*AO205</f>
        <v>0</v>
      </c>
      <c r="AX205" s="30">
        <f>F205*AP205</f>
        <v>0</v>
      </c>
      <c r="AY205" s="31" t="s">
        <v>570</v>
      </c>
      <c r="AZ205" s="31" t="s">
        <v>571</v>
      </c>
      <c r="BA205" s="10" t="s">
        <v>60</v>
      </c>
      <c r="BC205" s="30">
        <f>AW205+AX205</f>
        <v>0</v>
      </c>
      <c r="BD205" s="30">
        <f>G205/(100-BE205)*100</f>
        <v>0</v>
      </c>
      <c r="BE205" s="30">
        <v>0</v>
      </c>
      <c r="BF205" s="30">
        <f>205</f>
        <v>205</v>
      </c>
      <c r="BH205" s="30">
        <f>F205*AO205</f>
        <v>0</v>
      </c>
      <c r="BI205" s="30">
        <f>F205*AP205</f>
        <v>0</v>
      </c>
      <c r="BJ205" s="30">
        <f>F205*G205</f>
        <v>0</v>
      </c>
      <c r="BK205" s="30"/>
      <c r="BL205" s="30">
        <v>771</v>
      </c>
      <c r="BW205" s="30">
        <v>12</v>
      </c>
      <c r="BX205" s="4" t="s">
        <v>587</v>
      </c>
    </row>
    <row r="206" spans="1:76" x14ac:dyDescent="0.25">
      <c r="A206" s="32" t="s">
        <v>588</v>
      </c>
      <c r="B206" s="33" t="s">
        <v>589</v>
      </c>
      <c r="C206" s="125" t="s">
        <v>590</v>
      </c>
      <c r="D206" s="126"/>
      <c r="E206" s="33" t="s">
        <v>64</v>
      </c>
      <c r="F206" s="34">
        <v>15.087730000000001</v>
      </c>
      <c r="G206" s="35">
        <v>0</v>
      </c>
      <c r="H206" s="34">
        <f>F206*AO206</f>
        <v>0</v>
      </c>
      <c r="I206" s="34">
        <f>F206*AP206</f>
        <v>0</v>
      </c>
      <c r="J206" s="34">
        <f>F206*G206</f>
        <v>0</v>
      </c>
      <c r="K206" s="36" t="s">
        <v>57</v>
      </c>
      <c r="Z206" s="30">
        <f>IF(AQ206="5",BJ206,0)</f>
        <v>0</v>
      </c>
      <c r="AB206" s="30">
        <f>IF(AQ206="1",BH206,0)</f>
        <v>0</v>
      </c>
      <c r="AC206" s="30">
        <f>IF(AQ206="1",BI206,0)</f>
        <v>0</v>
      </c>
      <c r="AD206" s="30">
        <f>IF(AQ206="7",BH206,0)</f>
        <v>0</v>
      </c>
      <c r="AE206" s="30">
        <f>IF(AQ206="7",BI206,0)</f>
        <v>0</v>
      </c>
      <c r="AF206" s="30">
        <f>IF(AQ206="2",BH206,0)</f>
        <v>0</v>
      </c>
      <c r="AG206" s="30">
        <f>IF(AQ206="2",BI206,0)</f>
        <v>0</v>
      </c>
      <c r="AH206" s="30">
        <f>IF(AQ206="0",BJ206,0)</f>
        <v>0</v>
      </c>
      <c r="AI206" s="10" t="s">
        <v>50</v>
      </c>
      <c r="AJ206" s="30">
        <f>IF(AN206=0,J206,0)</f>
        <v>0</v>
      </c>
      <c r="AK206" s="30">
        <f>IF(AN206=12,J206,0)</f>
        <v>0</v>
      </c>
      <c r="AL206" s="30">
        <f>IF(AN206=21,J206,0)</f>
        <v>0</v>
      </c>
      <c r="AN206" s="30">
        <v>12</v>
      </c>
      <c r="AO206" s="30">
        <f>G206*1</f>
        <v>0</v>
      </c>
      <c r="AP206" s="30">
        <f>G206*(1-1)</f>
        <v>0</v>
      </c>
      <c r="AQ206" s="31" t="s">
        <v>81</v>
      </c>
      <c r="AV206" s="30">
        <f>AW206+AX206</f>
        <v>0</v>
      </c>
      <c r="AW206" s="30">
        <f>F206*AO206</f>
        <v>0</v>
      </c>
      <c r="AX206" s="30">
        <f>F206*AP206</f>
        <v>0</v>
      </c>
      <c r="AY206" s="31" t="s">
        <v>570</v>
      </c>
      <c r="AZ206" s="31" t="s">
        <v>571</v>
      </c>
      <c r="BA206" s="10" t="s">
        <v>60</v>
      </c>
      <c r="BC206" s="30">
        <f>AW206+AX206</f>
        <v>0</v>
      </c>
      <c r="BD206" s="30">
        <f>G206/(100-BE206)*100</f>
        <v>0</v>
      </c>
      <c r="BE206" s="30">
        <v>0</v>
      </c>
      <c r="BF206" s="30">
        <f>206</f>
        <v>206</v>
      </c>
      <c r="BH206" s="30">
        <f>F206*AO206</f>
        <v>0</v>
      </c>
      <c r="BI206" s="30">
        <f>F206*AP206</f>
        <v>0</v>
      </c>
      <c r="BJ206" s="30">
        <f>F206*G206</f>
        <v>0</v>
      </c>
      <c r="BK206" s="30"/>
      <c r="BL206" s="30">
        <v>771</v>
      </c>
      <c r="BW206" s="30">
        <v>12</v>
      </c>
      <c r="BX206" s="4" t="s">
        <v>590</v>
      </c>
    </row>
    <row r="207" spans="1:76" x14ac:dyDescent="0.25">
      <c r="A207" s="32" t="s">
        <v>591</v>
      </c>
      <c r="B207" s="33" t="s">
        <v>592</v>
      </c>
      <c r="C207" s="125" t="s">
        <v>593</v>
      </c>
      <c r="D207" s="126"/>
      <c r="E207" s="33" t="s">
        <v>64</v>
      </c>
      <c r="F207" s="34">
        <v>13.71612</v>
      </c>
      <c r="G207" s="35">
        <v>0</v>
      </c>
      <c r="H207" s="34">
        <f>F207*AO207</f>
        <v>0</v>
      </c>
      <c r="I207" s="34">
        <f>F207*AP207</f>
        <v>0</v>
      </c>
      <c r="J207" s="34">
        <f>F207*G207</f>
        <v>0</v>
      </c>
      <c r="K207" s="36" t="s">
        <v>57</v>
      </c>
      <c r="Z207" s="30">
        <f>IF(AQ207="5",BJ207,0)</f>
        <v>0</v>
      </c>
      <c r="AB207" s="30">
        <f>IF(AQ207="1",BH207,0)</f>
        <v>0</v>
      </c>
      <c r="AC207" s="30">
        <f>IF(AQ207="1",BI207,0)</f>
        <v>0</v>
      </c>
      <c r="AD207" s="30">
        <f>IF(AQ207="7",BH207,0)</f>
        <v>0</v>
      </c>
      <c r="AE207" s="30">
        <f>IF(AQ207="7",BI207,0)</f>
        <v>0</v>
      </c>
      <c r="AF207" s="30">
        <f>IF(AQ207="2",BH207,0)</f>
        <v>0</v>
      </c>
      <c r="AG207" s="30">
        <f>IF(AQ207="2",BI207,0)</f>
        <v>0</v>
      </c>
      <c r="AH207" s="30">
        <f>IF(AQ207="0",BJ207,0)</f>
        <v>0</v>
      </c>
      <c r="AI207" s="10" t="s">
        <v>50</v>
      </c>
      <c r="AJ207" s="30">
        <f>IF(AN207=0,J207,0)</f>
        <v>0</v>
      </c>
      <c r="AK207" s="30">
        <f>IF(AN207=12,J207,0)</f>
        <v>0</v>
      </c>
      <c r="AL207" s="30">
        <f>IF(AN207=21,J207,0)</f>
        <v>0</v>
      </c>
      <c r="AN207" s="30">
        <v>12</v>
      </c>
      <c r="AO207" s="30">
        <f>G207*0</f>
        <v>0</v>
      </c>
      <c r="AP207" s="30">
        <f>G207*(1-0)</f>
        <v>0</v>
      </c>
      <c r="AQ207" s="31" t="s">
        <v>81</v>
      </c>
      <c r="AV207" s="30">
        <f>AW207+AX207</f>
        <v>0</v>
      </c>
      <c r="AW207" s="30">
        <f>F207*AO207</f>
        <v>0</v>
      </c>
      <c r="AX207" s="30">
        <f>F207*AP207</f>
        <v>0</v>
      </c>
      <c r="AY207" s="31" t="s">
        <v>570</v>
      </c>
      <c r="AZ207" s="31" t="s">
        <v>571</v>
      </c>
      <c r="BA207" s="10" t="s">
        <v>60</v>
      </c>
      <c r="BC207" s="30">
        <f>AW207+AX207</f>
        <v>0</v>
      </c>
      <c r="BD207" s="30">
        <f>G207/(100-BE207)*100</f>
        <v>0</v>
      </c>
      <c r="BE207" s="30">
        <v>0</v>
      </c>
      <c r="BF207" s="30">
        <f>207</f>
        <v>207</v>
      </c>
      <c r="BH207" s="30">
        <f>F207*AO207</f>
        <v>0</v>
      </c>
      <c r="BI207" s="30">
        <f>F207*AP207</f>
        <v>0</v>
      </c>
      <c r="BJ207" s="30">
        <f>F207*G207</f>
        <v>0</v>
      </c>
      <c r="BK207" s="30"/>
      <c r="BL207" s="30">
        <v>771</v>
      </c>
      <c r="BW207" s="30">
        <v>12</v>
      </c>
      <c r="BX207" s="4" t="s">
        <v>593</v>
      </c>
    </row>
    <row r="208" spans="1:76" ht="13.5" customHeight="1" x14ac:dyDescent="0.25">
      <c r="A208" s="37"/>
      <c r="B208" s="38" t="s">
        <v>68</v>
      </c>
      <c r="C208" s="127" t="s">
        <v>594</v>
      </c>
      <c r="D208" s="128"/>
      <c r="E208" s="128"/>
      <c r="F208" s="128"/>
      <c r="G208" s="129"/>
      <c r="H208" s="128"/>
      <c r="I208" s="128"/>
      <c r="J208" s="128"/>
      <c r="K208" s="130"/>
    </row>
    <row r="209" spans="1:76" x14ac:dyDescent="0.25">
      <c r="A209" s="25" t="s">
        <v>595</v>
      </c>
      <c r="B209" s="26" t="s">
        <v>596</v>
      </c>
      <c r="C209" s="123" t="s">
        <v>597</v>
      </c>
      <c r="D209" s="124"/>
      <c r="E209" s="26" t="s">
        <v>64</v>
      </c>
      <c r="F209" s="27">
        <v>15.087730000000001</v>
      </c>
      <c r="G209" s="28">
        <v>0</v>
      </c>
      <c r="H209" s="27">
        <f t="shared" ref="H209:H218" si="264">F209*AO209</f>
        <v>0</v>
      </c>
      <c r="I209" s="27">
        <f t="shared" ref="I209:I218" si="265">F209*AP209</f>
        <v>0</v>
      </c>
      <c r="J209" s="27">
        <f t="shared" ref="J209:J218" si="266">F209*G209</f>
        <v>0</v>
      </c>
      <c r="K209" s="29" t="s">
        <v>57</v>
      </c>
      <c r="Z209" s="30">
        <f t="shared" ref="Z209:Z218" si="267">IF(AQ209="5",BJ209,0)</f>
        <v>0</v>
      </c>
      <c r="AB209" s="30">
        <f t="shared" ref="AB209:AB218" si="268">IF(AQ209="1",BH209,0)</f>
        <v>0</v>
      </c>
      <c r="AC209" s="30">
        <f t="shared" ref="AC209:AC218" si="269">IF(AQ209="1",BI209,0)</f>
        <v>0</v>
      </c>
      <c r="AD209" s="30">
        <f t="shared" ref="AD209:AD218" si="270">IF(AQ209="7",BH209,0)</f>
        <v>0</v>
      </c>
      <c r="AE209" s="30">
        <f t="shared" ref="AE209:AE218" si="271">IF(AQ209="7",BI209,0)</f>
        <v>0</v>
      </c>
      <c r="AF209" s="30">
        <f t="shared" ref="AF209:AF218" si="272">IF(AQ209="2",BH209,0)</f>
        <v>0</v>
      </c>
      <c r="AG209" s="30">
        <f t="shared" ref="AG209:AG218" si="273">IF(AQ209="2",BI209,0)</f>
        <v>0</v>
      </c>
      <c r="AH209" s="30">
        <f t="shared" ref="AH209:AH218" si="274">IF(AQ209="0",BJ209,0)</f>
        <v>0</v>
      </c>
      <c r="AI209" s="10" t="s">
        <v>50</v>
      </c>
      <c r="AJ209" s="30">
        <f t="shared" ref="AJ209:AJ218" si="275">IF(AN209=0,J209,0)</f>
        <v>0</v>
      </c>
      <c r="AK209" s="30">
        <f t="shared" ref="AK209:AK218" si="276">IF(AN209=12,J209,0)</f>
        <v>0</v>
      </c>
      <c r="AL209" s="30">
        <f t="shared" ref="AL209:AL218" si="277">IF(AN209=21,J209,0)</f>
        <v>0</v>
      </c>
      <c r="AN209" s="30">
        <v>12</v>
      </c>
      <c r="AO209" s="30">
        <f>G209*1</f>
        <v>0</v>
      </c>
      <c r="AP209" s="30">
        <f>G209*(1-1)</f>
        <v>0</v>
      </c>
      <c r="AQ209" s="31" t="s">
        <v>81</v>
      </c>
      <c r="AV209" s="30">
        <f t="shared" ref="AV209:AV218" si="278">AW209+AX209</f>
        <v>0</v>
      </c>
      <c r="AW209" s="30">
        <f t="shared" ref="AW209:AW218" si="279">F209*AO209</f>
        <v>0</v>
      </c>
      <c r="AX209" s="30">
        <f t="shared" ref="AX209:AX218" si="280">F209*AP209</f>
        <v>0</v>
      </c>
      <c r="AY209" s="31" t="s">
        <v>570</v>
      </c>
      <c r="AZ209" s="31" t="s">
        <v>571</v>
      </c>
      <c r="BA209" s="10" t="s">
        <v>60</v>
      </c>
      <c r="BC209" s="30">
        <f t="shared" ref="BC209:BC218" si="281">AW209+AX209</f>
        <v>0</v>
      </c>
      <c r="BD209" s="30">
        <f t="shared" ref="BD209:BD218" si="282">G209/(100-BE209)*100</f>
        <v>0</v>
      </c>
      <c r="BE209" s="30">
        <v>0</v>
      </c>
      <c r="BF209" s="30">
        <f>209</f>
        <v>209</v>
      </c>
      <c r="BH209" s="30">
        <f t="shared" ref="BH209:BH218" si="283">F209*AO209</f>
        <v>0</v>
      </c>
      <c r="BI209" s="30">
        <f t="shared" ref="BI209:BI218" si="284">F209*AP209</f>
        <v>0</v>
      </c>
      <c r="BJ209" s="30">
        <f t="shared" ref="BJ209:BJ218" si="285">F209*G209</f>
        <v>0</v>
      </c>
      <c r="BK209" s="30"/>
      <c r="BL209" s="30">
        <v>771</v>
      </c>
      <c r="BW209" s="30">
        <v>12</v>
      </c>
      <c r="BX209" s="4" t="s">
        <v>597</v>
      </c>
    </row>
    <row r="210" spans="1:76" x14ac:dyDescent="0.25">
      <c r="A210" s="32" t="s">
        <v>598</v>
      </c>
      <c r="B210" s="33" t="s">
        <v>599</v>
      </c>
      <c r="C210" s="125" t="s">
        <v>600</v>
      </c>
      <c r="D210" s="126"/>
      <c r="E210" s="33" t="s">
        <v>64</v>
      </c>
      <c r="F210" s="34">
        <v>9.9761199999999999</v>
      </c>
      <c r="G210" s="35">
        <v>0</v>
      </c>
      <c r="H210" s="34">
        <f t="shared" si="264"/>
        <v>0</v>
      </c>
      <c r="I210" s="34">
        <f t="shared" si="265"/>
        <v>0</v>
      </c>
      <c r="J210" s="34">
        <f t="shared" si="266"/>
        <v>0</v>
      </c>
      <c r="K210" s="36" t="s">
        <v>57</v>
      </c>
      <c r="Z210" s="30">
        <f t="shared" si="267"/>
        <v>0</v>
      </c>
      <c r="AB210" s="30">
        <f t="shared" si="268"/>
        <v>0</v>
      </c>
      <c r="AC210" s="30">
        <f t="shared" si="269"/>
        <v>0</v>
      </c>
      <c r="AD210" s="30">
        <f t="shared" si="270"/>
        <v>0</v>
      </c>
      <c r="AE210" s="30">
        <f t="shared" si="271"/>
        <v>0</v>
      </c>
      <c r="AF210" s="30">
        <f t="shared" si="272"/>
        <v>0</v>
      </c>
      <c r="AG210" s="30">
        <f t="shared" si="273"/>
        <v>0</v>
      </c>
      <c r="AH210" s="30">
        <f t="shared" si="274"/>
        <v>0</v>
      </c>
      <c r="AI210" s="10" t="s">
        <v>50</v>
      </c>
      <c r="AJ210" s="30">
        <f t="shared" si="275"/>
        <v>0</v>
      </c>
      <c r="AK210" s="30">
        <f t="shared" si="276"/>
        <v>0</v>
      </c>
      <c r="AL210" s="30">
        <f t="shared" si="277"/>
        <v>0</v>
      </c>
      <c r="AN210" s="30">
        <v>12</v>
      </c>
      <c r="AO210" s="30">
        <f>G210*0.816808755</f>
        <v>0</v>
      </c>
      <c r="AP210" s="30">
        <f>G210*(1-0.816808755)</f>
        <v>0</v>
      </c>
      <c r="AQ210" s="31" t="s">
        <v>81</v>
      </c>
      <c r="AV210" s="30">
        <f t="shared" si="278"/>
        <v>0</v>
      </c>
      <c r="AW210" s="30">
        <f t="shared" si="279"/>
        <v>0</v>
      </c>
      <c r="AX210" s="30">
        <f t="shared" si="280"/>
        <v>0</v>
      </c>
      <c r="AY210" s="31" t="s">
        <v>570</v>
      </c>
      <c r="AZ210" s="31" t="s">
        <v>571</v>
      </c>
      <c r="BA210" s="10" t="s">
        <v>60</v>
      </c>
      <c r="BC210" s="30">
        <f t="shared" si="281"/>
        <v>0</v>
      </c>
      <c r="BD210" s="30">
        <f t="shared" si="282"/>
        <v>0</v>
      </c>
      <c r="BE210" s="30">
        <v>0</v>
      </c>
      <c r="BF210" s="30">
        <f>210</f>
        <v>210</v>
      </c>
      <c r="BH210" s="30">
        <f t="shared" si="283"/>
        <v>0</v>
      </c>
      <c r="BI210" s="30">
        <f t="shared" si="284"/>
        <v>0</v>
      </c>
      <c r="BJ210" s="30">
        <f t="shared" si="285"/>
        <v>0</v>
      </c>
      <c r="BK210" s="30"/>
      <c r="BL210" s="30">
        <v>771</v>
      </c>
      <c r="BW210" s="30">
        <v>12</v>
      </c>
      <c r="BX210" s="4" t="s">
        <v>600</v>
      </c>
    </row>
    <row r="211" spans="1:76" x14ac:dyDescent="0.25">
      <c r="A211" s="32" t="s">
        <v>601</v>
      </c>
      <c r="B211" s="33" t="s">
        <v>602</v>
      </c>
      <c r="C211" s="125" t="s">
        <v>603</v>
      </c>
      <c r="D211" s="126"/>
      <c r="E211" s="33" t="s">
        <v>64</v>
      </c>
      <c r="F211" s="34">
        <v>3.74</v>
      </c>
      <c r="G211" s="35">
        <v>0</v>
      </c>
      <c r="H211" s="34">
        <f t="shared" si="264"/>
        <v>0</v>
      </c>
      <c r="I211" s="34">
        <f t="shared" si="265"/>
        <v>0</v>
      </c>
      <c r="J211" s="34">
        <f t="shared" si="266"/>
        <v>0</v>
      </c>
      <c r="K211" s="36" t="s">
        <v>57</v>
      </c>
      <c r="Z211" s="30">
        <f t="shared" si="267"/>
        <v>0</v>
      </c>
      <c r="AB211" s="30">
        <f t="shared" si="268"/>
        <v>0</v>
      </c>
      <c r="AC211" s="30">
        <f t="shared" si="269"/>
        <v>0</v>
      </c>
      <c r="AD211" s="30">
        <f t="shared" si="270"/>
        <v>0</v>
      </c>
      <c r="AE211" s="30">
        <f t="shared" si="271"/>
        <v>0</v>
      </c>
      <c r="AF211" s="30">
        <f t="shared" si="272"/>
        <v>0</v>
      </c>
      <c r="AG211" s="30">
        <f t="shared" si="273"/>
        <v>0</v>
      </c>
      <c r="AH211" s="30">
        <f t="shared" si="274"/>
        <v>0</v>
      </c>
      <c r="AI211" s="10" t="s">
        <v>50</v>
      </c>
      <c r="AJ211" s="30">
        <f t="shared" si="275"/>
        <v>0</v>
      </c>
      <c r="AK211" s="30">
        <f t="shared" si="276"/>
        <v>0</v>
      </c>
      <c r="AL211" s="30">
        <f t="shared" si="277"/>
        <v>0</v>
      </c>
      <c r="AN211" s="30">
        <v>12</v>
      </c>
      <c r="AO211" s="30">
        <f>G211*0.921369863</f>
        <v>0</v>
      </c>
      <c r="AP211" s="30">
        <f>G211*(1-0.921369863)</f>
        <v>0</v>
      </c>
      <c r="AQ211" s="31" t="s">
        <v>81</v>
      </c>
      <c r="AV211" s="30">
        <f t="shared" si="278"/>
        <v>0</v>
      </c>
      <c r="AW211" s="30">
        <f t="shared" si="279"/>
        <v>0</v>
      </c>
      <c r="AX211" s="30">
        <f t="shared" si="280"/>
        <v>0</v>
      </c>
      <c r="AY211" s="31" t="s">
        <v>570</v>
      </c>
      <c r="AZ211" s="31" t="s">
        <v>571</v>
      </c>
      <c r="BA211" s="10" t="s">
        <v>60</v>
      </c>
      <c r="BC211" s="30">
        <f t="shared" si="281"/>
        <v>0</v>
      </c>
      <c r="BD211" s="30">
        <f t="shared" si="282"/>
        <v>0</v>
      </c>
      <c r="BE211" s="30">
        <v>0</v>
      </c>
      <c r="BF211" s="30">
        <f>211</f>
        <v>211</v>
      </c>
      <c r="BH211" s="30">
        <f t="shared" si="283"/>
        <v>0</v>
      </c>
      <c r="BI211" s="30">
        <f t="shared" si="284"/>
        <v>0</v>
      </c>
      <c r="BJ211" s="30">
        <f t="shared" si="285"/>
        <v>0</v>
      </c>
      <c r="BK211" s="30"/>
      <c r="BL211" s="30">
        <v>771</v>
      </c>
      <c r="BW211" s="30">
        <v>12</v>
      </c>
      <c r="BX211" s="4" t="s">
        <v>603</v>
      </c>
    </row>
    <row r="212" spans="1:76" x14ac:dyDescent="0.25">
      <c r="A212" s="32" t="s">
        <v>604</v>
      </c>
      <c r="B212" s="33" t="s">
        <v>605</v>
      </c>
      <c r="C212" s="125" t="s">
        <v>606</v>
      </c>
      <c r="D212" s="126"/>
      <c r="E212" s="33" t="s">
        <v>64</v>
      </c>
      <c r="F212" s="34">
        <v>13.71612</v>
      </c>
      <c r="G212" s="35">
        <v>0</v>
      </c>
      <c r="H212" s="34">
        <f t="shared" si="264"/>
        <v>0</v>
      </c>
      <c r="I212" s="34">
        <f t="shared" si="265"/>
        <v>0</v>
      </c>
      <c r="J212" s="34">
        <f t="shared" si="266"/>
        <v>0</v>
      </c>
      <c r="K212" s="36" t="s">
        <v>57</v>
      </c>
      <c r="Z212" s="30">
        <f t="shared" si="267"/>
        <v>0</v>
      </c>
      <c r="AB212" s="30">
        <f t="shared" si="268"/>
        <v>0</v>
      </c>
      <c r="AC212" s="30">
        <f t="shared" si="269"/>
        <v>0</v>
      </c>
      <c r="AD212" s="30">
        <f t="shared" si="270"/>
        <v>0</v>
      </c>
      <c r="AE212" s="30">
        <f t="shared" si="271"/>
        <v>0</v>
      </c>
      <c r="AF212" s="30">
        <f t="shared" si="272"/>
        <v>0</v>
      </c>
      <c r="AG212" s="30">
        <f t="shared" si="273"/>
        <v>0</v>
      </c>
      <c r="AH212" s="30">
        <f t="shared" si="274"/>
        <v>0</v>
      </c>
      <c r="AI212" s="10" t="s">
        <v>50</v>
      </c>
      <c r="AJ212" s="30">
        <f t="shared" si="275"/>
        <v>0</v>
      </c>
      <c r="AK212" s="30">
        <f t="shared" si="276"/>
        <v>0</v>
      </c>
      <c r="AL212" s="30">
        <f t="shared" si="277"/>
        <v>0</v>
      </c>
      <c r="AN212" s="30">
        <v>12</v>
      </c>
      <c r="AO212" s="30">
        <f>G212*0.472424526</f>
        <v>0</v>
      </c>
      <c r="AP212" s="30">
        <f>G212*(1-0.472424526)</f>
        <v>0</v>
      </c>
      <c r="AQ212" s="31" t="s">
        <v>81</v>
      </c>
      <c r="AV212" s="30">
        <f t="shared" si="278"/>
        <v>0</v>
      </c>
      <c r="AW212" s="30">
        <f t="shared" si="279"/>
        <v>0</v>
      </c>
      <c r="AX212" s="30">
        <f t="shared" si="280"/>
        <v>0</v>
      </c>
      <c r="AY212" s="31" t="s">
        <v>570</v>
      </c>
      <c r="AZ212" s="31" t="s">
        <v>571</v>
      </c>
      <c r="BA212" s="10" t="s">
        <v>60</v>
      </c>
      <c r="BC212" s="30">
        <f t="shared" si="281"/>
        <v>0</v>
      </c>
      <c r="BD212" s="30">
        <f t="shared" si="282"/>
        <v>0</v>
      </c>
      <c r="BE212" s="30">
        <v>0</v>
      </c>
      <c r="BF212" s="30">
        <f>212</f>
        <v>212</v>
      </c>
      <c r="BH212" s="30">
        <f t="shared" si="283"/>
        <v>0</v>
      </c>
      <c r="BI212" s="30">
        <f t="shared" si="284"/>
        <v>0</v>
      </c>
      <c r="BJ212" s="30">
        <f t="shared" si="285"/>
        <v>0</v>
      </c>
      <c r="BK212" s="30"/>
      <c r="BL212" s="30">
        <v>771</v>
      </c>
      <c r="BW212" s="30">
        <v>12</v>
      </c>
      <c r="BX212" s="4" t="s">
        <v>606</v>
      </c>
    </row>
    <row r="213" spans="1:76" x14ac:dyDescent="0.25">
      <c r="A213" s="32" t="s">
        <v>607</v>
      </c>
      <c r="B213" s="33" t="s">
        <v>608</v>
      </c>
      <c r="C213" s="125" t="s">
        <v>609</v>
      </c>
      <c r="D213" s="126"/>
      <c r="E213" s="33" t="s">
        <v>64</v>
      </c>
      <c r="F213" s="34">
        <v>3.74</v>
      </c>
      <c r="G213" s="35">
        <v>0</v>
      </c>
      <c r="H213" s="34">
        <f t="shared" si="264"/>
        <v>0</v>
      </c>
      <c r="I213" s="34">
        <f t="shared" si="265"/>
        <v>0</v>
      </c>
      <c r="J213" s="34">
        <f t="shared" si="266"/>
        <v>0</v>
      </c>
      <c r="K213" s="36" t="s">
        <v>57</v>
      </c>
      <c r="Z213" s="30">
        <f t="shared" si="267"/>
        <v>0</v>
      </c>
      <c r="AB213" s="30">
        <f t="shared" si="268"/>
        <v>0</v>
      </c>
      <c r="AC213" s="30">
        <f t="shared" si="269"/>
        <v>0</v>
      </c>
      <c r="AD213" s="30">
        <f t="shared" si="270"/>
        <v>0</v>
      </c>
      <c r="AE213" s="30">
        <f t="shared" si="271"/>
        <v>0</v>
      </c>
      <c r="AF213" s="30">
        <f t="shared" si="272"/>
        <v>0</v>
      </c>
      <c r="AG213" s="30">
        <f t="shared" si="273"/>
        <v>0</v>
      </c>
      <c r="AH213" s="30">
        <f t="shared" si="274"/>
        <v>0</v>
      </c>
      <c r="AI213" s="10" t="s">
        <v>50</v>
      </c>
      <c r="AJ213" s="30">
        <f t="shared" si="275"/>
        <v>0</v>
      </c>
      <c r="AK213" s="30">
        <f t="shared" si="276"/>
        <v>0</v>
      </c>
      <c r="AL213" s="30">
        <f t="shared" si="277"/>
        <v>0</v>
      </c>
      <c r="AN213" s="30">
        <v>12</v>
      </c>
      <c r="AO213" s="30">
        <f>G213*0.628274747</f>
        <v>0</v>
      </c>
      <c r="AP213" s="30">
        <f>G213*(1-0.628274747)</f>
        <v>0</v>
      </c>
      <c r="AQ213" s="31" t="s">
        <v>81</v>
      </c>
      <c r="AV213" s="30">
        <f t="shared" si="278"/>
        <v>0</v>
      </c>
      <c r="AW213" s="30">
        <f t="shared" si="279"/>
        <v>0</v>
      </c>
      <c r="AX213" s="30">
        <f t="shared" si="280"/>
        <v>0</v>
      </c>
      <c r="AY213" s="31" t="s">
        <v>570</v>
      </c>
      <c r="AZ213" s="31" t="s">
        <v>571</v>
      </c>
      <c r="BA213" s="10" t="s">
        <v>60</v>
      </c>
      <c r="BC213" s="30">
        <f t="shared" si="281"/>
        <v>0</v>
      </c>
      <c r="BD213" s="30">
        <f t="shared" si="282"/>
        <v>0</v>
      </c>
      <c r="BE213" s="30">
        <v>0</v>
      </c>
      <c r="BF213" s="30">
        <f>213</f>
        <v>213</v>
      </c>
      <c r="BH213" s="30">
        <f t="shared" si="283"/>
        <v>0</v>
      </c>
      <c r="BI213" s="30">
        <f t="shared" si="284"/>
        <v>0</v>
      </c>
      <c r="BJ213" s="30">
        <f t="shared" si="285"/>
        <v>0</v>
      </c>
      <c r="BK213" s="30"/>
      <c r="BL213" s="30">
        <v>771</v>
      </c>
      <c r="BW213" s="30">
        <v>12</v>
      </c>
      <c r="BX213" s="4" t="s">
        <v>609</v>
      </c>
    </row>
    <row r="214" spans="1:76" x14ac:dyDescent="0.25">
      <c r="A214" s="32" t="s">
        <v>610</v>
      </c>
      <c r="B214" s="33" t="s">
        <v>611</v>
      </c>
      <c r="C214" s="125" t="s">
        <v>612</v>
      </c>
      <c r="D214" s="126"/>
      <c r="E214" s="33" t="s">
        <v>80</v>
      </c>
      <c r="F214" s="34">
        <v>9.0500000000000007</v>
      </c>
      <c r="G214" s="35">
        <v>0</v>
      </c>
      <c r="H214" s="34">
        <f t="shared" si="264"/>
        <v>0</v>
      </c>
      <c r="I214" s="34">
        <f t="shared" si="265"/>
        <v>0</v>
      </c>
      <c r="J214" s="34">
        <f t="shared" si="266"/>
        <v>0</v>
      </c>
      <c r="K214" s="36" t="s">
        <v>57</v>
      </c>
      <c r="Z214" s="30">
        <f t="shared" si="267"/>
        <v>0</v>
      </c>
      <c r="AB214" s="30">
        <f t="shared" si="268"/>
        <v>0</v>
      </c>
      <c r="AC214" s="30">
        <f t="shared" si="269"/>
        <v>0</v>
      </c>
      <c r="AD214" s="30">
        <f t="shared" si="270"/>
        <v>0</v>
      </c>
      <c r="AE214" s="30">
        <f t="shared" si="271"/>
        <v>0</v>
      </c>
      <c r="AF214" s="30">
        <f t="shared" si="272"/>
        <v>0</v>
      </c>
      <c r="AG214" s="30">
        <f t="shared" si="273"/>
        <v>0</v>
      </c>
      <c r="AH214" s="30">
        <f t="shared" si="274"/>
        <v>0</v>
      </c>
      <c r="AI214" s="10" t="s">
        <v>50</v>
      </c>
      <c r="AJ214" s="30">
        <f t="shared" si="275"/>
        <v>0</v>
      </c>
      <c r="AK214" s="30">
        <f t="shared" si="276"/>
        <v>0</v>
      </c>
      <c r="AL214" s="30">
        <f t="shared" si="277"/>
        <v>0</v>
      </c>
      <c r="AN214" s="30">
        <v>12</v>
      </c>
      <c r="AO214" s="30">
        <f>G214*0.679130435</f>
        <v>0</v>
      </c>
      <c r="AP214" s="30">
        <f>G214*(1-0.679130435)</f>
        <v>0</v>
      </c>
      <c r="AQ214" s="31" t="s">
        <v>81</v>
      </c>
      <c r="AV214" s="30">
        <f t="shared" si="278"/>
        <v>0</v>
      </c>
      <c r="AW214" s="30">
        <f t="shared" si="279"/>
        <v>0</v>
      </c>
      <c r="AX214" s="30">
        <f t="shared" si="280"/>
        <v>0</v>
      </c>
      <c r="AY214" s="31" t="s">
        <v>570</v>
      </c>
      <c r="AZ214" s="31" t="s">
        <v>571</v>
      </c>
      <c r="BA214" s="10" t="s">
        <v>60</v>
      </c>
      <c r="BC214" s="30">
        <f t="shared" si="281"/>
        <v>0</v>
      </c>
      <c r="BD214" s="30">
        <f t="shared" si="282"/>
        <v>0</v>
      </c>
      <c r="BE214" s="30">
        <v>0</v>
      </c>
      <c r="BF214" s="30">
        <f>214</f>
        <v>214</v>
      </c>
      <c r="BH214" s="30">
        <f t="shared" si="283"/>
        <v>0</v>
      </c>
      <c r="BI214" s="30">
        <f t="shared" si="284"/>
        <v>0</v>
      </c>
      <c r="BJ214" s="30">
        <f t="shared" si="285"/>
        <v>0</v>
      </c>
      <c r="BK214" s="30"/>
      <c r="BL214" s="30">
        <v>771</v>
      </c>
      <c r="BW214" s="30">
        <v>12</v>
      </c>
      <c r="BX214" s="4" t="s">
        <v>612</v>
      </c>
    </row>
    <row r="215" spans="1:76" x14ac:dyDescent="0.25">
      <c r="A215" s="32" t="s">
        <v>613</v>
      </c>
      <c r="B215" s="33" t="s">
        <v>614</v>
      </c>
      <c r="C215" s="125" t="s">
        <v>615</v>
      </c>
      <c r="D215" s="126"/>
      <c r="E215" s="33" t="s">
        <v>56</v>
      </c>
      <c r="F215" s="34">
        <v>1</v>
      </c>
      <c r="G215" s="35">
        <v>0</v>
      </c>
      <c r="H215" s="34">
        <f t="shared" si="264"/>
        <v>0</v>
      </c>
      <c r="I215" s="34">
        <f t="shared" si="265"/>
        <v>0</v>
      </c>
      <c r="J215" s="34">
        <f t="shared" si="266"/>
        <v>0</v>
      </c>
      <c r="K215" s="36" t="s">
        <v>57</v>
      </c>
      <c r="Z215" s="30">
        <f t="shared" si="267"/>
        <v>0</v>
      </c>
      <c r="AB215" s="30">
        <f t="shared" si="268"/>
        <v>0</v>
      </c>
      <c r="AC215" s="30">
        <f t="shared" si="269"/>
        <v>0</v>
      </c>
      <c r="AD215" s="30">
        <f t="shared" si="270"/>
        <v>0</v>
      </c>
      <c r="AE215" s="30">
        <f t="shared" si="271"/>
        <v>0</v>
      </c>
      <c r="AF215" s="30">
        <f t="shared" si="272"/>
        <v>0</v>
      </c>
      <c r="AG215" s="30">
        <f t="shared" si="273"/>
        <v>0</v>
      </c>
      <c r="AH215" s="30">
        <f t="shared" si="274"/>
        <v>0</v>
      </c>
      <c r="AI215" s="10" t="s">
        <v>50</v>
      </c>
      <c r="AJ215" s="30">
        <f t="shared" si="275"/>
        <v>0</v>
      </c>
      <c r="AK215" s="30">
        <f t="shared" si="276"/>
        <v>0</v>
      </c>
      <c r="AL215" s="30">
        <f t="shared" si="277"/>
        <v>0</v>
      </c>
      <c r="AN215" s="30">
        <v>12</v>
      </c>
      <c r="AO215" s="30">
        <f>G215*0.799378641</f>
        <v>0</v>
      </c>
      <c r="AP215" s="30">
        <f>G215*(1-0.799378641)</f>
        <v>0</v>
      </c>
      <c r="AQ215" s="31" t="s">
        <v>81</v>
      </c>
      <c r="AV215" s="30">
        <f t="shared" si="278"/>
        <v>0</v>
      </c>
      <c r="AW215" s="30">
        <f t="shared" si="279"/>
        <v>0</v>
      </c>
      <c r="AX215" s="30">
        <f t="shared" si="280"/>
        <v>0</v>
      </c>
      <c r="AY215" s="31" t="s">
        <v>570</v>
      </c>
      <c r="AZ215" s="31" t="s">
        <v>571</v>
      </c>
      <c r="BA215" s="10" t="s">
        <v>60</v>
      </c>
      <c r="BC215" s="30">
        <f t="shared" si="281"/>
        <v>0</v>
      </c>
      <c r="BD215" s="30">
        <f t="shared" si="282"/>
        <v>0</v>
      </c>
      <c r="BE215" s="30">
        <v>0</v>
      </c>
      <c r="BF215" s="30">
        <f>215</f>
        <v>215</v>
      </c>
      <c r="BH215" s="30">
        <f t="shared" si="283"/>
        <v>0</v>
      </c>
      <c r="BI215" s="30">
        <f t="shared" si="284"/>
        <v>0</v>
      </c>
      <c r="BJ215" s="30">
        <f t="shared" si="285"/>
        <v>0</v>
      </c>
      <c r="BK215" s="30"/>
      <c r="BL215" s="30">
        <v>771</v>
      </c>
      <c r="BW215" s="30">
        <v>12</v>
      </c>
      <c r="BX215" s="4" t="s">
        <v>615</v>
      </c>
    </row>
    <row r="216" spans="1:76" x14ac:dyDescent="0.25">
      <c r="A216" s="32" t="s">
        <v>616</v>
      </c>
      <c r="B216" s="33" t="s">
        <v>617</v>
      </c>
      <c r="C216" s="125" t="s">
        <v>618</v>
      </c>
      <c r="D216" s="126"/>
      <c r="E216" s="33" t="s">
        <v>64</v>
      </c>
      <c r="F216" s="34">
        <v>13.71612</v>
      </c>
      <c r="G216" s="35">
        <v>0</v>
      </c>
      <c r="H216" s="34">
        <f t="shared" si="264"/>
        <v>0</v>
      </c>
      <c r="I216" s="34">
        <f t="shared" si="265"/>
        <v>0</v>
      </c>
      <c r="J216" s="34">
        <f t="shared" si="266"/>
        <v>0</v>
      </c>
      <c r="K216" s="36" t="s">
        <v>57</v>
      </c>
      <c r="Z216" s="30">
        <f t="shared" si="267"/>
        <v>0</v>
      </c>
      <c r="AB216" s="30">
        <f t="shared" si="268"/>
        <v>0</v>
      </c>
      <c r="AC216" s="30">
        <f t="shared" si="269"/>
        <v>0</v>
      </c>
      <c r="AD216" s="30">
        <f t="shared" si="270"/>
        <v>0</v>
      </c>
      <c r="AE216" s="30">
        <f t="shared" si="271"/>
        <v>0</v>
      </c>
      <c r="AF216" s="30">
        <f t="shared" si="272"/>
        <v>0</v>
      </c>
      <c r="AG216" s="30">
        <f t="shared" si="273"/>
        <v>0</v>
      </c>
      <c r="AH216" s="30">
        <f t="shared" si="274"/>
        <v>0</v>
      </c>
      <c r="AI216" s="10" t="s">
        <v>50</v>
      </c>
      <c r="AJ216" s="30">
        <f t="shared" si="275"/>
        <v>0</v>
      </c>
      <c r="AK216" s="30">
        <f t="shared" si="276"/>
        <v>0</v>
      </c>
      <c r="AL216" s="30">
        <f t="shared" si="277"/>
        <v>0</v>
      </c>
      <c r="AN216" s="30">
        <v>12</v>
      </c>
      <c r="AO216" s="30">
        <f>G216*0.518159619</f>
        <v>0</v>
      </c>
      <c r="AP216" s="30">
        <f>G216*(1-0.518159619)</f>
        <v>0</v>
      </c>
      <c r="AQ216" s="31" t="s">
        <v>81</v>
      </c>
      <c r="AV216" s="30">
        <f t="shared" si="278"/>
        <v>0</v>
      </c>
      <c r="AW216" s="30">
        <f t="shared" si="279"/>
        <v>0</v>
      </c>
      <c r="AX216" s="30">
        <f t="shared" si="280"/>
        <v>0</v>
      </c>
      <c r="AY216" s="31" t="s">
        <v>570</v>
      </c>
      <c r="AZ216" s="31" t="s">
        <v>571</v>
      </c>
      <c r="BA216" s="10" t="s">
        <v>60</v>
      </c>
      <c r="BC216" s="30">
        <f t="shared" si="281"/>
        <v>0</v>
      </c>
      <c r="BD216" s="30">
        <f t="shared" si="282"/>
        <v>0</v>
      </c>
      <c r="BE216" s="30">
        <v>0</v>
      </c>
      <c r="BF216" s="30">
        <f>216</f>
        <v>216</v>
      </c>
      <c r="BH216" s="30">
        <f t="shared" si="283"/>
        <v>0</v>
      </c>
      <c r="BI216" s="30">
        <f t="shared" si="284"/>
        <v>0</v>
      </c>
      <c r="BJ216" s="30">
        <f t="shared" si="285"/>
        <v>0</v>
      </c>
      <c r="BK216" s="30"/>
      <c r="BL216" s="30">
        <v>771</v>
      </c>
      <c r="BW216" s="30">
        <v>12</v>
      </c>
      <c r="BX216" s="4" t="s">
        <v>618</v>
      </c>
    </row>
    <row r="217" spans="1:76" x14ac:dyDescent="0.25">
      <c r="A217" s="32" t="s">
        <v>619</v>
      </c>
      <c r="B217" s="33" t="s">
        <v>620</v>
      </c>
      <c r="C217" s="125" t="s">
        <v>621</v>
      </c>
      <c r="D217" s="126"/>
      <c r="E217" s="33" t="s">
        <v>80</v>
      </c>
      <c r="F217" s="34">
        <v>13.605</v>
      </c>
      <c r="G217" s="35">
        <v>0</v>
      </c>
      <c r="H217" s="34">
        <f t="shared" si="264"/>
        <v>0</v>
      </c>
      <c r="I217" s="34">
        <f t="shared" si="265"/>
        <v>0</v>
      </c>
      <c r="J217" s="34">
        <f t="shared" si="266"/>
        <v>0</v>
      </c>
      <c r="K217" s="36" t="s">
        <v>57</v>
      </c>
      <c r="Z217" s="30">
        <f t="shared" si="267"/>
        <v>0</v>
      </c>
      <c r="AB217" s="30">
        <f t="shared" si="268"/>
        <v>0</v>
      </c>
      <c r="AC217" s="30">
        <f t="shared" si="269"/>
        <v>0</v>
      </c>
      <c r="AD217" s="30">
        <f t="shared" si="270"/>
        <v>0</v>
      </c>
      <c r="AE217" s="30">
        <f t="shared" si="271"/>
        <v>0</v>
      </c>
      <c r="AF217" s="30">
        <f t="shared" si="272"/>
        <v>0</v>
      </c>
      <c r="AG217" s="30">
        <f t="shared" si="273"/>
        <v>0</v>
      </c>
      <c r="AH217" s="30">
        <f t="shared" si="274"/>
        <v>0</v>
      </c>
      <c r="AI217" s="10" t="s">
        <v>50</v>
      </c>
      <c r="AJ217" s="30">
        <f t="shared" si="275"/>
        <v>0</v>
      </c>
      <c r="AK217" s="30">
        <f t="shared" si="276"/>
        <v>0</v>
      </c>
      <c r="AL217" s="30">
        <f t="shared" si="277"/>
        <v>0</v>
      </c>
      <c r="AN217" s="30">
        <v>12</v>
      </c>
      <c r="AO217" s="30">
        <f>G217*0.039648753</f>
        <v>0</v>
      </c>
      <c r="AP217" s="30">
        <f>G217*(1-0.039648753)</f>
        <v>0</v>
      </c>
      <c r="AQ217" s="31" t="s">
        <v>81</v>
      </c>
      <c r="AV217" s="30">
        <f t="shared" si="278"/>
        <v>0</v>
      </c>
      <c r="AW217" s="30">
        <f t="shared" si="279"/>
        <v>0</v>
      </c>
      <c r="AX217" s="30">
        <f t="shared" si="280"/>
        <v>0</v>
      </c>
      <c r="AY217" s="31" t="s">
        <v>570</v>
      </c>
      <c r="AZ217" s="31" t="s">
        <v>571</v>
      </c>
      <c r="BA217" s="10" t="s">
        <v>60</v>
      </c>
      <c r="BC217" s="30">
        <f t="shared" si="281"/>
        <v>0</v>
      </c>
      <c r="BD217" s="30">
        <f t="shared" si="282"/>
        <v>0</v>
      </c>
      <c r="BE217" s="30">
        <v>0</v>
      </c>
      <c r="BF217" s="30">
        <f>217</f>
        <v>217</v>
      </c>
      <c r="BH217" s="30">
        <f t="shared" si="283"/>
        <v>0</v>
      </c>
      <c r="BI217" s="30">
        <f t="shared" si="284"/>
        <v>0</v>
      </c>
      <c r="BJ217" s="30">
        <f t="shared" si="285"/>
        <v>0</v>
      </c>
      <c r="BK217" s="30"/>
      <c r="BL217" s="30">
        <v>771</v>
      </c>
      <c r="BW217" s="30">
        <v>12</v>
      </c>
      <c r="BX217" s="4" t="s">
        <v>621</v>
      </c>
    </row>
    <row r="218" spans="1:76" x14ac:dyDescent="0.25">
      <c r="A218" s="32" t="s">
        <v>622</v>
      </c>
      <c r="B218" s="33" t="s">
        <v>623</v>
      </c>
      <c r="C218" s="125" t="s">
        <v>624</v>
      </c>
      <c r="D218" s="126"/>
      <c r="E218" s="33" t="s">
        <v>90</v>
      </c>
      <c r="F218" s="34">
        <v>2.1538499999999998</v>
      </c>
      <c r="G218" s="35">
        <v>0</v>
      </c>
      <c r="H218" s="34">
        <f t="shared" si="264"/>
        <v>0</v>
      </c>
      <c r="I218" s="34">
        <f t="shared" si="265"/>
        <v>0</v>
      </c>
      <c r="J218" s="34">
        <f t="shared" si="266"/>
        <v>0</v>
      </c>
      <c r="K218" s="36" t="s">
        <v>57</v>
      </c>
      <c r="Z218" s="30">
        <f t="shared" si="267"/>
        <v>0</v>
      </c>
      <c r="AB218" s="30">
        <f t="shared" si="268"/>
        <v>0</v>
      </c>
      <c r="AC218" s="30">
        <f t="shared" si="269"/>
        <v>0</v>
      </c>
      <c r="AD218" s="30">
        <f t="shared" si="270"/>
        <v>0</v>
      </c>
      <c r="AE218" s="30">
        <f t="shared" si="271"/>
        <v>0</v>
      </c>
      <c r="AF218" s="30">
        <f t="shared" si="272"/>
        <v>0</v>
      </c>
      <c r="AG218" s="30">
        <f t="shared" si="273"/>
        <v>0</v>
      </c>
      <c r="AH218" s="30">
        <f t="shared" si="274"/>
        <v>0</v>
      </c>
      <c r="AI218" s="10" t="s">
        <v>50</v>
      </c>
      <c r="AJ218" s="30">
        <f t="shared" si="275"/>
        <v>0</v>
      </c>
      <c r="AK218" s="30">
        <f t="shared" si="276"/>
        <v>0</v>
      </c>
      <c r="AL218" s="30">
        <f t="shared" si="277"/>
        <v>0</v>
      </c>
      <c r="AN218" s="30">
        <v>12</v>
      </c>
      <c r="AO218" s="30">
        <f>G218*0</f>
        <v>0</v>
      </c>
      <c r="AP218" s="30">
        <f>G218*(1-0)</f>
        <v>0</v>
      </c>
      <c r="AQ218" s="31" t="s">
        <v>74</v>
      </c>
      <c r="AV218" s="30">
        <f t="shared" si="278"/>
        <v>0</v>
      </c>
      <c r="AW218" s="30">
        <f t="shared" si="279"/>
        <v>0</v>
      </c>
      <c r="AX218" s="30">
        <f t="shared" si="280"/>
        <v>0</v>
      </c>
      <c r="AY218" s="31" t="s">
        <v>570</v>
      </c>
      <c r="AZ218" s="31" t="s">
        <v>571</v>
      </c>
      <c r="BA218" s="10" t="s">
        <v>60</v>
      </c>
      <c r="BC218" s="30">
        <f t="shared" si="281"/>
        <v>0</v>
      </c>
      <c r="BD218" s="30">
        <f t="shared" si="282"/>
        <v>0</v>
      </c>
      <c r="BE218" s="30">
        <v>0</v>
      </c>
      <c r="BF218" s="30">
        <f>218</f>
        <v>218</v>
      </c>
      <c r="BH218" s="30">
        <f t="shared" si="283"/>
        <v>0</v>
      </c>
      <c r="BI218" s="30">
        <f t="shared" si="284"/>
        <v>0</v>
      </c>
      <c r="BJ218" s="30">
        <f t="shared" si="285"/>
        <v>0</v>
      </c>
      <c r="BK218" s="30"/>
      <c r="BL218" s="30">
        <v>771</v>
      </c>
      <c r="BW218" s="30">
        <v>12</v>
      </c>
      <c r="BX218" s="4" t="s">
        <v>624</v>
      </c>
    </row>
    <row r="219" spans="1:76" x14ac:dyDescent="0.25">
      <c r="A219" s="39" t="s">
        <v>50</v>
      </c>
      <c r="B219" s="40" t="s">
        <v>625</v>
      </c>
      <c r="C219" s="131" t="s">
        <v>626</v>
      </c>
      <c r="D219" s="132"/>
      <c r="E219" s="41" t="s">
        <v>4</v>
      </c>
      <c r="F219" s="41" t="s">
        <v>4</v>
      </c>
      <c r="G219" s="42" t="s">
        <v>4</v>
      </c>
      <c r="H219" s="43">
        <f>SUM(H220:H231)</f>
        <v>0</v>
      </c>
      <c r="I219" s="43">
        <f>SUM(I220:I231)</f>
        <v>0</v>
      </c>
      <c r="J219" s="43">
        <f>SUM(J220:J231)</f>
        <v>0</v>
      </c>
      <c r="K219" s="44" t="s">
        <v>50</v>
      </c>
      <c r="AI219" s="10" t="s">
        <v>50</v>
      </c>
      <c r="AS219" s="1">
        <f>SUM(AJ220:AJ231)</f>
        <v>0</v>
      </c>
      <c r="AT219" s="1">
        <f>SUM(AK220:AK231)</f>
        <v>0</v>
      </c>
      <c r="AU219" s="1">
        <f>SUM(AL220:AL231)</f>
        <v>0</v>
      </c>
    </row>
    <row r="220" spans="1:76" x14ac:dyDescent="0.25">
      <c r="A220" s="25" t="s">
        <v>627</v>
      </c>
      <c r="B220" s="26" t="s">
        <v>628</v>
      </c>
      <c r="C220" s="123" t="s">
        <v>629</v>
      </c>
      <c r="D220" s="124"/>
      <c r="E220" s="26" t="s">
        <v>64</v>
      </c>
      <c r="F220" s="27">
        <v>9.9761199999999999</v>
      </c>
      <c r="G220" s="28">
        <v>0</v>
      </c>
      <c r="H220" s="27">
        <f>F220*AO220</f>
        <v>0</v>
      </c>
      <c r="I220" s="27">
        <f>F220*AP220</f>
        <v>0</v>
      </c>
      <c r="J220" s="27">
        <f>F220*G220</f>
        <v>0</v>
      </c>
      <c r="K220" s="29" t="s">
        <v>57</v>
      </c>
      <c r="Z220" s="30">
        <f>IF(AQ220="5",BJ220,0)</f>
        <v>0</v>
      </c>
      <c r="AB220" s="30">
        <f>IF(AQ220="1",BH220,0)</f>
        <v>0</v>
      </c>
      <c r="AC220" s="30">
        <f>IF(AQ220="1",BI220,0)</f>
        <v>0</v>
      </c>
      <c r="AD220" s="30">
        <f>IF(AQ220="7",BH220,0)</f>
        <v>0</v>
      </c>
      <c r="AE220" s="30">
        <f>IF(AQ220="7",BI220,0)</f>
        <v>0</v>
      </c>
      <c r="AF220" s="30">
        <f>IF(AQ220="2",BH220,0)</f>
        <v>0</v>
      </c>
      <c r="AG220" s="30">
        <f>IF(AQ220="2",BI220,0)</f>
        <v>0</v>
      </c>
      <c r="AH220" s="30">
        <f>IF(AQ220="0",BJ220,0)</f>
        <v>0</v>
      </c>
      <c r="AI220" s="10" t="s">
        <v>50</v>
      </c>
      <c r="AJ220" s="30">
        <f>IF(AN220=0,J220,0)</f>
        <v>0</v>
      </c>
      <c r="AK220" s="30">
        <f>IF(AN220=12,J220,0)</f>
        <v>0</v>
      </c>
      <c r="AL220" s="30">
        <f>IF(AN220=21,J220,0)</f>
        <v>0</v>
      </c>
      <c r="AN220" s="30">
        <v>12</v>
      </c>
      <c r="AO220" s="30">
        <f>G220*0</f>
        <v>0</v>
      </c>
      <c r="AP220" s="30">
        <f>G220*(1-0)</f>
        <v>0</v>
      </c>
      <c r="AQ220" s="31" t="s">
        <v>81</v>
      </c>
      <c r="AV220" s="30">
        <f>AW220+AX220</f>
        <v>0</v>
      </c>
      <c r="AW220" s="30">
        <f>F220*AO220</f>
        <v>0</v>
      </c>
      <c r="AX220" s="30">
        <f>F220*AP220</f>
        <v>0</v>
      </c>
      <c r="AY220" s="31" t="s">
        <v>630</v>
      </c>
      <c r="AZ220" s="31" t="s">
        <v>571</v>
      </c>
      <c r="BA220" s="10" t="s">
        <v>60</v>
      </c>
      <c r="BC220" s="30">
        <f>AW220+AX220</f>
        <v>0</v>
      </c>
      <c r="BD220" s="30">
        <f>G220/(100-BE220)*100</f>
        <v>0</v>
      </c>
      <c r="BE220" s="30">
        <v>0</v>
      </c>
      <c r="BF220" s="30">
        <f>220</f>
        <v>220</v>
      </c>
      <c r="BH220" s="30">
        <f>F220*AO220</f>
        <v>0</v>
      </c>
      <c r="BI220" s="30">
        <f>F220*AP220</f>
        <v>0</v>
      </c>
      <c r="BJ220" s="30">
        <f>F220*G220</f>
        <v>0</v>
      </c>
      <c r="BK220" s="30"/>
      <c r="BL220" s="30">
        <v>775</v>
      </c>
      <c r="BW220" s="30">
        <v>12</v>
      </c>
      <c r="BX220" s="4" t="s">
        <v>629</v>
      </c>
    </row>
    <row r="221" spans="1:76" x14ac:dyDescent="0.25">
      <c r="A221" s="32" t="s">
        <v>631</v>
      </c>
      <c r="B221" s="33" t="s">
        <v>632</v>
      </c>
      <c r="C221" s="125" t="s">
        <v>633</v>
      </c>
      <c r="D221" s="126"/>
      <c r="E221" s="33" t="s">
        <v>64</v>
      </c>
      <c r="F221" s="34">
        <v>9.9761199999999999</v>
      </c>
      <c r="G221" s="35">
        <v>0</v>
      </c>
      <c r="H221" s="34">
        <f>F221*AO221</f>
        <v>0</v>
      </c>
      <c r="I221" s="34">
        <f>F221*AP221</f>
        <v>0</v>
      </c>
      <c r="J221" s="34">
        <f>F221*G221</f>
        <v>0</v>
      </c>
      <c r="K221" s="36" t="s">
        <v>57</v>
      </c>
      <c r="Z221" s="30">
        <f>IF(AQ221="5",BJ221,0)</f>
        <v>0</v>
      </c>
      <c r="AB221" s="30">
        <f>IF(AQ221="1",BH221,0)</f>
        <v>0</v>
      </c>
      <c r="AC221" s="30">
        <f>IF(AQ221="1",BI221,0)</f>
        <v>0</v>
      </c>
      <c r="AD221" s="30">
        <f>IF(AQ221="7",BH221,0)</f>
        <v>0</v>
      </c>
      <c r="AE221" s="30">
        <f>IF(AQ221="7",BI221,0)</f>
        <v>0</v>
      </c>
      <c r="AF221" s="30">
        <f>IF(AQ221="2",BH221,0)</f>
        <v>0</v>
      </c>
      <c r="AG221" s="30">
        <f>IF(AQ221="2",BI221,0)</f>
        <v>0</v>
      </c>
      <c r="AH221" s="30">
        <f>IF(AQ221="0",BJ221,0)</f>
        <v>0</v>
      </c>
      <c r="AI221" s="10" t="s">
        <v>50</v>
      </c>
      <c r="AJ221" s="30">
        <f>IF(AN221=0,J221,0)</f>
        <v>0</v>
      </c>
      <c r="AK221" s="30">
        <f>IF(AN221=12,J221,0)</f>
        <v>0</v>
      </c>
      <c r="AL221" s="30">
        <f>IF(AN221=21,J221,0)</f>
        <v>0</v>
      </c>
      <c r="AN221" s="30">
        <v>12</v>
      </c>
      <c r="AO221" s="30">
        <f>G221*0</f>
        <v>0</v>
      </c>
      <c r="AP221" s="30">
        <f>G221*(1-0)</f>
        <v>0</v>
      </c>
      <c r="AQ221" s="31" t="s">
        <v>81</v>
      </c>
      <c r="AV221" s="30">
        <f>AW221+AX221</f>
        <v>0</v>
      </c>
      <c r="AW221" s="30">
        <f>F221*AO221</f>
        <v>0</v>
      </c>
      <c r="AX221" s="30">
        <f>F221*AP221</f>
        <v>0</v>
      </c>
      <c r="AY221" s="31" t="s">
        <v>630</v>
      </c>
      <c r="AZ221" s="31" t="s">
        <v>571</v>
      </c>
      <c r="BA221" s="10" t="s">
        <v>60</v>
      </c>
      <c r="BC221" s="30">
        <f>AW221+AX221</f>
        <v>0</v>
      </c>
      <c r="BD221" s="30">
        <f>G221/(100-BE221)*100</f>
        <v>0</v>
      </c>
      <c r="BE221" s="30">
        <v>0</v>
      </c>
      <c r="BF221" s="30">
        <f>221</f>
        <v>221</v>
      </c>
      <c r="BH221" s="30">
        <f>F221*AO221</f>
        <v>0</v>
      </c>
      <c r="BI221" s="30">
        <f>F221*AP221</f>
        <v>0</v>
      </c>
      <c r="BJ221" s="30">
        <f>F221*G221</f>
        <v>0</v>
      </c>
      <c r="BK221" s="30"/>
      <c r="BL221" s="30">
        <v>775</v>
      </c>
      <c r="BW221" s="30">
        <v>12</v>
      </c>
      <c r="BX221" s="4" t="s">
        <v>633</v>
      </c>
    </row>
    <row r="222" spans="1:76" ht="13.5" customHeight="1" x14ac:dyDescent="0.25">
      <c r="A222" s="37"/>
      <c r="B222" s="38" t="s">
        <v>68</v>
      </c>
      <c r="C222" s="127" t="s">
        <v>634</v>
      </c>
      <c r="D222" s="128"/>
      <c r="E222" s="128"/>
      <c r="F222" s="128"/>
      <c r="G222" s="129"/>
      <c r="H222" s="128"/>
      <c r="I222" s="128"/>
      <c r="J222" s="128"/>
      <c r="K222" s="130"/>
    </row>
    <row r="223" spans="1:76" x14ac:dyDescent="0.25">
      <c r="A223" s="25" t="s">
        <v>635</v>
      </c>
      <c r="B223" s="26" t="s">
        <v>636</v>
      </c>
      <c r="C223" s="123" t="s">
        <v>637</v>
      </c>
      <c r="D223" s="124"/>
      <c r="E223" s="26" t="s">
        <v>64</v>
      </c>
      <c r="F223" s="27">
        <v>9.9761199999999999</v>
      </c>
      <c r="G223" s="28">
        <v>0</v>
      </c>
      <c r="H223" s="27">
        <f t="shared" ref="H223:H231" si="286">F223*AO223</f>
        <v>0</v>
      </c>
      <c r="I223" s="27">
        <f t="shared" ref="I223:I231" si="287">F223*AP223</f>
        <v>0</v>
      </c>
      <c r="J223" s="27">
        <f t="shared" ref="J223:J231" si="288">F223*G223</f>
        <v>0</v>
      </c>
      <c r="K223" s="29" t="s">
        <v>57</v>
      </c>
      <c r="Z223" s="30">
        <f t="shared" ref="Z223:Z231" si="289">IF(AQ223="5",BJ223,0)</f>
        <v>0</v>
      </c>
      <c r="AB223" s="30">
        <f t="shared" ref="AB223:AB231" si="290">IF(AQ223="1",BH223,0)</f>
        <v>0</v>
      </c>
      <c r="AC223" s="30">
        <f t="shared" ref="AC223:AC231" si="291">IF(AQ223="1",BI223,0)</f>
        <v>0</v>
      </c>
      <c r="AD223" s="30">
        <f t="shared" ref="AD223:AD231" si="292">IF(AQ223="7",BH223,0)</f>
        <v>0</v>
      </c>
      <c r="AE223" s="30">
        <f t="shared" ref="AE223:AE231" si="293">IF(AQ223="7",BI223,0)</f>
        <v>0</v>
      </c>
      <c r="AF223" s="30">
        <f t="shared" ref="AF223:AF231" si="294">IF(AQ223="2",BH223,0)</f>
        <v>0</v>
      </c>
      <c r="AG223" s="30">
        <f t="shared" ref="AG223:AG231" si="295">IF(AQ223="2",BI223,0)</f>
        <v>0</v>
      </c>
      <c r="AH223" s="30">
        <f t="shared" ref="AH223:AH231" si="296">IF(AQ223="0",BJ223,0)</f>
        <v>0</v>
      </c>
      <c r="AI223" s="10" t="s">
        <v>50</v>
      </c>
      <c r="AJ223" s="30">
        <f t="shared" ref="AJ223:AJ231" si="297">IF(AN223=0,J223,0)</f>
        <v>0</v>
      </c>
      <c r="AK223" s="30">
        <f t="shared" ref="AK223:AK231" si="298">IF(AN223=12,J223,0)</f>
        <v>0</v>
      </c>
      <c r="AL223" s="30">
        <f t="shared" ref="AL223:AL231" si="299">IF(AN223=21,J223,0)</f>
        <v>0</v>
      </c>
      <c r="AN223" s="30">
        <v>12</v>
      </c>
      <c r="AO223" s="30">
        <f>G223*0</f>
        <v>0</v>
      </c>
      <c r="AP223" s="30">
        <f>G223*(1-0)</f>
        <v>0</v>
      </c>
      <c r="AQ223" s="31" t="s">
        <v>81</v>
      </c>
      <c r="AV223" s="30">
        <f t="shared" ref="AV223:AV231" si="300">AW223+AX223</f>
        <v>0</v>
      </c>
      <c r="AW223" s="30">
        <f t="shared" ref="AW223:AW231" si="301">F223*AO223</f>
        <v>0</v>
      </c>
      <c r="AX223" s="30">
        <f t="shared" ref="AX223:AX231" si="302">F223*AP223</f>
        <v>0</v>
      </c>
      <c r="AY223" s="31" t="s">
        <v>630</v>
      </c>
      <c r="AZ223" s="31" t="s">
        <v>571</v>
      </c>
      <c r="BA223" s="10" t="s">
        <v>60</v>
      </c>
      <c r="BC223" s="30">
        <f t="shared" ref="BC223:BC231" si="303">AW223+AX223</f>
        <v>0</v>
      </c>
      <c r="BD223" s="30">
        <f t="shared" ref="BD223:BD231" si="304">G223/(100-BE223)*100</f>
        <v>0</v>
      </c>
      <c r="BE223" s="30">
        <v>0</v>
      </c>
      <c r="BF223" s="30">
        <f>223</f>
        <v>223</v>
      </c>
      <c r="BH223" s="30">
        <f t="shared" ref="BH223:BH231" si="305">F223*AO223</f>
        <v>0</v>
      </c>
      <c r="BI223" s="30">
        <f t="shared" ref="BI223:BI231" si="306">F223*AP223</f>
        <v>0</v>
      </c>
      <c r="BJ223" s="30">
        <f t="shared" ref="BJ223:BJ231" si="307">F223*G223</f>
        <v>0</v>
      </c>
      <c r="BK223" s="30"/>
      <c r="BL223" s="30">
        <v>775</v>
      </c>
      <c r="BW223" s="30">
        <v>12</v>
      </c>
      <c r="BX223" s="4" t="s">
        <v>637</v>
      </c>
    </row>
    <row r="224" spans="1:76" x14ac:dyDescent="0.25">
      <c r="A224" s="32" t="s">
        <v>638</v>
      </c>
      <c r="B224" s="33" t="s">
        <v>92</v>
      </c>
      <c r="C224" s="125" t="s">
        <v>93</v>
      </c>
      <c r="D224" s="126"/>
      <c r="E224" s="33" t="s">
        <v>90</v>
      </c>
      <c r="F224" s="34">
        <v>2.0241500000000001</v>
      </c>
      <c r="G224" s="35">
        <v>0</v>
      </c>
      <c r="H224" s="34">
        <f t="shared" si="286"/>
        <v>0</v>
      </c>
      <c r="I224" s="34">
        <f t="shared" si="287"/>
        <v>0</v>
      </c>
      <c r="J224" s="34">
        <f t="shared" si="288"/>
        <v>0</v>
      </c>
      <c r="K224" s="36" t="s">
        <v>57</v>
      </c>
      <c r="Z224" s="30">
        <f t="shared" si="289"/>
        <v>0</v>
      </c>
      <c r="AB224" s="30">
        <f t="shared" si="290"/>
        <v>0</v>
      </c>
      <c r="AC224" s="30">
        <f t="shared" si="291"/>
        <v>0</v>
      </c>
      <c r="AD224" s="30">
        <f t="shared" si="292"/>
        <v>0</v>
      </c>
      <c r="AE224" s="30">
        <f t="shared" si="293"/>
        <v>0</v>
      </c>
      <c r="AF224" s="30">
        <f t="shared" si="294"/>
        <v>0</v>
      </c>
      <c r="AG224" s="30">
        <f t="shared" si="295"/>
        <v>0</v>
      </c>
      <c r="AH224" s="30">
        <f t="shared" si="296"/>
        <v>0</v>
      </c>
      <c r="AI224" s="10" t="s">
        <v>50</v>
      </c>
      <c r="AJ224" s="30">
        <f t="shared" si="297"/>
        <v>0</v>
      </c>
      <c r="AK224" s="30">
        <f t="shared" si="298"/>
        <v>0</v>
      </c>
      <c r="AL224" s="30">
        <f t="shared" si="299"/>
        <v>0</v>
      </c>
      <c r="AN224" s="30">
        <v>12</v>
      </c>
      <c r="AO224" s="30">
        <f>G224*0.010795606</f>
        <v>0</v>
      </c>
      <c r="AP224" s="30">
        <f>G224*(1-0.010795606)</f>
        <v>0</v>
      </c>
      <c r="AQ224" s="31" t="s">
        <v>74</v>
      </c>
      <c r="AV224" s="30">
        <f t="shared" si="300"/>
        <v>0</v>
      </c>
      <c r="AW224" s="30">
        <f t="shared" si="301"/>
        <v>0</v>
      </c>
      <c r="AX224" s="30">
        <f t="shared" si="302"/>
        <v>0</v>
      </c>
      <c r="AY224" s="31" t="s">
        <v>630</v>
      </c>
      <c r="AZ224" s="31" t="s">
        <v>571</v>
      </c>
      <c r="BA224" s="10" t="s">
        <v>60</v>
      </c>
      <c r="BC224" s="30">
        <f t="shared" si="303"/>
        <v>0</v>
      </c>
      <c r="BD224" s="30">
        <f t="shared" si="304"/>
        <v>0</v>
      </c>
      <c r="BE224" s="30">
        <v>0</v>
      </c>
      <c r="BF224" s="30">
        <f>224</f>
        <v>224</v>
      </c>
      <c r="BH224" s="30">
        <f t="shared" si="305"/>
        <v>0</v>
      </c>
      <c r="BI224" s="30">
        <f t="shared" si="306"/>
        <v>0</v>
      </c>
      <c r="BJ224" s="30">
        <f t="shared" si="307"/>
        <v>0</v>
      </c>
      <c r="BK224" s="30"/>
      <c r="BL224" s="30">
        <v>775</v>
      </c>
      <c r="BW224" s="30">
        <v>12</v>
      </c>
      <c r="BX224" s="4" t="s">
        <v>93</v>
      </c>
    </row>
    <row r="225" spans="1:76" x14ac:dyDescent="0.25">
      <c r="A225" s="32" t="s">
        <v>639</v>
      </c>
      <c r="B225" s="33" t="s">
        <v>640</v>
      </c>
      <c r="C225" s="125" t="s">
        <v>641</v>
      </c>
      <c r="D225" s="126"/>
      <c r="E225" s="33" t="s">
        <v>90</v>
      </c>
      <c r="F225" s="34">
        <v>1.57124</v>
      </c>
      <c r="G225" s="35">
        <v>0</v>
      </c>
      <c r="H225" s="34">
        <f t="shared" si="286"/>
        <v>0</v>
      </c>
      <c r="I225" s="34">
        <f t="shared" si="287"/>
        <v>0</v>
      </c>
      <c r="J225" s="34">
        <f t="shared" si="288"/>
        <v>0</v>
      </c>
      <c r="K225" s="36" t="s">
        <v>57</v>
      </c>
      <c r="Z225" s="30">
        <f t="shared" si="289"/>
        <v>0</v>
      </c>
      <c r="AB225" s="30">
        <f t="shared" si="290"/>
        <v>0</v>
      </c>
      <c r="AC225" s="30">
        <f t="shared" si="291"/>
        <v>0</v>
      </c>
      <c r="AD225" s="30">
        <f t="shared" si="292"/>
        <v>0</v>
      </c>
      <c r="AE225" s="30">
        <f t="shared" si="293"/>
        <v>0</v>
      </c>
      <c r="AF225" s="30">
        <f t="shared" si="294"/>
        <v>0</v>
      </c>
      <c r="AG225" s="30">
        <f t="shared" si="295"/>
        <v>0</v>
      </c>
      <c r="AH225" s="30">
        <f t="shared" si="296"/>
        <v>0</v>
      </c>
      <c r="AI225" s="10" t="s">
        <v>50</v>
      </c>
      <c r="AJ225" s="30">
        <f t="shared" si="297"/>
        <v>0</v>
      </c>
      <c r="AK225" s="30">
        <f t="shared" si="298"/>
        <v>0</v>
      </c>
      <c r="AL225" s="30">
        <f t="shared" si="299"/>
        <v>0</v>
      </c>
      <c r="AN225" s="30">
        <v>12</v>
      </c>
      <c r="AO225" s="30">
        <f>G225*0</f>
        <v>0</v>
      </c>
      <c r="AP225" s="30">
        <f>G225*(1-0)</f>
        <v>0</v>
      </c>
      <c r="AQ225" s="31" t="s">
        <v>74</v>
      </c>
      <c r="AV225" s="30">
        <f t="shared" si="300"/>
        <v>0</v>
      </c>
      <c r="AW225" s="30">
        <f t="shared" si="301"/>
        <v>0</v>
      </c>
      <c r="AX225" s="30">
        <f t="shared" si="302"/>
        <v>0</v>
      </c>
      <c r="AY225" s="31" t="s">
        <v>630</v>
      </c>
      <c r="AZ225" s="31" t="s">
        <v>571</v>
      </c>
      <c r="BA225" s="10" t="s">
        <v>60</v>
      </c>
      <c r="BC225" s="30">
        <f t="shared" si="303"/>
        <v>0</v>
      </c>
      <c r="BD225" s="30">
        <f t="shared" si="304"/>
        <v>0</v>
      </c>
      <c r="BE225" s="30">
        <v>0</v>
      </c>
      <c r="BF225" s="30">
        <f>225</f>
        <v>225</v>
      </c>
      <c r="BH225" s="30">
        <f t="shared" si="305"/>
        <v>0</v>
      </c>
      <c r="BI225" s="30">
        <f t="shared" si="306"/>
        <v>0</v>
      </c>
      <c r="BJ225" s="30">
        <f t="shared" si="307"/>
        <v>0</v>
      </c>
      <c r="BK225" s="30"/>
      <c r="BL225" s="30">
        <v>775</v>
      </c>
      <c r="BW225" s="30">
        <v>12</v>
      </c>
      <c r="BX225" s="4" t="s">
        <v>641</v>
      </c>
    </row>
    <row r="226" spans="1:76" x14ac:dyDescent="0.25">
      <c r="A226" s="32" t="s">
        <v>642</v>
      </c>
      <c r="B226" s="33" t="s">
        <v>643</v>
      </c>
      <c r="C226" s="125" t="s">
        <v>644</v>
      </c>
      <c r="D226" s="126"/>
      <c r="E226" s="33" t="s">
        <v>56</v>
      </c>
      <c r="F226" s="34">
        <v>1.7925</v>
      </c>
      <c r="G226" s="35">
        <v>0</v>
      </c>
      <c r="H226" s="34">
        <f t="shared" si="286"/>
        <v>0</v>
      </c>
      <c r="I226" s="34">
        <f t="shared" si="287"/>
        <v>0</v>
      </c>
      <c r="J226" s="34">
        <f t="shared" si="288"/>
        <v>0</v>
      </c>
      <c r="K226" s="36" t="s">
        <v>57</v>
      </c>
      <c r="Z226" s="30">
        <f t="shared" si="289"/>
        <v>0</v>
      </c>
      <c r="AB226" s="30">
        <f t="shared" si="290"/>
        <v>0</v>
      </c>
      <c r="AC226" s="30">
        <f t="shared" si="291"/>
        <v>0</v>
      </c>
      <c r="AD226" s="30">
        <f t="shared" si="292"/>
        <v>0</v>
      </c>
      <c r="AE226" s="30">
        <f t="shared" si="293"/>
        <v>0</v>
      </c>
      <c r="AF226" s="30">
        <f t="shared" si="294"/>
        <v>0</v>
      </c>
      <c r="AG226" s="30">
        <f t="shared" si="295"/>
        <v>0</v>
      </c>
      <c r="AH226" s="30">
        <f t="shared" si="296"/>
        <v>0</v>
      </c>
      <c r="AI226" s="10" t="s">
        <v>50</v>
      </c>
      <c r="AJ226" s="30">
        <f t="shared" si="297"/>
        <v>0</v>
      </c>
      <c r="AK226" s="30">
        <f t="shared" si="298"/>
        <v>0</v>
      </c>
      <c r="AL226" s="30">
        <f t="shared" si="299"/>
        <v>0</v>
      </c>
      <c r="AN226" s="30">
        <v>12</v>
      </c>
      <c r="AO226" s="30">
        <f>G226*0.669698261</f>
        <v>0</v>
      </c>
      <c r="AP226" s="30">
        <f>G226*(1-0.669698261)</f>
        <v>0</v>
      </c>
      <c r="AQ226" s="31" t="s">
        <v>81</v>
      </c>
      <c r="AV226" s="30">
        <f t="shared" si="300"/>
        <v>0</v>
      </c>
      <c r="AW226" s="30">
        <f t="shared" si="301"/>
        <v>0</v>
      </c>
      <c r="AX226" s="30">
        <f t="shared" si="302"/>
        <v>0</v>
      </c>
      <c r="AY226" s="31" t="s">
        <v>630</v>
      </c>
      <c r="AZ226" s="31" t="s">
        <v>571</v>
      </c>
      <c r="BA226" s="10" t="s">
        <v>60</v>
      </c>
      <c r="BC226" s="30">
        <f t="shared" si="303"/>
        <v>0</v>
      </c>
      <c r="BD226" s="30">
        <f t="shared" si="304"/>
        <v>0</v>
      </c>
      <c r="BE226" s="30">
        <v>0</v>
      </c>
      <c r="BF226" s="30">
        <f>226</f>
        <v>226</v>
      </c>
      <c r="BH226" s="30">
        <f t="shared" si="305"/>
        <v>0</v>
      </c>
      <c r="BI226" s="30">
        <f t="shared" si="306"/>
        <v>0</v>
      </c>
      <c r="BJ226" s="30">
        <f t="shared" si="307"/>
        <v>0</v>
      </c>
      <c r="BK226" s="30"/>
      <c r="BL226" s="30">
        <v>775</v>
      </c>
      <c r="BW226" s="30">
        <v>12</v>
      </c>
      <c r="BX226" s="4" t="s">
        <v>644</v>
      </c>
    </row>
    <row r="227" spans="1:76" x14ac:dyDescent="0.25">
      <c r="A227" s="32" t="s">
        <v>645</v>
      </c>
      <c r="B227" s="33" t="s">
        <v>646</v>
      </c>
      <c r="C227" s="125" t="s">
        <v>647</v>
      </c>
      <c r="D227" s="126"/>
      <c r="E227" s="33" t="s">
        <v>64</v>
      </c>
      <c r="F227" s="34">
        <v>24.66947</v>
      </c>
      <c r="G227" s="35">
        <v>0</v>
      </c>
      <c r="H227" s="34">
        <f t="shared" si="286"/>
        <v>0</v>
      </c>
      <c r="I227" s="34">
        <f t="shared" si="287"/>
        <v>0</v>
      </c>
      <c r="J227" s="34">
        <f t="shared" si="288"/>
        <v>0</v>
      </c>
      <c r="K227" s="36" t="s">
        <v>57</v>
      </c>
      <c r="Z227" s="30">
        <f t="shared" si="289"/>
        <v>0</v>
      </c>
      <c r="AB227" s="30">
        <f t="shared" si="290"/>
        <v>0</v>
      </c>
      <c r="AC227" s="30">
        <f t="shared" si="291"/>
        <v>0</v>
      </c>
      <c r="AD227" s="30">
        <f t="shared" si="292"/>
        <v>0</v>
      </c>
      <c r="AE227" s="30">
        <f t="shared" si="293"/>
        <v>0</v>
      </c>
      <c r="AF227" s="30">
        <f t="shared" si="294"/>
        <v>0</v>
      </c>
      <c r="AG227" s="30">
        <f t="shared" si="295"/>
        <v>0</v>
      </c>
      <c r="AH227" s="30">
        <f t="shared" si="296"/>
        <v>0</v>
      </c>
      <c r="AI227" s="10" t="s">
        <v>50</v>
      </c>
      <c r="AJ227" s="30">
        <f t="shared" si="297"/>
        <v>0</v>
      </c>
      <c r="AK227" s="30">
        <f t="shared" si="298"/>
        <v>0</v>
      </c>
      <c r="AL227" s="30">
        <f t="shared" si="299"/>
        <v>0</v>
      </c>
      <c r="AN227" s="30">
        <v>12</v>
      </c>
      <c r="AO227" s="30">
        <f>G227*0.120342217</f>
        <v>0</v>
      </c>
      <c r="AP227" s="30">
        <f>G227*(1-0.120342217)</f>
        <v>0</v>
      </c>
      <c r="AQ227" s="31" t="s">
        <v>81</v>
      </c>
      <c r="AV227" s="30">
        <f t="shared" si="300"/>
        <v>0</v>
      </c>
      <c r="AW227" s="30">
        <f t="shared" si="301"/>
        <v>0</v>
      </c>
      <c r="AX227" s="30">
        <f t="shared" si="302"/>
        <v>0</v>
      </c>
      <c r="AY227" s="31" t="s">
        <v>630</v>
      </c>
      <c r="AZ227" s="31" t="s">
        <v>571</v>
      </c>
      <c r="BA227" s="10" t="s">
        <v>60</v>
      </c>
      <c r="BC227" s="30">
        <f t="shared" si="303"/>
        <v>0</v>
      </c>
      <c r="BD227" s="30">
        <f t="shared" si="304"/>
        <v>0</v>
      </c>
      <c r="BE227" s="30">
        <v>0</v>
      </c>
      <c r="BF227" s="30">
        <f>227</f>
        <v>227</v>
      </c>
      <c r="BH227" s="30">
        <f t="shared" si="305"/>
        <v>0</v>
      </c>
      <c r="BI227" s="30">
        <f t="shared" si="306"/>
        <v>0</v>
      </c>
      <c r="BJ227" s="30">
        <f t="shared" si="307"/>
        <v>0</v>
      </c>
      <c r="BK227" s="30"/>
      <c r="BL227" s="30">
        <v>775</v>
      </c>
      <c r="BW227" s="30">
        <v>12</v>
      </c>
      <c r="BX227" s="4" t="s">
        <v>647</v>
      </c>
    </row>
    <row r="228" spans="1:76" x14ac:dyDescent="0.25">
      <c r="A228" s="32" t="s">
        <v>648</v>
      </c>
      <c r="B228" s="33" t="s">
        <v>649</v>
      </c>
      <c r="C228" s="125" t="s">
        <v>650</v>
      </c>
      <c r="D228" s="126"/>
      <c r="E228" s="33" t="s">
        <v>64</v>
      </c>
      <c r="F228" s="34">
        <v>24.66947</v>
      </c>
      <c r="G228" s="35">
        <v>0</v>
      </c>
      <c r="H228" s="34">
        <f t="shared" si="286"/>
        <v>0</v>
      </c>
      <c r="I228" s="34">
        <f t="shared" si="287"/>
        <v>0</v>
      </c>
      <c r="J228" s="34">
        <f t="shared" si="288"/>
        <v>0</v>
      </c>
      <c r="K228" s="36" t="s">
        <v>57</v>
      </c>
      <c r="Z228" s="30">
        <f t="shared" si="289"/>
        <v>0</v>
      </c>
      <c r="AB228" s="30">
        <f t="shared" si="290"/>
        <v>0</v>
      </c>
      <c r="AC228" s="30">
        <f t="shared" si="291"/>
        <v>0</v>
      </c>
      <c r="AD228" s="30">
        <f t="shared" si="292"/>
        <v>0</v>
      </c>
      <c r="AE228" s="30">
        <f t="shared" si="293"/>
        <v>0</v>
      </c>
      <c r="AF228" s="30">
        <f t="shared" si="294"/>
        <v>0</v>
      </c>
      <c r="AG228" s="30">
        <f t="shared" si="295"/>
        <v>0</v>
      </c>
      <c r="AH228" s="30">
        <f t="shared" si="296"/>
        <v>0</v>
      </c>
      <c r="AI228" s="10" t="s">
        <v>50</v>
      </c>
      <c r="AJ228" s="30">
        <f t="shared" si="297"/>
        <v>0</v>
      </c>
      <c r="AK228" s="30">
        <f t="shared" si="298"/>
        <v>0</v>
      </c>
      <c r="AL228" s="30">
        <f t="shared" si="299"/>
        <v>0</v>
      </c>
      <c r="AN228" s="30">
        <v>12</v>
      </c>
      <c r="AO228" s="30">
        <f>G228*0.212577284</f>
        <v>0</v>
      </c>
      <c r="AP228" s="30">
        <f>G228*(1-0.212577284)</f>
        <v>0</v>
      </c>
      <c r="AQ228" s="31" t="s">
        <v>81</v>
      </c>
      <c r="AV228" s="30">
        <f t="shared" si="300"/>
        <v>0</v>
      </c>
      <c r="AW228" s="30">
        <f t="shared" si="301"/>
        <v>0</v>
      </c>
      <c r="AX228" s="30">
        <f t="shared" si="302"/>
        <v>0</v>
      </c>
      <c r="AY228" s="31" t="s">
        <v>630</v>
      </c>
      <c r="AZ228" s="31" t="s">
        <v>571</v>
      </c>
      <c r="BA228" s="10" t="s">
        <v>60</v>
      </c>
      <c r="BC228" s="30">
        <f t="shared" si="303"/>
        <v>0</v>
      </c>
      <c r="BD228" s="30">
        <f t="shared" si="304"/>
        <v>0</v>
      </c>
      <c r="BE228" s="30">
        <v>0</v>
      </c>
      <c r="BF228" s="30">
        <f>228</f>
        <v>228</v>
      </c>
      <c r="BH228" s="30">
        <f t="shared" si="305"/>
        <v>0</v>
      </c>
      <c r="BI228" s="30">
        <f t="shared" si="306"/>
        <v>0</v>
      </c>
      <c r="BJ228" s="30">
        <f t="shared" si="307"/>
        <v>0</v>
      </c>
      <c r="BK228" s="30"/>
      <c r="BL228" s="30">
        <v>775</v>
      </c>
      <c r="BW228" s="30">
        <v>12</v>
      </c>
      <c r="BX228" s="4" t="s">
        <v>650</v>
      </c>
    </row>
    <row r="229" spans="1:76" x14ac:dyDescent="0.25">
      <c r="A229" s="32" t="s">
        <v>651</v>
      </c>
      <c r="B229" s="33" t="s">
        <v>652</v>
      </c>
      <c r="C229" s="125" t="s">
        <v>653</v>
      </c>
      <c r="D229" s="126"/>
      <c r="E229" s="33" t="s">
        <v>80</v>
      </c>
      <c r="F229" s="34">
        <v>23.065000000000001</v>
      </c>
      <c r="G229" s="35">
        <v>0</v>
      </c>
      <c r="H229" s="34">
        <f t="shared" si="286"/>
        <v>0</v>
      </c>
      <c r="I229" s="34">
        <f t="shared" si="287"/>
        <v>0</v>
      </c>
      <c r="J229" s="34">
        <f t="shared" si="288"/>
        <v>0</v>
      </c>
      <c r="K229" s="36" t="s">
        <v>57</v>
      </c>
      <c r="Z229" s="30">
        <f t="shared" si="289"/>
        <v>0</v>
      </c>
      <c r="AB229" s="30">
        <f t="shared" si="290"/>
        <v>0</v>
      </c>
      <c r="AC229" s="30">
        <f t="shared" si="291"/>
        <v>0</v>
      </c>
      <c r="AD229" s="30">
        <f t="shared" si="292"/>
        <v>0</v>
      </c>
      <c r="AE229" s="30">
        <f t="shared" si="293"/>
        <v>0</v>
      </c>
      <c r="AF229" s="30">
        <f t="shared" si="294"/>
        <v>0</v>
      </c>
      <c r="AG229" s="30">
        <f t="shared" si="295"/>
        <v>0</v>
      </c>
      <c r="AH229" s="30">
        <f t="shared" si="296"/>
        <v>0</v>
      </c>
      <c r="AI229" s="10" t="s">
        <v>50</v>
      </c>
      <c r="AJ229" s="30">
        <f t="shared" si="297"/>
        <v>0</v>
      </c>
      <c r="AK229" s="30">
        <f t="shared" si="298"/>
        <v>0</v>
      </c>
      <c r="AL229" s="30">
        <f t="shared" si="299"/>
        <v>0</v>
      </c>
      <c r="AN229" s="30">
        <v>12</v>
      </c>
      <c r="AO229" s="30">
        <f>G229*0.613900749</f>
        <v>0</v>
      </c>
      <c r="AP229" s="30">
        <f>G229*(1-0.613900749)</f>
        <v>0</v>
      </c>
      <c r="AQ229" s="31" t="s">
        <v>81</v>
      </c>
      <c r="AV229" s="30">
        <f t="shared" si="300"/>
        <v>0</v>
      </c>
      <c r="AW229" s="30">
        <f t="shared" si="301"/>
        <v>0</v>
      </c>
      <c r="AX229" s="30">
        <f t="shared" si="302"/>
        <v>0</v>
      </c>
      <c r="AY229" s="31" t="s">
        <v>630</v>
      </c>
      <c r="AZ229" s="31" t="s">
        <v>571</v>
      </c>
      <c r="BA229" s="10" t="s">
        <v>60</v>
      </c>
      <c r="BC229" s="30">
        <f t="shared" si="303"/>
        <v>0</v>
      </c>
      <c r="BD229" s="30">
        <f t="shared" si="304"/>
        <v>0</v>
      </c>
      <c r="BE229" s="30">
        <v>0</v>
      </c>
      <c r="BF229" s="30">
        <f>229</f>
        <v>229</v>
      </c>
      <c r="BH229" s="30">
        <f t="shared" si="305"/>
        <v>0</v>
      </c>
      <c r="BI229" s="30">
        <f t="shared" si="306"/>
        <v>0</v>
      </c>
      <c r="BJ229" s="30">
        <f t="shared" si="307"/>
        <v>0</v>
      </c>
      <c r="BK229" s="30"/>
      <c r="BL229" s="30">
        <v>775</v>
      </c>
      <c r="BW229" s="30">
        <v>12</v>
      </c>
      <c r="BX229" s="4" t="s">
        <v>653</v>
      </c>
    </row>
    <row r="230" spans="1:76" x14ac:dyDescent="0.25">
      <c r="A230" s="32" t="s">
        <v>654</v>
      </c>
      <c r="B230" s="33" t="s">
        <v>655</v>
      </c>
      <c r="C230" s="125" t="s">
        <v>656</v>
      </c>
      <c r="D230" s="126"/>
      <c r="E230" s="33" t="s">
        <v>80</v>
      </c>
      <c r="F230" s="34">
        <v>2.4849999999999999</v>
      </c>
      <c r="G230" s="35">
        <v>0</v>
      </c>
      <c r="H230" s="34">
        <f t="shared" si="286"/>
        <v>0</v>
      </c>
      <c r="I230" s="34">
        <f t="shared" si="287"/>
        <v>0</v>
      </c>
      <c r="J230" s="34">
        <f t="shared" si="288"/>
        <v>0</v>
      </c>
      <c r="K230" s="36" t="s">
        <v>57</v>
      </c>
      <c r="Z230" s="30">
        <f t="shared" si="289"/>
        <v>0</v>
      </c>
      <c r="AB230" s="30">
        <f t="shared" si="290"/>
        <v>0</v>
      </c>
      <c r="AC230" s="30">
        <f t="shared" si="291"/>
        <v>0</v>
      </c>
      <c r="AD230" s="30">
        <f t="shared" si="292"/>
        <v>0</v>
      </c>
      <c r="AE230" s="30">
        <f t="shared" si="293"/>
        <v>0</v>
      </c>
      <c r="AF230" s="30">
        <f t="shared" si="294"/>
        <v>0</v>
      </c>
      <c r="AG230" s="30">
        <f t="shared" si="295"/>
        <v>0</v>
      </c>
      <c r="AH230" s="30">
        <f t="shared" si="296"/>
        <v>0</v>
      </c>
      <c r="AI230" s="10" t="s">
        <v>50</v>
      </c>
      <c r="AJ230" s="30">
        <f t="shared" si="297"/>
        <v>0</v>
      </c>
      <c r="AK230" s="30">
        <f t="shared" si="298"/>
        <v>0</v>
      </c>
      <c r="AL230" s="30">
        <f t="shared" si="299"/>
        <v>0</v>
      </c>
      <c r="AN230" s="30">
        <v>12</v>
      </c>
      <c r="AO230" s="30">
        <f>G230*0.826215139</f>
        <v>0</v>
      </c>
      <c r="AP230" s="30">
        <f>G230*(1-0.826215139)</f>
        <v>0</v>
      </c>
      <c r="AQ230" s="31" t="s">
        <v>81</v>
      </c>
      <c r="AV230" s="30">
        <f t="shared" si="300"/>
        <v>0</v>
      </c>
      <c r="AW230" s="30">
        <f t="shared" si="301"/>
        <v>0</v>
      </c>
      <c r="AX230" s="30">
        <f t="shared" si="302"/>
        <v>0</v>
      </c>
      <c r="AY230" s="31" t="s">
        <v>630</v>
      </c>
      <c r="AZ230" s="31" t="s">
        <v>571</v>
      </c>
      <c r="BA230" s="10" t="s">
        <v>60</v>
      </c>
      <c r="BC230" s="30">
        <f t="shared" si="303"/>
        <v>0</v>
      </c>
      <c r="BD230" s="30">
        <f t="shared" si="304"/>
        <v>0</v>
      </c>
      <c r="BE230" s="30">
        <v>0</v>
      </c>
      <c r="BF230" s="30">
        <f>230</f>
        <v>230</v>
      </c>
      <c r="BH230" s="30">
        <f t="shared" si="305"/>
        <v>0</v>
      </c>
      <c r="BI230" s="30">
        <f t="shared" si="306"/>
        <v>0</v>
      </c>
      <c r="BJ230" s="30">
        <f t="shared" si="307"/>
        <v>0</v>
      </c>
      <c r="BK230" s="30"/>
      <c r="BL230" s="30">
        <v>775</v>
      </c>
      <c r="BW230" s="30">
        <v>12</v>
      </c>
      <c r="BX230" s="4" t="s">
        <v>656</v>
      </c>
    </row>
    <row r="231" spans="1:76" x14ac:dyDescent="0.25">
      <c r="A231" s="32" t="s">
        <v>657</v>
      </c>
      <c r="B231" s="33" t="s">
        <v>658</v>
      </c>
      <c r="C231" s="125" t="s">
        <v>659</v>
      </c>
      <c r="D231" s="126"/>
      <c r="E231" s="33" t="s">
        <v>90</v>
      </c>
      <c r="F231" s="34">
        <v>2.14696</v>
      </c>
      <c r="G231" s="35">
        <v>0</v>
      </c>
      <c r="H231" s="34">
        <f t="shared" si="286"/>
        <v>0</v>
      </c>
      <c r="I231" s="34">
        <f t="shared" si="287"/>
        <v>0</v>
      </c>
      <c r="J231" s="34">
        <f t="shared" si="288"/>
        <v>0</v>
      </c>
      <c r="K231" s="36" t="s">
        <v>57</v>
      </c>
      <c r="Z231" s="30">
        <f t="shared" si="289"/>
        <v>0</v>
      </c>
      <c r="AB231" s="30">
        <f t="shared" si="290"/>
        <v>0</v>
      </c>
      <c r="AC231" s="30">
        <f t="shared" si="291"/>
        <v>0</v>
      </c>
      <c r="AD231" s="30">
        <f t="shared" si="292"/>
        <v>0</v>
      </c>
      <c r="AE231" s="30">
        <f t="shared" si="293"/>
        <v>0</v>
      </c>
      <c r="AF231" s="30">
        <f t="shared" si="294"/>
        <v>0</v>
      </c>
      <c r="AG231" s="30">
        <f t="shared" si="295"/>
        <v>0</v>
      </c>
      <c r="AH231" s="30">
        <f t="shared" si="296"/>
        <v>0</v>
      </c>
      <c r="AI231" s="10" t="s">
        <v>50</v>
      </c>
      <c r="AJ231" s="30">
        <f t="shared" si="297"/>
        <v>0</v>
      </c>
      <c r="AK231" s="30">
        <f t="shared" si="298"/>
        <v>0</v>
      </c>
      <c r="AL231" s="30">
        <f t="shared" si="299"/>
        <v>0</v>
      </c>
      <c r="AN231" s="30">
        <v>12</v>
      </c>
      <c r="AO231" s="30">
        <f>G231*0</f>
        <v>0</v>
      </c>
      <c r="AP231" s="30">
        <f>G231*(1-0)</f>
        <v>0</v>
      </c>
      <c r="AQ231" s="31" t="s">
        <v>74</v>
      </c>
      <c r="AV231" s="30">
        <f t="shared" si="300"/>
        <v>0</v>
      </c>
      <c r="AW231" s="30">
        <f t="shared" si="301"/>
        <v>0</v>
      </c>
      <c r="AX231" s="30">
        <f t="shared" si="302"/>
        <v>0</v>
      </c>
      <c r="AY231" s="31" t="s">
        <v>630</v>
      </c>
      <c r="AZ231" s="31" t="s">
        <v>571</v>
      </c>
      <c r="BA231" s="10" t="s">
        <v>60</v>
      </c>
      <c r="BC231" s="30">
        <f t="shared" si="303"/>
        <v>0</v>
      </c>
      <c r="BD231" s="30">
        <f t="shared" si="304"/>
        <v>0</v>
      </c>
      <c r="BE231" s="30">
        <v>0</v>
      </c>
      <c r="BF231" s="30">
        <f>231</f>
        <v>231</v>
      </c>
      <c r="BH231" s="30">
        <f t="shared" si="305"/>
        <v>0</v>
      </c>
      <c r="BI231" s="30">
        <f t="shared" si="306"/>
        <v>0</v>
      </c>
      <c r="BJ231" s="30">
        <f t="shared" si="307"/>
        <v>0</v>
      </c>
      <c r="BK231" s="30"/>
      <c r="BL231" s="30">
        <v>775</v>
      </c>
      <c r="BW231" s="30">
        <v>12</v>
      </c>
      <c r="BX231" s="4" t="s">
        <v>659</v>
      </c>
    </row>
    <row r="232" spans="1:76" x14ac:dyDescent="0.25">
      <c r="A232" s="39" t="s">
        <v>50</v>
      </c>
      <c r="B232" s="40" t="s">
        <v>660</v>
      </c>
      <c r="C232" s="131" t="s">
        <v>661</v>
      </c>
      <c r="D232" s="132"/>
      <c r="E232" s="41" t="s">
        <v>4</v>
      </c>
      <c r="F232" s="41" t="s">
        <v>4</v>
      </c>
      <c r="G232" s="42" t="s">
        <v>4</v>
      </c>
      <c r="H232" s="43">
        <f>SUM(H233:H238)</f>
        <v>0</v>
      </c>
      <c r="I232" s="43">
        <f>SUM(I233:I238)</f>
        <v>0</v>
      </c>
      <c r="J232" s="43">
        <f>SUM(J233:J238)</f>
        <v>0</v>
      </c>
      <c r="K232" s="44" t="s">
        <v>50</v>
      </c>
      <c r="AI232" s="10" t="s">
        <v>50</v>
      </c>
      <c r="AS232" s="1">
        <f>SUM(AJ233:AJ238)</f>
        <v>0</v>
      </c>
      <c r="AT232" s="1">
        <f>SUM(AK233:AK238)</f>
        <v>0</v>
      </c>
      <c r="AU232" s="1">
        <f>SUM(AL233:AL238)</f>
        <v>0</v>
      </c>
    </row>
    <row r="233" spans="1:76" x14ac:dyDescent="0.25">
      <c r="A233" s="25" t="s">
        <v>662</v>
      </c>
      <c r="B233" s="26" t="s">
        <v>663</v>
      </c>
      <c r="C233" s="123" t="s">
        <v>664</v>
      </c>
      <c r="D233" s="124"/>
      <c r="E233" s="26" t="s">
        <v>64</v>
      </c>
      <c r="F233" s="27">
        <v>30.6</v>
      </c>
      <c r="G233" s="28">
        <v>0</v>
      </c>
      <c r="H233" s="27">
        <f>F233*AO233</f>
        <v>0</v>
      </c>
      <c r="I233" s="27">
        <f>F233*AP233</f>
        <v>0</v>
      </c>
      <c r="J233" s="27">
        <f>F233*G233</f>
        <v>0</v>
      </c>
      <c r="K233" s="29" t="s">
        <v>57</v>
      </c>
      <c r="Z233" s="30">
        <f>IF(AQ233="5",BJ233,0)</f>
        <v>0</v>
      </c>
      <c r="AB233" s="30">
        <f>IF(AQ233="1",BH233,0)</f>
        <v>0</v>
      </c>
      <c r="AC233" s="30">
        <f>IF(AQ233="1",BI233,0)</f>
        <v>0</v>
      </c>
      <c r="AD233" s="30">
        <f>IF(AQ233="7",BH233,0)</f>
        <v>0</v>
      </c>
      <c r="AE233" s="30">
        <f>IF(AQ233="7",BI233,0)</f>
        <v>0</v>
      </c>
      <c r="AF233" s="30">
        <f>IF(AQ233="2",BH233,0)</f>
        <v>0</v>
      </c>
      <c r="AG233" s="30">
        <f>IF(AQ233="2",BI233,0)</f>
        <v>0</v>
      </c>
      <c r="AH233" s="30">
        <f>IF(AQ233="0",BJ233,0)</f>
        <v>0</v>
      </c>
      <c r="AI233" s="10" t="s">
        <v>50</v>
      </c>
      <c r="AJ233" s="30">
        <f>IF(AN233=0,J233,0)</f>
        <v>0</v>
      </c>
      <c r="AK233" s="30">
        <f>IF(AN233=12,J233,0)</f>
        <v>0</v>
      </c>
      <c r="AL233" s="30">
        <f>IF(AN233=21,J233,0)</f>
        <v>0</v>
      </c>
      <c r="AN233" s="30">
        <v>12</v>
      </c>
      <c r="AO233" s="30">
        <f>G233*0.130410527</f>
        <v>0</v>
      </c>
      <c r="AP233" s="30">
        <f>G233*(1-0.130410527)</f>
        <v>0</v>
      </c>
      <c r="AQ233" s="31" t="s">
        <v>81</v>
      </c>
      <c r="AV233" s="30">
        <f>AW233+AX233</f>
        <v>0</v>
      </c>
      <c r="AW233" s="30">
        <f>F233*AO233</f>
        <v>0</v>
      </c>
      <c r="AX233" s="30">
        <f>F233*AP233</f>
        <v>0</v>
      </c>
      <c r="AY233" s="31" t="s">
        <v>665</v>
      </c>
      <c r="AZ233" s="31" t="s">
        <v>666</v>
      </c>
      <c r="BA233" s="10" t="s">
        <v>60</v>
      </c>
      <c r="BC233" s="30">
        <f>AW233+AX233</f>
        <v>0</v>
      </c>
      <c r="BD233" s="30">
        <f>G233/(100-BE233)*100</f>
        <v>0</v>
      </c>
      <c r="BE233" s="30">
        <v>0</v>
      </c>
      <c r="BF233" s="30">
        <f>233</f>
        <v>233</v>
      </c>
      <c r="BH233" s="30">
        <f>F233*AO233</f>
        <v>0</v>
      </c>
      <c r="BI233" s="30">
        <f>F233*AP233</f>
        <v>0</v>
      </c>
      <c r="BJ233" s="30">
        <f>F233*G233</f>
        <v>0</v>
      </c>
      <c r="BK233" s="30"/>
      <c r="BL233" s="30">
        <v>783</v>
      </c>
      <c r="BW233" s="30">
        <v>12</v>
      </c>
      <c r="BX233" s="4" t="s">
        <v>664</v>
      </c>
    </row>
    <row r="234" spans="1:76" ht="13.5" customHeight="1" x14ac:dyDescent="0.25">
      <c r="A234" s="37"/>
      <c r="B234" s="38" t="s">
        <v>68</v>
      </c>
      <c r="C234" s="127" t="s">
        <v>667</v>
      </c>
      <c r="D234" s="128"/>
      <c r="E234" s="128"/>
      <c r="F234" s="128"/>
      <c r="G234" s="129"/>
      <c r="H234" s="128"/>
      <c r="I234" s="128"/>
      <c r="J234" s="128"/>
      <c r="K234" s="130"/>
    </row>
    <row r="235" spans="1:76" x14ac:dyDescent="0.25">
      <c r="A235" s="25" t="s">
        <v>668</v>
      </c>
      <c r="B235" s="26" t="s">
        <v>669</v>
      </c>
      <c r="C235" s="123" t="s">
        <v>670</v>
      </c>
      <c r="D235" s="124"/>
      <c r="E235" s="26" t="s">
        <v>64</v>
      </c>
      <c r="F235" s="27">
        <v>30.6</v>
      </c>
      <c r="G235" s="28">
        <v>0</v>
      </c>
      <c r="H235" s="27">
        <f>F235*AO235</f>
        <v>0</v>
      </c>
      <c r="I235" s="27">
        <f>F235*AP235</f>
        <v>0</v>
      </c>
      <c r="J235" s="27">
        <f>F235*G235</f>
        <v>0</v>
      </c>
      <c r="K235" s="29" t="s">
        <v>57</v>
      </c>
      <c r="Z235" s="30">
        <f>IF(AQ235="5",BJ235,0)</f>
        <v>0</v>
      </c>
      <c r="AB235" s="30">
        <f>IF(AQ235="1",BH235,0)</f>
        <v>0</v>
      </c>
      <c r="AC235" s="30">
        <f>IF(AQ235="1",BI235,0)</f>
        <v>0</v>
      </c>
      <c r="AD235" s="30">
        <f>IF(AQ235="7",BH235,0)</f>
        <v>0</v>
      </c>
      <c r="AE235" s="30">
        <f>IF(AQ235="7",BI235,0)</f>
        <v>0</v>
      </c>
      <c r="AF235" s="30">
        <f>IF(AQ235="2",BH235,0)</f>
        <v>0</v>
      </c>
      <c r="AG235" s="30">
        <f>IF(AQ235="2",BI235,0)</f>
        <v>0</v>
      </c>
      <c r="AH235" s="30">
        <f>IF(AQ235="0",BJ235,0)</f>
        <v>0</v>
      </c>
      <c r="AI235" s="10" t="s">
        <v>50</v>
      </c>
      <c r="AJ235" s="30">
        <f>IF(AN235=0,J235,0)</f>
        <v>0</v>
      </c>
      <c r="AK235" s="30">
        <f>IF(AN235=12,J235,0)</f>
        <v>0</v>
      </c>
      <c r="AL235" s="30">
        <f>IF(AN235=21,J235,0)</f>
        <v>0</v>
      </c>
      <c r="AN235" s="30">
        <v>12</v>
      </c>
      <c r="AO235" s="30">
        <f>G235*0.220028011</f>
        <v>0</v>
      </c>
      <c r="AP235" s="30">
        <f>G235*(1-0.220028011)</f>
        <v>0</v>
      </c>
      <c r="AQ235" s="31" t="s">
        <v>81</v>
      </c>
      <c r="AV235" s="30">
        <f>AW235+AX235</f>
        <v>0</v>
      </c>
      <c r="AW235" s="30">
        <f>F235*AO235</f>
        <v>0</v>
      </c>
      <c r="AX235" s="30">
        <f>F235*AP235</f>
        <v>0</v>
      </c>
      <c r="AY235" s="31" t="s">
        <v>665</v>
      </c>
      <c r="AZ235" s="31" t="s">
        <v>666</v>
      </c>
      <c r="BA235" s="10" t="s">
        <v>60</v>
      </c>
      <c r="BC235" s="30">
        <f>AW235+AX235</f>
        <v>0</v>
      </c>
      <c r="BD235" s="30">
        <f>G235/(100-BE235)*100</f>
        <v>0</v>
      </c>
      <c r="BE235" s="30">
        <v>0</v>
      </c>
      <c r="BF235" s="30">
        <f>235</f>
        <v>235</v>
      </c>
      <c r="BH235" s="30">
        <f>F235*AO235</f>
        <v>0</v>
      </c>
      <c r="BI235" s="30">
        <f>F235*AP235</f>
        <v>0</v>
      </c>
      <c r="BJ235" s="30">
        <f>F235*G235</f>
        <v>0</v>
      </c>
      <c r="BK235" s="30"/>
      <c r="BL235" s="30">
        <v>783</v>
      </c>
      <c r="BW235" s="30">
        <v>12</v>
      </c>
      <c r="BX235" s="4" t="s">
        <v>670</v>
      </c>
    </row>
    <row r="236" spans="1:76" x14ac:dyDescent="0.25">
      <c r="A236" s="32" t="s">
        <v>671</v>
      </c>
      <c r="B236" s="33" t="s">
        <v>672</v>
      </c>
      <c r="C236" s="125" t="s">
        <v>673</v>
      </c>
      <c r="D236" s="126"/>
      <c r="E236" s="33" t="s">
        <v>64</v>
      </c>
      <c r="F236" s="34">
        <v>1.75</v>
      </c>
      <c r="G236" s="35">
        <v>0</v>
      </c>
      <c r="H236" s="34">
        <f>F236*AO236</f>
        <v>0</v>
      </c>
      <c r="I236" s="34">
        <f>F236*AP236</f>
        <v>0</v>
      </c>
      <c r="J236" s="34">
        <f>F236*G236</f>
        <v>0</v>
      </c>
      <c r="K236" s="36" t="s">
        <v>57</v>
      </c>
      <c r="Z236" s="30">
        <f>IF(AQ236="5",BJ236,0)</f>
        <v>0</v>
      </c>
      <c r="AB236" s="30">
        <f>IF(AQ236="1",BH236,0)</f>
        <v>0</v>
      </c>
      <c r="AC236" s="30">
        <f>IF(AQ236="1",BI236,0)</f>
        <v>0</v>
      </c>
      <c r="AD236" s="30">
        <f>IF(AQ236="7",BH236,0)</f>
        <v>0</v>
      </c>
      <c r="AE236" s="30">
        <f>IF(AQ236="7",BI236,0)</f>
        <v>0</v>
      </c>
      <c r="AF236" s="30">
        <f>IF(AQ236="2",BH236,0)</f>
        <v>0</v>
      </c>
      <c r="AG236" s="30">
        <f>IF(AQ236="2",BI236,0)</f>
        <v>0</v>
      </c>
      <c r="AH236" s="30">
        <f>IF(AQ236="0",BJ236,0)</f>
        <v>0</v>
      </c>
      <c r="AI236" s="10" t="s">
        <v>50</v>
      </c>
      <c r="AJ236" s="30">
        <f>IF(AN236=0,J236,0)</f>
        <v>0</v>
      </c>
      <c r="AK236" s="30">
        <f>IF(AN236=12,J236,0)</f>
        <v>0</v>
      </c>
      <c r="AL236" s="30">
        <f>IF(AN236=21,J236,0)</f>
        <v>0</v>
      </c>
      <c r="AN236" s="30">
        <v>12</v>
      </c>
      <c r="AO236" s="30">
        <f>G236*0.178658139</f>
        <v>0</v>
      </c>
      <c r="AP236" s="30">
        <f>G236*(1-0.178658139)</f>
        <v>0</v>
      </c>
      <c r="AQ236" s="31" t="s">
        <v>81</v>
      </c>
      <c r="AV236" s="30">
        <f>AW236+AX236</f>
        <v>0</v>
      </c>
      <c r="AW236" s="30">
        <f>F236*AO236</f>
        <v>0</v>
      </c>
      <c r="AX236" s="30">
        <f>F236*AP236</f>
        <v>0</v>
      </c>
      <c r="AY236" s="31" t="s">
        <v>665</v>
      </c>
      <c r="AZ236" s="31" t="s">
        <v>666</v>
      </c>
      <c r="BA236" s="10" t="s">
        <v>60</v>
      </c>
      <c r="BC236" s="30">
        <f>AW236+AX236</f>
        <v>0</v>
      </c>
      <c r="BD236" s="30">
        <f>G236/(100-BE236)*100</f>
        <v>0</v>
      </c>
      <c r="BE236" s="30">
        <v>0</v>
      </c>
      <c r="BF236" s="30">
        <f>236</f>
        <v>236</v>
      </c>
      <c r="BH236" s="30">
        <f>F236*AO236</f>
        <v>0</v>
      </c>
      <c r="BI236" s="30">
        <f>F236*AP236</f>
        <v>0</v>
      </c>
      <c r="BJ236" s="30">
        <f>F236*G236</f>
        <v>0</v>
      </c>
      <c r="BK236" s="30"/>
      <c r="BL236" s="30">
        <v>783</v>
      </c>
      <c r="BW236" s="30">
        <v>12</v>
      </c>
      <c r="BX236" s="4" t="s">
        <v>673</v>
      </c>
    </row>
    <row r="237" spans="1:76" ht="13.5" customHeight="1" x14ac:dyDescent="0.25">
      <c r="A237" s="37"/>
      <c r="B237" s="38" t="s">
        <v>68</v>
      </c>
      <c r="C237" s="127" t="s">
        <v>674</v>
      </c>
      <c r="D237" s="128"/>
      <c r="E237" s="128"/>
      <c r="F237" s="128"/>
      <c r="G237" s="129"/>
      <c r="H237" s="128"/>
      <c r="I237" s="128"/>
      <c r="J237" s="128"/>
      <c r="K237" s="130"/>
    </row>
    <row r="238" spans="1:76" x14ac:dyDescent="0.25">
      <c r="A238" s="25" t="s">
        <v>675</v>
      </c>
      <c r="B238" s="26" t="s">
        <v>676</v>
      </c>
      <c r="C238" s="123" t="s">
        <v>677</v>
      </c>
      <c r="D238" s="124"/>
      <c r="E238" s="26" t="s">
        <v>80</v>
      </c>
      <c r="F238" s="27">
        <v>7.5</v>
      </c>
      <c r="G238" s="28">
        <v>0</v>
      </c>
      <c r="H238" s="27">
        <f>F238*AO238</f>
        <v>0</v>
      </c>
      <c r="I238" s="27">
        <f>F238*AP238</f>
        <v>0</v>
      </c>
      <c r="J238" s="27">
        <f>F238*G238</f>
        <v>0</v>
      </c>
      <c r="K238" s="29" t="s">
        <v>57</v>
      </c>
      <c r="Z238" s="30">
        <f>IF(AQ238="5",BJ238,0)</f>
        <v>0</v>
      </c>
      <c r="AB238" s="30">
        <f>IF(AQ238="1",BH238,0)</f>
        <v>0</v>
      </c>
      <c r="AC238" s="30">
        <f>IF(AQ238="1",BI238,0)</f>
        <v>0</v>
      </c>
      <c r="AD238" s="30">
        <f>IF(AQ238="7",BH238,0)</f>
        <v>0</v>
      </c>
      <c r="AE238" s="30">
        <f>IF(AQ238="7",BI238,0)</f>
        <v>0</v>
      </c>
      <c r="AF238" s="30">
        <f>IF(AQ238="2",BH238,0)</f>
        <v>0</v>
      </c>
      <c r="AG238" s="30">
        <f>IF(AQ238="2",BI238,0)</f>
        <v>0</v>
      </c>
      <c r="AH238" s="30">
        <f>IF(AQ238="0",BJ238,0)</f>
        <v>0</v>
      </c>
      <c r="AI238" s="10" t="s">
        <v>50</v>
      </c>
      <c r="AJ238" s="30">
        <f>IF(AN238=0,J238,0)</f>
        <v>0</v>
      </c>
      <c r="AK238" s="30">
        <f>IF(AN238=12,J238,0)</f>
        <v>0</v>
      </c>
      <c r="AL238" s="30">
        <f>IF(AN238=21,J238,0)</f>
        <v>0</v>
      </c>
      <c r="AN238" s="30">
        <v>12</v>
      </c>
      <c r="AO238" s="30">
        <f>G238*0.189303079</f>
        <v>0</v>
      </c>
      <c r="AP238" s="30">
        <f>G238*(1-0.189303079)</f>
        <v>0</v>
      </c>
      <c r="AQ238" s="31" t="s">
        <v>81</v>
      </c>
      <c r="AV238" s="30">
        <f>AW238+AX238</f>
        <v>0</v>
      </c>
      <c r="AW238" s="30">
        <f>F238*AO238</f>
        <v>0</v>
      </c>
      <c r="AX238" s="30">
        <f>F238*AP238</f>
        <v>0</v>
      </c>
      <c r="AY238" s="31" t="s">
        <v>665</v>
      </c>
      <c r="AZ238" s="31" t="s">
        <v>666</v>
      </c>
      <c r="BA238" s="10" t="s">
        <v>60</v>
      </c>
      <c r="BC238" s="30">
        <f>AW238+AX238</f>
        <v>0</v>
      </c>
      <c r="BD238" s="30">
        <f>G238/(100-BE238)*100</f>
        <v>0</v>
      </c>
      <c r="BE238" s="30">
        <v>0</v>
      </c>
      <c r="BF238" s="30">
        <f>238</f>
        <v>238</v>
      </c>
      <c r="BH238" s="30">
        <f>F238*AO238</f>
        <v>0</v>
      </c>
      <c r="BI238" s="30">
        <f>F238*AP238</f>
        <v>0</v>
      </c>
      <c r="BJ238" s="30">
        <f>F238*G238</f>
        <v>0</v>
      </c>
      <c r="BK238" s="30"/>
      <c r="BL238" s="30">
        <v>783</v>
      </c>
      <c r="BW238" s="30">
        <v>12</v>
      </c>
      <c r="BX238" s="4" t="s">
        <v>677</v>
      </c>
    </row>
    <row r="239" spans="1:76" x14ac:dyDescent="0.25">
      <c r="A239" s="39" t="s">
        <v>50</v>
      </c>
      <c r="B239" s="40" t="s">
        <v>678</v>
      </c>
      <c r="C239" s="131" t="s">
        <v>679</v>
      </c>
      <c r="D239" s="132"/>
      <c r="E239" s="41" t="s">
        <v>4</v>
      </c>
      <c r="F239" s="41" t="s">
        <v>4</v>
      </c>
      <c r="G239" s="42" t="s">
        <v>4</v>
      </c>
      <c r="H239" s="43">
        <f>SUM(H240:H242)</f>
        <v>0</v>
      </c>
      <c r="I239" s="43">
        <f>SUM(I240:I242)</f>
        <v>0</v>
      </c>
      <c r="J239" s="43">
        <f>SUM(J240:J242)</f>
        <v>0</v>
      </c>
      <c r="K239" s="44" t="s">
        <v>50</v>
      </c>
      <c r="AI239" s="10" t="s">
        <v>50</v>
      </c>
      <c r="AS239" s="1">
        <f>SUM(AJ240:AJ242)</f>
        <v>0</v>
      </c>
      <c r="AT239" s="1">
        <f>SUM(AK240:AK242)</f>
        <v>0</v>
      </c>
      <c r="AU239" s="1">
        <f>SUM(AL240:AL242)</f>
        <v>0</v>
      </c>
    </row>
    <row r="240" spans="1:76" x14ac:dyDescent="0.25">
      <c r="A240" s="25" t="s">
        <v>680</v>
      </c>
      <c r="B240" s="26" t="s">
        <v>681</v>
      </c>
      <c r="C240" s="123" t="s">
        <v>682</v>
      </c>
      <c r="D240" s="124"/>
      <c r="E240" s="26" t="s">
        <v>64</v>
      </c>
      <c r="F240" s="27">
        <v>126.04795</v>
      </c>
      <c r="G240" s="28">
        <v>0</v>
      </c>
      <c r="H240" s="27">
        <f>F240*AO240</f>
        <v>0</v>
      </c>
      <c r="I240" s="27">
        <f>F240*AP240</f>
        <v>0</v>
      </c>
      <c r="J240" s="27">
        <f>F240*G240</f>
        <v>0</v>
      </c>
      <c r="K240" s="29" t="s">
        <v>57</v>
      </c>
      <c r="Z240" s="30">
        <f>IF(AQ240="5",BJ240,0)</f>
        <v>0</v>
      </c>
      <c r="AB240" s="30">
        <f>IF(AQ240="1",BH240,0)</f>
        <v>0</v>
      </c>
      <c r="AC240" s="30">
        <f>IF(AQ240="1",BI240,0)</f>
        <v>0</v>
      </c>
      <c r="AD240" s="30">
        <f>IF(AQ240="7",BH240,0)</f>
        <v>0</v>
      </c>
      <c r="AE240" s="30">
        <f>IF(AQ240="7",BI240,0)</f>
        <v>0</v>
      </c>
      <c r="AF240" s="30">
        <f>IF(AQ240="2",BH240,0)</f>
        <v>0</v>
      </c>
      <c r="AG240" s="30">
        <f>IF(AQ240="2",BI240,0)</f>
        <v>0</v>
      </c>
      <c r="AH240" s="30">
        <f>IF(AQ240="0",BJ240,0)</f>
        <v>0</v>
      </c>
      <c r="AI240" s="10" t="s">
        <v>50</v>
      </c>
      <c r="AJ240" s="30">
        <f>IF(AN240=0,J240,0)</f>
        <v>0</v>
      </c>
      <c r="AK240" s="30">
        <f>IF(AN240=12,J240,0)</f>
        <v>0</v>
      </c>
      <c r="AL240" s="30">
        <f>IF(AN240=21,J240,0)</f>
        <v>0</v>
      </c>
      <c r="AN240" s="30">
        <v>12</v>
      </c>
      <c r="AO240" s="30">
        <f>G240*0.002552795</f>
        <v>0</v>
      </c>
      <c r="AP240" s="30">
        <f>G240*(1-0.002552795)</f>
        <v>0</v>
      </c>
      <c r="AQ240" s="31" t="s">
        <v>81</v>
      </c>
      <c r="AV240" s="30">
        <f>AW240+AX240</f>
        <v>0</v>
      </c>
      <c r="AW240" s="30">
        <f>F240*AO240</f>
        <v>0</v>
      </c>
      <c r="AX240" s="30">
        <f>F240*AP240</f>
        <v>0</v>
      </c>
      <c r="AY240" s="31" t="s">
        <v>683</v>
      </c>
      <c r="AZ240" s="31" t="s">
        <v>666</v>
      </c>
      <c r="BA240" s="10" t="s">
        <v>60</v>
      </c>
      <c r="BC240" s="30">
        <f>AW240+AX240</f>
        <v>0</v>
      </c>
      <c r="BD240" s="30">
        <f>G240/(100-BE240)*100</f>
        <v>0</v>
      </c>
      <c r="BE240" s="30">
        <v>0</v>
      </c>
      <c r="BF240" s="30">
        <f>240</f>
        <v>240</v>
      </c>
      <c r="BH240" s="30">
        <f>F240*AO240</f>
        <v>0</v>
      </c>
      <c r="BI240" s="30">
        <f>F240*AP240</f>
        <v>0</v>
      </c>
      <c r="BJ240" s="30">
        <f>F240*G240</f>
        <v>0</v>
      </c>
      <c r="BK240" s="30"/>
      <c r="BL240" s="30">
        <v>784</v>
      </c>
      <c r="BW240" s="30">
        <v>12</v>
      </c>
      <c r="BX240" s="4" t="s">
        <v>682</v>
      </c>
    </row>
    <row r="241" spans="1:76" ht="13.5" customHeight="1" x14ac:dyDescent="0.25">
      <c r="A241" s="37"/>
      <c r="B241" s="38" t="s">
        <v>68</v>
      </c>
      <c r="C241" s="127" t="s">
        <v>684</v>
      </c>
      <c r="D241" s="128"/>
      <c r="E241" s="128"/>
      <c r="F241" s="128"/>
      <c r="G241" s="129"/>
      <c r="H241" s="128"/>
      <c r="I241" s="128"/>
      <c r="J241" s="128"/>
      <c r="K241" s="130"/>
    </row>
    <row r="242" spans="1:76" x14ac:dyDescent="0.25">
      <c r="A242" s="25" t="s">
        <v>685</v>
      </c>
      <c r="B242" s="26" t="s">
        <v>686</v>
      </c>
      <c r="C242" s="123" t="s">
        <v>687</v>
      </c>
      <c r="D242" s="124"/>
      <c r="E242" s="26" t="s">
        <v>64</v>
      </c>
      <c r="F242" s="27">
        <v>140.97476</v>
      </c>
      <c r="G242" s="28">
        <v>0</v>
      </c>
      <c r="H242" s="27">
        <f>F242*AO242</f>
        <v>0</v>
      </c>
      <c r="I242" s="27">
        <f>F242*AP242</f>
        <v>0</v>
      </c>
      <c r="J242" s="27">
        <f>F242*G242</f>
        <v>0</v>
      </c>
      <c r="K242" s="29" t="s">
        <v>57</v>
      </c>
      <c r="Z242" s="30">
        <f>IF(AQ242="5",BJ242,0)</f>
        <v>0</v>
      </c>
      <c r="AB242" s="30">
        <f>IF(AQ242="1",BH242,0)</f>
        <v>0</v>
      </c>
      <c r="AC242" s="30">
        <f>IF(AQ242="1",BI242,0)</f>
        <v>0</v>
      </c>
      <c r="AD242" s="30">
        <f>IF(AQ242="7",BH242,0)</f>
        <v>0</v>
      </c>
      <c r="AE242" s="30">
        <f>IF(AQ242="7",BI242,0)</f>
        <v>0</v>
      </c>
      <c r="AF242" s="30">
        <f>IF(AQ242="2",BH242,0)</f>
        <v>0</v>
      </c>
      <c r="AG242" s="30">
        <f>IF(AQ242="2",BI242,0)</f>
        <v>0</v>
      </c>
      <c r="AH242" s="30">
        <f>IF(AQ242="0",BJ242,0)</f>
        <v>0</v>
      </c>
      <c r="AI242" s="10" t="s">
        <v>50</v>
      </c>
      <c r="AJ242" s="30">
        <f>IF(AN242=0,J242,0)</f>
        <v>0</v>
      </c>
      <c r="AK242" s="30">
        <f>IF(AN242=12,J242,0)</f>
        <v>0</v>
      </c>
      <c r="AL242" s="30">
        <f>IF(AN242=21,J242,0)</f>
        <v>0</v>
      </c>
      <c r="AN242" s="30">
        <v>12</v>
      </c>
      <c r="AO242" s="30">
        <f>G242*0.249417481</f>
        <v>0</v>
      </c>
      <c r="AP242" s="30">
        <f>G242*(1-0.249417481)</f>
        <v>0</v>
      </c>
      <c r="AQ242" s="31" t="s">
        <v>81</v>
      </c>
      <c r="AV242" s="30">
        <f>AW242+AX242</f>
        <v>0</v>
      </c>
      <c r="AW242" s="30">
        <f>F242*AO242</f>
        <v>0</v>
      </c>
      <c r="AX242" s="30">
        <f>F242*AP242</f>
        <v>0</v>
      </c>
      <c r="AY242" s="31" t="s">
        <v>683</v>
      </c>
      <c r="AZ242" s="31" t="s">
        <v>666</v>
      </c>
      <c r="BA242" s="10" t="s">
        <v>60</v>
      </c>
      <c r="BC242" s="30">
        <f>AW242+AX242</f>
        <v>0</v>
      </c>
      <c r="BD242" s="30">
        <f>G242/(100-BE242)*100</f>
        <v>0</v>
      </c>
      <c r="BE242" s="30">
        <v>0</v>
      </c>
      <c r="BF242" s="30">
        <f>242</f>
        <v>242</v>
      </c>
      <c r="BH242" s="30">
        <f>F242*AO242</f>
        <v>0</v>
      </c>
      <c r="BI242" s="30">
        <f>F242*AP242</f>
        <v>0</v>
      </c>
      <c r="BJ242" s="30">
        <f>F242*G242</f>
        <v>0</v>
      </c>
      <c r="BK242" s="30"/>
      <c r="BL242" s="30">
        <v>784</v>
      </c>
      <c r="BW242" s="30">
        <v>12</v>
      </c>
      <c r="BX242" s="4" t="s">
        <v>687</v>
      </c>
    </row>
    <row r="243" spans="1:76" x14ac:dyDescent="0.25">
      <c r="A243" s="39" t="s">
        <v>50</v>
      </c>
      <c r="B243" s="40" t="s">
        <v>370</v>
      </c>
      <c r="C243" s="131" t="s">
        <v>688</v>
      </c>
      <c r="D243" s="132"/>
      <c r="E243" s="41" t="s">
        <v>4</v>
      </c>
      <c r="F243" s="41" t="s">
        <v>4</v>
      </c>
      <c r="G243" s="42" t="s">
        <v>4</v>
      </c>
      <c r="H243" s="43">
        <f>SUM(H244:H247)</f>
        <v>0</v>
      </c>
      <c r="I243" s="43">
        <f>SUM(I244:I247)</f>
        <v>0</v>
      </c>
      <c r="J243" s="43">
        <f>SUM(J244:J247)</f>
        <v>0</v>
      </c>
      <c r="K243" s="44" t="s">
        <v>50</v>
      </c>
      <c r="AI243" s="10" t="s">
        <v>50</v>
      </c>
      <c r="AS243" s="1">
        <f>SUM(AJ244:AJ247)</f>
        <v>0</v>
      </c>
      <c r="AT243" s="1">
        <f>SUM(AK244:AK247)</f>
        <v>0</v>
      </c>
      <c r="AU243" s="1">
        <f>SUM(AL244:AL247)</f>
        <v>0</v>
      </c>
    </row>
    <row r="244" spans="1:76" x14ac:dyDescent="0.25">
      <c r="A244" s="25" t="s">
        <v>689</v>
      </c>
      <c r="B244" s="26" t="s">
        <v>690</v>
      </c>
      <c r="C244" s="123" t="s">
        <v>691</v>
      </c>
      <c r="D244" s="124"/>
      <c r="E244" s="26" t="s">
        <v>56</v>
      </c>
      <c r="F244" s="27">
        <v>1</v>
      </c>
      <c r="G244" s="28">
        <v>0</v>
      </c>
      <c r="H244" s="27">
        <f>F244*AO244</f>
        <v>0</v>
      </c>
      <c r="I244" s="27">
        <f>F244*AP244</f>
        <v>0</v>
      </c>
      <c r="J244" s="27">
        <f>F244*G244</f>
        <v>0</v>
      </c>
      <c r="K244" s="29" t="s">
        <v>57</v>
      </c>
      <c r="Z244" s="30">
        <f>IF(AQ244="5",BJ244,0)</f>
        <v>0</v>
      </c>
      <c r="AB244" s="30">
        <f>IF(AQ244="1",BH244,0)</f>
        <v>0</v>
      </c>
      <c r="AC244" s="30">
        <f>IF(AQ244="1",BI244,0)</f>
        <v>0</v>
      </c>
      <c r="AD244" s="30">
        <f>IF(AQ244="7",BH244,0)</f>
        <v>0</v>
      </c>
      <c r="AE244" s="30">
        <f>IF(AQ244="7",BI244,0)</f>
        <v>0</v>
      </c>
      <c r="AF244" s="30">
        <f>IF(AQ244="2",BH244,0)</f>
        <v>0</v>
      </c>
      <c r="AG244" s="30">
        <f>IF(AQ244="2",BI244,0)</f>
        <v>0</v>
      </c>
      <c r="AH244" s="30">
        <f>IF(AQ244="0",BJ244,0)</f>
        <v>0</v>
      </c>
      <c r="AI244" s="10" t="s">
        <v>50</v>
      </c>
      <c r="AJ244" s="30">
        <f>IF(AN244=0,J244,0)</f>
        <v>0</v>
      </c>
      <c r="AK244" s="30">
        <f>IF(AN244=12,J244,0)</f>
        <v>0</v>
      </c>
      <c r="AL244" s="30">
        <f>IF(AN244=21,J244,0)</f>
        <v>0</v>
      </c>
      <c r="AN244" s="30">
        <v>12</v>
      </c>
      <c r="AO244" s="30">
        <f>G244*0.16970339</f>
        <v>0</v>
      </c>
      <c r="AP244" s="30">
        <f>G244*(1-0.16970339)</f>
        <v>0</v>
      </c>
      <c r="AQ244" s="31" t="s">
        <v>53</v>
      </c>
      <c r="AV244" s="30">
        <f>AW244+AX244</f>
        <v>0</v>
      </c>
      <c r="AW244" s="30">
        <f>F244*AO244</f>
        <v>0</v>
      </c>
      <c r="AX244" s="30">
        <f>F244*AP244</f>
        <v>0</v>
      </c>
      <c r="AY244" s="31" t="s">
        <v>692</v>
      </c>
      <c r="AZ244" s="31" t="s">
        <v>693</v>
      </c>
      <c r="BA244" s="10" t="s">
        <v>60</v>
      </c>
      <c r="BC244" s="30">
        <f>AW244+AX244</f>
        <v>0</v>
      </c>
      <c r="BD244" s="30">
        <f>G244/(100-BE244)*100</f>
        <v>0</v>
      </c>
      <c r="BE244" s="30">
        <v>0</v>
      </c>
      <c r="BF244" s="30">
        <f>244</f>
        <v>244</v>
      </c>
      <c r="BH244" s="30">
        <f>F244*AO244</f>
        <v>0</v>
      </c>
      <c r="BI244" s="30">
        <f>F244*AP244</f>
        <v>0</v>
      </c>
      <c r="BJ244" s="30">
        <f>F244*G244</f>
        <v>0</v>
      </c>
      <c r="BK244" s="30"/>
      <c r="BL244" s="30">
        <v>95</v>
      </c>
      <c r="BW244" s="30">
        <v>12</v>
      </c>
      <c r="BX244" s="4" t="s">
        <v>691</v>
      </c>
    </row>
    <row r="245" spans="1:76" x14ac:dyDescent="0.25">
      <c r="A245" s="32" t="s">
        <v>694</v>
      </c>
      <c r="B245" s="33" t="s">
        <v>695</v>
      </c>
      <c r="C245" s="125" t="s">
        <v>696</v>
      </c>
      <c r="D245" s="126"/>
      <c r="E245" s="33" t="s">
        <v>56</v>
      </c>
      <c r="F245" s="34">
        <v>1</v>
      </c>
      <c r="G245" s="35">
        <v>0</v>
      </c>
      <c r="H245" s="34">
        <f>F245*AO245</f>
        <v>0</v>
      </c>
      <c r="I245" s="34">
        <f>F245*AP245</f>
        <v>0</v>
      </c>
      <c r="J245" s="34">
        <f>F245*G245</f>
        <v>0</v>
      </c>
      <c r="K245" s="36" t="s">
        <v>57</v>
      </c>
      <c r="Z245" s="30">
        <f>IF(AQ245="5",BJ245,0)</f>
        <v>0</v>
      </c>
      <c r="AB245" s="30">
        <f>IF(AQ245="1",BH245,0)</f>
        <v>0</v>
      </c>
      <c r="AC245" s="30">
        <f>IF(AQ245="1",BI245,0)</f>
        <v>0</v>
      </c>
      <c r="AD245" s="30">
        <f>IF(AQ245="7",BH245,0)</f>
        <v>0</v>
      </c>
      <c r="AE245" s="30">
        <f>IF(AQ245="7",BI245,0)</f>
        <v>0</v>
      </c>
      <c r="AF245" s="30">
        <f>IF(AQ245="2",BH245,0)</f>
        <v>0</v>
      </c>
      <c r="AG245" s="30">
        <f>IF(AQ245="2",BI245,0)</f>
        <v>0</v>
      </c>
      <c r="AH245" s="30">
        <f>IF(AQ245="0",BJ245,0)</f>
        <v>0</v>
      </c>
      <c r="AI245" s="10" t="s">
        <v>50</v>
      </c>
      <c r="AJ245" s="30">
        <f>IF(AN245=0,J245,0)</f>
        <v>0</v>
      </c>
      <c r="AK245" s="30">
        <f>IF(AN245=12,J245,0)</f>
        <v>0</v>
      </c>
      <c r="AL245" s="30">
        <f>IF(AN245=21,J245,0)</f>
        <v>0</v>
      </c>
      <c r="AN245" s="30">
        <v>12</v>
      </c>
      <c r="AO245" s="30">
        <f>G245*1</f>
        <v>0</v>
      </c>
      <c r="AP245" s="30">
        <f>G245*(1-1)</f>
        <v>0</v>
      </c>
      <c r="AQ245" s="31" t="s">
        <v>53</v>
      </c>
      <c r="AV245" s="30">
        <f>AW245+AX245</f>
        <v>0</v>
      </c>
      <c r="AW245" s="30">
        <f>F245*AO245</f>
        <v>0</v>
      </c>
      <c r="AX245" s="30">
        <f>F245*AP245</f>
        <v>0</v>
      </c>
      <c r="AY245" s="31" t="s">
        <v>692</v>
      </c>
      <c r="AZ245" s="31" t="s">
        <v>693</v>
      </c>
      <c r="BA245" s="10" t="s">
        <v>60</v>
      </c>
      <c r="BC245" s="30">
        <f>AW245+AX245</f>
        <v>0</v>
      </c>
      <c r="BD245" s="30">
        <f>G245/(100-BE245)*100</f>
        <v>0</v>
      </c>
      <c r="BE245" s="30">
        <v>0</v>
      </c>
      <c r="BF245" s="30">
        <f>245</f>
        <v>245</v>
      </c>
      <c r="BH245" s="30">
        <f>F245*AO245</f>
        <v>0</v>
      </c>
      <c r="BI245" s="30">
        <f>F245*AP245</f>
        <v>0</v>
      </c>
      <c r="BJ245" s="30">
        <f>F245*G245</f>
        <v>0</v>
      </c>
      <c r="BK245" s="30"/>
      <c r="BL245" s="30">
        <v>95</v>
      </c>
      <c r="BW245" s="30">
        <v>12</v>
      </c>
      <c r="BX245" s="4" t="s">
        <v>696</v>
      </c>
    </row>
    <row r="246" spans="1:76" x14ac:dyDescent="0.25">
      <c r="A246" s="32" t="s">
        <v>697</v>
      </c>
      <c r="B246" s="33" t="s">
        <v>698</v>
      </c>
      <c r="C246" s="125" t="s">
        <v>699</v>
      </c>
      <c r="D246" s="126"/>
      <c r="E246" s="33" t="s">
        <v>56</v>
      </c>
      <c r="F246" s="34">
        <v>1</v>
      </c>
      <c r="G246" s="35">
        <v>0</v>
      </c>
      <c r="H246" s="34">
        <f>F246*AO246</f>
        <v>0</v>
      </c>
      <c r="I246" s="34">
        <f>F246*AP246</f>
        <v>0</v>
      </c>
      <c r="J246" s="34">
        <f>F246*G246</f>
        <v>0</v>
      </c>
      <c r="K246" s="36" t="s">
        <v>57</v>
      </c>
      <c r="Z246" s="30">
        <f>IF(AQ246="5",BJ246,0)</f>
        <v>0</v>
      </c>
      <c r="AB246" s="30">
        <f>IF(AQ246="1",BH246,0)</f>
        <v>0</v>
      </c>
      <c r="AC246" s="30">
        <f>IF(AQ246="1",BI246,0)</f>
        <v>0</v>
      </c>
      <c r="AD246" s="30">
        <f>IF(AQ246="7",BH246,0)</f>
        <v>0</v>
      </c>
      <c r="AE246" s="30">
        <f>IF(AQ246="7",BI246,0)</f>
        <v>0</v>
      </c>
      <c r="AF246" s="30">
        <f>IF(AQ246="2",BH246,0)</f>
        <v>0</v>
      </c>
      <c r="AG246" s="30">
        <f>IF(AQ246="2",BI246,0)</f>
        <v>0</v>
      </c>
      <c r="AH246" s="30">
        <f>IF(AQ246="0",BJ246,0)</f>
        <v>0</v>
      </c>
      <c r="AI246" s="10" t="s">
        <v>50</v>
      </c>
      <c r="AJ246" s="30">
        <f>IF(AN246=0,J246,0)</f>
        <v>0</v>
      </c>
      <c r="AK246" s="30">
        <f>IF(AN246=12,J246,0)</f>
        <v>0</v>
      </c>
      <c r="AL246" s="30">
        <f>IF(AN246=21,J246,0)</f>
        <v>0</v>
      </c>
      <c r="AN246" s="30">
        <v>12</v>
      </c>
      <c r="AO246" s="30">
        <f>G246*0</f>
        <v>0</v>
      </c>
      <c r="AP246" s="30">
        <f>G246*(1-0)</f>
        <v>0</v>
      </c>
      <c r="AQ246" s="31" t="s">
        <v>53</v>
      </c>
      <c r="AV246" s="30">
        <f>AW246+AX246</f>
        <v>0</v>
      </c>
      <c r="AW246" s="30">
        <f>F246*AO246</f>
        <v>0</v>
      </c>
      <c r="AX246" s="30">
        <f>F246*AP246</f>
        <v>0</v>
      </c>
      <c r="AY246" s="31" t="s">
        <v>692</v>
      </c>
      <c r="AZ246" s="31" t="s">
        <v>693</v>
      </c>
      <c r="BA246" s="10" t="s">
        <v>60</v>
      </c>
      <c r="BC246" s="30">
        <f>AW246+AX246</f>
        <v>0</v>
      </c>
      <c r="BD246" s="30">
        <f>G246/(100-BE246)*100</f>
        <v>0</v>
      </c>
      <c r="BE246" s="30">
        <v>0</v>
      </c>
      <c r="BF246" s="30">
        <f>246</f>
        <v>246</v>
      </c>
      <c r="BH246" s="30">
        <f>F246*AO246</f>
        <v>0</v>
      </c>
      <c r="BI246" s="30">
        <f>F246*AP246</f>
        <v>0</v>
      </c>
      <c r="BJ246" s="30">
        <f>F246*G246</f>
        <v>0</v>
      </c>
      <c r="BK246" s="30"/>
      <c r="BL246" s="30">
        <v>95</v>
      </c>
      <c r="BW246" s="30">
        <v>12</v>
      </c>
      <c r="BX246" s="4" t="s">
        <v>699</v>
      </c>
    </row>
    <row r="247" spans="1:76" x14ac:dyDescent="0.25">
      <c r="A247" s="32" t="s">
        <v>700</v>
      </c>
      <c r="B247" s="33" t="s">
        <v>701</v>
      </c>
      <c r="C247" s="125" t="s">
        <v>702</v>
      </c>
      <c r="D247" s="126"/>
      <c r="E247" s="33" t="s">
        <v>56</v>
      </c>
      <c r="F247" s="34">
        <v>1</v>
      </c>
      <c r="G247" s="35">
        <v>0</v>
      </c>
      <c r="H247" s="34">
        <f>F247*AO247</f>
        <v>0</v>
      </c>
      <c r="I247" s="34">
        <f>F247*AP247</f>
        <v>0</v>
      </c>
      <c r="J247" s="34">
        <f>F247*G247</f>
        <v>0</v>
      </c>
      <c r="K247" s="36" t="s">
        <v>57</v>
      </c>
      <c r="Z247" s="30">
        <f>IF(AQ247="5",BJ247,0)</f>
        <v>0</v>
      </c>
      <c r="AB247" s="30">
        <f>IF(AQ247="1",BH247,0)</f>
        <v>0</v>
      </c>
      <c r="AC247" s="30">
        <f>IF(AQ247="1",BI247,0)</f>
        <v>0</v>
      </c>
      <c r="AD247" s="30">
        <f>IF(AQ247="7",BH247,0)</f>
        <v>0</v>
      </c>
      <c r="AE247" s="30">
        <f>IF(AQ247="7",BI247,0)</f>
        <v>0</v>
      </c>
      <c r="AF247" s="30">
        <f>IF(AQ247="2",BH247,0)</f>
        <v>0</v>
      </c>
      <c r="AG247" s="30">
        <f>IF(AQ247="2",BI247,0)</f>
        <v>0</v>
      </c>
      <c r="AH247" s="30">
        <f>IF(AQ247="0",BJ247,0)</f>
        <v>0</v>
      </c>
      <c r="AI247" s="10" t="s">
        <v>50</v>
      </c>
      <c r="AJ247" s="30">
        <f>IF(AN247=0,J247,0)</f>
        <v>0</v>
      </c>
      <c r="AK247" s="30">
        <f>IF(AN247=12,J247,0)</f>
        <v>0</v>
      </c>
      <c r="AL247" s="30">
        <f>IF(AN247=21,J247,0)</f>
        <v>0</v>
      </c>
      <c r="AN247" s="30">
        <v>12</v>
      </c>
      <c r="AO247" s="30">
        <f>G247*0</f>
        <v>0</v>
      </c>
      <c r="AP247" s="30">
        <f>G247*(1-0)</f>
        <v>0</v>
      </c>
      <c r="AQ247" s="31" t="s">
        <v>61</v>
      </c>
      <c r="AV247" s="30">
        <f>AW247+AX247</f>
        <v>0</v>
      </c>
      <c r="AW247" s="30">
        <f>F247*AO247</f>
        <v>0</v>
      </c>
      <c r="AX247" s="30">
        <f>F247*AP247</f>
        <v>0</v>
      </c>
      <c r="AY247" s="31" t="s">
        <v>692</v>
      </c>
      <c r="AZ247" s="31" t="s">
        <v>693</v>
      </c>
      <c r="BA247" s="10" t="s">
        <v>60</v>
      </c>
      <c r="BC247" s="30">
        <f>AW247+AX247</f>
        <v>0</v>
      </c>
      <c r="BD247" s="30">
        <f>G247/(100-BE247)*100</f>
        <v>0</v>
      </c>
      <c r="BE247" s="30">
        <v>0</v>
      </c>
      <c r="BF247" s="30">
        <f>247</f>
        <v>247</v>
      </c>
      <c r="BH247" s="30">
        <f>F247*AO247</f>
        <v>0</v>
      </c>
      <c r="BI247" s="30">
        <f>F247*AP247</f>
        <v>0</v>
      </c>
      <c r="BJ247" s="30">
        <f>F247*G247</f>
        <v>0</v>
      </c>
      <c r="BK247" s="30"/>
      <c r="BL247" s="30">
        <v>95</v>
      </c>
      <c r="BW247" s="30">
        <v>12</v>
      </c>
      <c r="BX247" s="4" t="s">
        <v>702</v>
      </c>
    </row>
    <row r="248" spans="1:76" x14ac:dyDescent="0.25">
      <c r="A248" s="39" t="s">
        <v>50</v>
      </c>
      <c r="B248" s="40" t="s">
        <v>703</v>
      </c>
      <c r="C248" s="131" t="s">
        <v>704</v>
      </c>
      <c r="D248" s="132"/>
      <c r="E248" s="41" t="s">
        <v>4</v>
      </c>
      <c r="F248" s="41" t="s">
        <v>4</v>
      </c>
      <c r="G248" s="42" t="s">
        <v>4</v>
      </c>
      <c r="H248" s="43">
        <f>SUM(H249:H284)</f>
        <v>0</v>
      </c>
      <c r="I248" s="43">
        <f>SUM(I249:I284)</f>
        <v>0</v>
      </c>
      <c r="J248" s="43">
        <f>SUM(J249:J284)</f>
        <v>0</v>
      </c>
      <c r="K248" s="44" t="s">
        <v>50</v>
      </c>
      <c r="AI248" s="10" t="s">
        <v>50</v>
      </c>
      <c r="AS248" s="1">
        <f>SUM(AJ249:AJ284)</f>
        <v>0</v>
      </c>
      <c r="AT248" s="1">
        <f>SUM(AK249:AK284)</f>
        <v>0</v>
      </c>
      <c r="AU248" s="1">
        <f>SUM(AL249:AL284)</f>
        <v>0</v>
      </c>
    </row>
    <row r="249" spans="1:76" x14ac:dyDescent="0.25">
      <c r="A249" s="25" t="s">
        <v>705</v>
      </c>
      <c r="B249" s="26" t="s">
        <v>706</v>
      </c>
      <c r="C249" s="123" t="s">
        <v>707</v>
      </c>
      <c r="D249" s="124"/>
      <c r="E249" s="26" t="s">
        <v>708</v>
      </c>
      <c r="F249" s="27">
        <v>1</v>
      </c>
      <c r="G249" s="28">
        <v>0</v>
      </c>
      <c r="H249" s="27">
        <f t="shared" ref="H249:H260" si="308">F249*AO249</f>
        <v>0</v>
      </c>
      <c r="I249" s="27">
        <f t="shared" ref="I249:I260" si="309">F249*AP249</f>
        <v>0</v>
      </c>
      <c r="J249" s="27">
        <f t="shared" ref="J249:J260" si="310">F249*G249</f>
        <v>0</v>
      </c>
      <c r="K249" s="29" t="s">
        <v>57</v>
      </c>
      <c r="Z249" s="30">
        <f t="shared" ref="Z249:Z260" si="311">IF(AQ249="5",BJ249,0)</f>
        <v>0</v>
      </c>
      <c r="AB249" s="30">
        <f t="shared" ref="AB249:AB260" si="312">IF(AQ249="1",BH249,0)</f>
        <v>0</v>
      </c>
      <c r="AC249" s="30">
        <f t="shared" ref="AC249:AC260" si="313">IF(AQ249="1",BI249,0)</f>
        <v>0</v>
      </c>
      <c r="AD249" s="30">
        <f t="shared" ref="AD249:AD260" si="314">IF(AQ249="7",BH249,0)</f>
        <v>0</v>
      </c>
      <c r="AE249" s="30">
        <f t="shared" ref="AE249:AE260" si="315">IF(AQ249="7",BI249,0)</f>
        <v>0</v>
      </c>
      <c r="AF249" s="30">
        <f t="shared" ref="AF249:AF260" si="316">IF(AQ249="2",BH249,0)</f>
        <v>0</v>
      </c>
      <c r="AG249" s="30">
        <f t="shared" ref="AG249:AG260" si="317">IF(AQ249="2",BI249,0)</f>
        <v>0</v>
      </c>
      <c r="AH249" s="30">
        <f t="shared" ref="AH249:AH260" si="318">IF(AQ249="0",BJ249,0)</f>
        <v>0</v>
      </c>
      <c r="AI249" s="10" t="s">
        <v>50</v>
      </c>
      <c r="AJ249" s="30">
        <f t="shared" ref="AJ249:AJ260" si="319">IF(AN249=0,J249,0)</f>
        <v>0</v>
      </c>
      <c r="AK249" s="30">
        <f t="shared" ref="AK249:AK260" si="320">IF(AN249=12,J249,0)</f>
        <v>0</v>
      </c>
      <c r="AL249" s="30">
        <f t="shared" ref="AL249:AL260" si="321">IF(AN249=21,J249,0)</f>
        <v>0</v>
      </c>
      <c r="AN249" s="30">
        <v>12</v>
      </c>
      <c r="AO249" s="30">
        <f>G249*0.117849815</f>
        <v>0</v>
      </c>
      <c r="AP249" s="30">
        <f>G249*(1-0.117849815)</f>
        <v>0</v>
      </c>
      <c r="AQ249" s="31" t="s">
        <v>61</v>
      </c>
      <c r="AV249" s="30">
        <f t="shared" ref="AV249:AV260" si="322">AW249+AX249</f>
        <v>0</v>
      </c>
      <c r="AW249" s="30">
        <f t="shared" ref="AW249:AW260" si="323">F249*AO249</f>
        <v>0</v>
      </c>
      <c r="AX249" s="30">
        <f t="shared" ref="AX249:AX260" si="324">F249*AP249</f>
        <v>0</v>
      </c>
      <c r="AY249" s="31" t="s">
        <v>709</v>
      </c>
      <c r="AZ249" s="31" t="s">
        <v>693</v>
      </c>
      <c r="BA249" s="10" t="s">
        <v>60</v>
      </c>
      <c r="BC249" s="30">
        <f t="shared" ref="BC249:BC260" si="325">AW249+AX249</f>
        <v>0</v>
      </c>
      <c r="BD249" s="30">
        <f t="shared" ref="BD249:BD260" si="326">G249/(100-BE249)*100</f>
        <v>0</v>
      </c>
      <c r="BE249" s="30">
        <v>0</v>
      </c>
      <c r="BF249" s="30">
        <f>249</f>
        <v>249</v>
      </c>
      <c r="BH249" s="30">
        <f t="shared" ref="BH249:BH260" si="327">F249*AO249</f>
        <v>0</v>
      </c>
      <c r="BI249" s="30">
        <f t="shared" ref="BI249:BI260" si="328">F249*AP249</f>
        <v>0</v>
      </c>
      <c r="BJ249" s="30">
        <f t="shared" ref="BJ249:BJ260" si="329">F249*G249</f>
        <v>0</v>
      </c>
      <c r="BK249" s="30"/>
      <c r="BL249" s="30"/>
      <c r="BW249" s="30">
        <v>12</v>
      </c>
      <c r="BX249" s="4" t="s">
        <v>707</v>
      </c>
    </row>
    <row r="250" spans="1:76" x14ac:dyDescent="0.25">
      <c r="A250" s="32" t="s">
        <v>710</v>
      </c>
      <c r="B250" s="33" t="s">
        <v>711</v>
      </c>
      <c r="C250" s="125" t="s">
        <v>712</v>
      </c>
      <c r="D250" s="126"/>
      <c r="E250" s="33" t="s">
        <v>56</v>
      </c>
      <c r="F250" s="34">
        <v>1</v>
      </c>
      <c r="G250" s="35">
        <v>0</v>
      </c>
      <c r="H250" s="34">
        <f t="shared" si="308"/>
        <v>0</v>
      </c>
      <c r="I250" s="34">
        <f t="shared" si="309"/>
        <v>0</v>
      </c>
      <c r="J250" s="34">
        <f t="shared" si="310"/>
        <v>0</v>
      </c>
      <c r="K250" s="36" t="s">
        <v>57</v>
      </c>
      <c r="Z250" s="30">
        <f t="shared" si="311"/>
        <v>0</v>
      </c>
      <c r="AB250" s="30">
        <f t="shared" si="312"/>
        <v>0</v>
      </c>
      <c r="AC250" s="30">
        <f t="shared" si="313"/>
        <v>0</v>
      </c>
      <c r="AD250" s="30">
        <f t="shared" si="314"/>
        <v>0</v>
      </c>
      <c r="AE250" s="30">
        <f t="shared" si="315"/>
        <v>0</v>
      </c>
      <c r="AF250" s="30">
        <f t="shared" si="316"/>
        <v>0</v>
      </c>
      <c r="AG250" s="30">
        <f t="shared" si="317"/>
        <v>0</v>
      </c>
      <c r="AH250" s="30">
        <f t="shared" si="318"/>
        <v>0</v>
      </c>
      <c r="AI250" s="10" t="s">
        <v>50</v>
      </c>
      <c r="AJ250" s="30">
        <f t="shared" si="319"/>
        <v>0</v>
      </c>
      <c r="AK250" s="30">
        <f t="shared" si="320"/>
        <v>0</v>
      </c>
      <c r="AL250" s="30">
        <f t="shared" si="321"/>
        <v>0</v>
      </c>
      <c r="AN250" s="30">
        <v>12</v>
      </c>
      <c r="AO250" s="30">
        <f>G250*0</f>
        <v>0</v>
      </c>
      <c r="AP250" s="30">
        <f>G250*(1-0)</f>
        <v>0</v>
      </c>
      <c r="AQ250" s="31" t="s">
        <v>61</v>
      </c>
      <c r="AV250" s="30">
        <f t="shared" si="322"/>
        <v>0</v>
      </c>
      <c r="AW250" s="30">
        <f t="shared" si="323"/>
        <v>0</v>
      </c>
      <c r="AX250" s="30">
        <f t="shared" si="324"/>
        <v>0</v>
      </c>
      <c r="AY250" s="31" t="s">
        <v>709</v>
      </c>
      <c r="AZ250" s="31" t="s">
        <v>693</v>
      </c>
      <c r="BA250" s="10" t="s">
        <v>60</v>
      </c>
      <c r="BC250" s="30">
        <f t="shared" si="325"/>
        <v>0</v>
      </c>
      <c r="BD250" s="30">
        <f t="shared" si="326"/>
        <v>0</v>
      </c>
      <c r="BE250" s="30">
        <v>0</v>
      </c>
      <c r="BF250" s="30">
        <f>250</f>
        <v>250</v>
      </c>
      <c r="BH250" s="30">
        <f t="shared" si="327"/>
        <v>0</v>
      </c>
      <c r="BI250" s="30">
        <f t="shared" si="328"/>
        <v>0</v>
      </c>
      <c r="BJ250" s="30">
        <f t="shared" si="329"/>
        <v>0</v>
      </c>
      <c r="BK250" s="30"/>
      <c r="BL250" s="30"/>
      <c r="BW250" s="30">
        <v>12</v>
      </c>
      <c r="BX250" s="4" t="s">
        <v>712</v>
      </c>
    </row>
    <row r="251" spans="1:76" x14ac:dyDescent="0.25">
      <c r="A251" s="32" t="s">
        <v>713</v>
      </c>
      <c r="B251" s="33" t="s">
        <v>714</v>
      </c>
      <c r="C251" s="125" t="s">
        <v>715</v>
      </c>
      <c r="D251" s="126"/>
      <c r="E251" s="33" t="s">
        <v>56</v>
      </c>
      <c r="F251" s="34">
        <v>1</v>
      </c>
      <c r="G251" s="35">
        <v>0</v>
      </c>
      <c r="H251" s="34">
        <f t="shared" si="308"/>
        <v>0</v>
      </c>
      <c r="I251" s="34">
        <f t="shared" si="309"/>
        <v>0</v>
      </c>
      <c r="J251" s="34">
        <f t="shared" si="310"/>
        <v>0</v>
      </c>
      <c r="K251" s="36" t="s">
        <v>57</v>
      </c>
      <c r="Z251" s="30">
        <f t="shared" si="311"/>
        <v>0</v>
      </c>
      <c r="AB251" s="30">
        <f t="shared" si="312"/>
        <v>0</v>
      </c>
      <c r="AC251" s="30">
        <f t="shared" si="313"/>
        <v>0</v>
      </c>
      <c r="AD251" s="30">
        <f t="shared" si="314"/>
        <v>0</v>
      </c>
      <c r="AE251" s="30">
        <f t="shared" si="315"/>
        <v>0</v>
      </c>
      <c r="AF251" s="30">
        <f t="shared" si="316"/>
        <v>0</v>
      </c>
      <c r="AG251" s="30">
        <f t="shared" si="317"/>
        <v>0</v>
      </c>
      <c r="AH251" s="30">
        <f t="shared" si="318"/>
        <v>0</v>
      </c>
      <c r="AI251" s="10" t="s">
        <v>50</v>
      </c>
      <c r="AJ251" s="30">
        <f t="shared" si="319"/>
        <v>0</v>
      </c>
      <c r="AK251" s="30">
        <f t="shared" si="320"/>
        <v>0</v>
      </c>
      <c r="AL251" s="30">
        <f t="shared" si="321"/>
        <v>0</v>
      </c>
      <c r="AN251" s="30">
        <v>12</v>
      </c>
      <c r="AO251" s="30">
        <f>G251*1</f>
        <v>0</v>
      </c>
      <c r="AP251" s="30">
        <f>G251*(1-1)</f>
        <v>0</v>
      </c>
      <c r="AQ251" s="31" t="s">
        <v>53</v>
      </c>
      <c r="AV251" s="30">
        <f t="shared" si="322"/>
        <v>0</v>
      </c>
      <c r="AW251" s="30">
        <f t="shared" si="323"/>
        <v>0</v>
      </c>
      <c r="AX251" s="30">
        <f t="shared" si="324"/>
        <v>0</v>
      </c>
      <c r="AY251" s="31" t="s">
        <v>709</v>
      </c>
      <c r="AZ251" s="31" t="s">
        <v>693</v>
      </c>
      <c r="BA251" s="10" t="s">
        <v>60</v>
      </c>
      <c r="BC251" s="30">
        <f t="shared" si="325"/>
        <v>0</v>
      </c>
      <c r="BD251" s="30">
        <f t="shared" si="326"/>
        <v>0</v>
      </c>
      <c r="BE251" s="30">
        <v>0</v>
      </c>
      <c r="BF251" s="30">
        <f>251</f>
        <v>251</v>
      </c>
      <c r="BH251" s="30">
        <f t="shared" si="327"/>
        <v>0</v>
      </c>
      <c r="BI251" s="30">
        <f t="shared" si="328"/>
        <v>0</v>
      </c>
      <c r="BJ251" s="30">
        <f t="shared" si="329"/>
        <v>0</v>
      </c>
      <c r="BK251" s="30"/>
      <c r="BL251" s="30"/>
      <c r="BW251" s="30">
        <v>12</v>
      </c>
      <c r="BX251" s="4" t="s">
        <v>715</v>
      </c>
    </row>
    <row r="252" spans="1:76" x14ac:dyDescent="0.25">
      <c r="A252" s="32" t="s">
        <v>716</v>
      </c>
      <c r="B252" s="33" t="s">
        <v>717</v>
      </c>
      <c r="C252" s="125" t="s">
        <v>718</v>
      </c>
      <c r="D252" s="126"/>
      <c r="E252" s="33" t="s">
        <v>56</v>
      </c>
      <c r="F252" s="34">
        <v>1</v>
      </c>
      <c r="G252" s="35">
        <v>0</v>
      </c>
      <c r="H252" s="34">
        <f t="shared" si="308"/>
        <v>0</v>
      </c>
      <c r="I252" s="34">
        <f t="shared" si="309"/>
        <v>0</v>
      </c>
      <c r="J252" s="34">
        <f t="shared" si="310"/>
        <v>0</v>
      </c>
      <c r="K252" s="36" t="s">
        <v>57</v>
      </c>
      <c r="Z252" s="30">
        <f t="shared" si="311"/>
        <v>0</v>
      </c>
      <c r="AB252" s="30">
        <f t="shared" si="312"/>
        <v>0</v>
      </c>
      <c r="AC252" s="30">
        <f t="shared" si="313"/>
        <v>0</v>
      </c>
      <c r="AD252" s="30">
        <f t="shared" si="314"/>
        <v>0</v>
      </c>
      <c r="AE252" s="30">
        <f t="shared" si="315"/>
        <v>0</v>
      </c>
      <c r="AF252" s="30">
        <f t="shared" si="316"/>
        <v>0</v>
      </c>
      <c r="AG252" s="30">
        <f t="shared" si="317"/>
        <v>0</v>
      </c>
      <c r="AH252" s="30">
        <f t="shared" si="318"/>
        <v>0</v>
      </c>
      <c r="AI252" s="10" t="s">
        <v>50</v>
      </c>
      <c r="AJ252" s="30">
        <f t="shared" si="319"/>
        <v>0</v>
      </c>
      <c r="AK252" s="30">
        <f t="shared" si="320"/>
        <v>0</v>
      </c>
      <c r="AL252" s="30">
        <f t="shared" si="321"/>
        <v>0</v>
      </c>
      <c r="AN252" s="30">
        <v>12</v>
      </c>
      <c r="AO252" s="30">
        <f>G252*0</f>
        <v>0</v>
      </c>
      <c r="AP252" s="30">
        <f>G252*(1-0)</f>
        <v>0</v>
      </c>
      <c r="AQ252" s="31" t="s">
        <v>61</v>
      </c>
      <c r="AV252" s="30">
        <f t="shared" si="322"/>
        <v>0</v>
      </c>
      <c r="AW252" s="30">
        <f t="shared" si="323"/>
        <v>0</v>
      </c>
      <c r="AX252" s="30">
        <f t="shared" si="324"/>
        <v>0</v>
      </c>
      <c r="AY252" s="31" t="s">
        <v>709</v>
      </c>
      <c r="AZ252" s="31" t="s">
        <v>693</v>
      </c>
      <c r="BA252" s="10" t="s">
        <v>60</v>
      </c>
      <c r="BC252" s="30">
        <f t="shared" si="325"/>
        <v>0</v>
      </c>
      <c r="BD252" s="30">
        <f t="shared" si="326"/>
        <v>0</v>
      </c>
      <c r="BE252" s="30">
        <v>0</v>
      </c>
      <c r="BF252" s="30">
        <f>252</f>
        <v>252</v>
      </c>
      <c r="BH252" s="30">
        <f t="shared" si="327"/>
        <v>0</v>
      </c>
      <c r="BI252" s="30">
        <f t="shared" si="328"/>
        <v>0</v>
      </c>
      <c r="BJ252" s="30">
        <f t="shared" si="329"/>
        <v>0</v>
      </c>
      <c r="BK252" s="30"/>
      <c r="BL252" s="30"/>
      <c r="BW252" s="30">
        <v>12</v>
      </c>
      <c r="BX252" s="4" t="s">
        <v>718</v>
      </c>
    </row>
    <row r="253" spans="1:76" x14ac:dyDescent="0.25">
      <c r="A253" s="32" t="s">
        <v>719</v>
      </c>
      <c r="B253" s="33" t="s">
        <v>720</v>
      </c>
      <c r="C253" s="125" t="s">
        <v>721</v>
      </c>
      <c r="D253" s="126"/>
      <c r="E253" s="33" t="s">
        <v>56</v>
      </c>
      <c r="F253" s="34">
        <v>1</v>
      </c>
      <c r="G253" s="35">
        <v>0</v>
      </c>
      <c r="H253" s="34">
        <f t="shared" si="308"/>
        <v>0</v>
      </c>
      <c r="I253" s="34">
        <f t="shared" si="309"/>
        <v>0</v>
      </c>
      <c r="J253" s="34">
        <f t="shared" si="310"/>
        <v>0</v>
      </c>
      <c r="K253" s="36" t="s">
        <v>57</v>
      </c>
      <c r="Z253" s="30">
        <f t="shared" si="311"/>
        <v>0</v>
      </c>
      <c r="AB253" s="30">
        <f t="shared" si="312"/>
        <v>0</v>
      </c>
      <c r="AC253" s="30">
        <f t="shared" si="313"/>
        <v>0</v>
      </c>
      <c r="AD253" s="30">
        <f t="shared" si="314"/>
        <v>0</v>
      </c>
      <c r="AE253" s="30">
        <f t="shared" si="315"/>
        <v>0</v>
      </c>
      <c r="AF253" s="30">
        <f t="shared" si="316"/>
        <v>0</v>
      </c>
      <c r="AG253" s="30">
        <f t="shared" si="317"/>
        <v>0</v>
      </c>
      <c r="AH253" s="30">
        <f t="shared" si="318"/>
        <v>0</v>
      </c>
      <c r="AI253" s="10" t="s">
        <v>50</v>
      </c>
      <c r="AJ253" s="30">
        <f t="shared" si="319"/>
        <v>0</v>
      </c>
      <c r="AK253" s="30">
        <f t="shared" si="320"/>
        <v>0</v>
      </c>
      <c r="AL253" s="30">
        <f t="shared" si="321"/>
        <v>0</v>
      </c>
      <c r="AN253" s="30">
        <v>12</v>
      </c>
      <c r="AO253" s="30">
        <f>G253*1</f>
        <v>0</v>
      </c>
      <c r="AP253" s="30">
        <f>G253*(1-1)</f>
        <v>0</v>
      </c>
      <c r="AQ253" s="31" t="s">
        <v>53</v>
      </c>
      <c r="AV253" s="30">
        <f t="shared" si="322"/>
        <v>0</v>
      </c>
      <c r="AW253" s="30">
        <f t="shared" si="323"/>
        <v>0</v>
      </c>
      <c r="AX253" s="30">
        <f t="shared" si="324"/>
        <v>0</v>
      </c>
      <c r="AY253" s="31" t="s">
        <v>709</v>
      </c>
      <c r="AZ253" s="31" t="s">
        <v>693</v>
      </c>
      <c r="BA253" s="10" t="s">
        <v>60</v>
      </c>
      <c r="BC253" s="30">
        <f t="shared" si="325"/>
        <v>0</v>
      </c>
      <c r="BD253" s="30">
        <f t="shared" si="326"/>
        <v>0</v>
      </c>
      <c r="BE253" s="30">
        <v>0</v>
      </c>
      <c r="BF253" s="30">
        <f>253</f>
        <v>253</v>
      </c>
      <c r="BH253" s="30">
        <f t="shared" si="327"/>
        <v>0</v>
      </c>
      <c r="BI253" s="30">
        <f t="shared" si="328"/>
        <v>0</v>
      </c>
      <c r="BJ253" s="30">
        <f t="shared" si="329"/>
        <v>0</v>
      </c>
      <c r="BK253" s="30"/>
      <c r="BL253" s="30"/>
      <c r="BW253" s="30">
        <v>12</v>
      </c>
      <c r="BX253" s="4" t="s">
        <v>721</v>
      </c>
    </row>
    <row r="254" spans="1:76" x14ac:dyDescent="0.25">
      <c r="A254" s="32" t="s">
        <v>722</v>
      </c>
      <c r="B254" s="33" t="s">
        <v>723</v>
      </c>
      <c r="C254" s="125" t="s">
        <v>724</v>
      </c>
      <c r="D254" s="126"/>
      <c r="E254" s="33" t="s">
        <v>56</v>
      </c>
      <c r="F254" s="34">
        <v>1</v>
      </c>
      <c r="G254" s="35">
        <v>0</v>
      </c>
      <c r="H254" s="34">
        <f t="shared" si="308"/>
        <v>0</v>
      </c>
      <c r="I254" s="34">
        <f t="shared" si="309"/>
        <v>0</v>
      </c>
      <c r="J254" s="34">
        <f t="shared" si="310"/>
        <v>0</v>
      </c>
      <c r="K254" s="36" t="s">
        <v>57</v>
      </c>
      <c r="Z254" s="30">
        <f t="shared" si="311"/>
        <v>0</v>
      </c>
      <c r="AB254" s="30">
        <f t="shared" si="312"/>
        <v>0</v>
      </c>
      <c r="AC254" s="30">
        <f t="shared" si="313"/>
        <v>0</v>
      </c>
      <c r="AD254" s="30">
        <f t="shared" si="314"/>
        <v>0</v>
      </c>
      <c r="AE254" s="30">
        <f t="shared" si="315"/>
        <v>0</v>
      </c>
      <c r="AF254" s="30">
        <f t="shared" si="316"/>
        <v>0</v>
      </c>
      <c r="AG254" s="30">
        <f t="shared" si="317"/>
        <v>0</v>
      </c>
      <c r="AH254" s="30">
        <f t="shared" si="318"/>
        <v>0</v>
      </c>
      <c r="AI254" s="10" t="s">
        <v>50</v>
      </c>
      <c r="AJ254" s="30">
        <f t="shared" si="319"/>
        <v>0</v>
      </c>
      <c r="AK254" s="30">
        <f t="shared" si="320"/>
        <v>0</v>
      </c>
      <c r="AL254" s="30">
        <f t="shared" si="321"/>
        <v>0</v>
      </c>
      <c r="AN254" s="30">
        <v>12</v>
      </c>
      <c r="AO254" s="30">
        <f>G254*0</f>
        <v>0</v>
      </c>
      <c r="AP254" s="30">
        <f>G254*(1-0)</f>
        <v>0</v>
      </c>
      <c r="AQ254" s="31" t="s">
        <v>61</v>
      </c>
      <c r="AV254" s="30">
        <f t="shared" si="322"/>
        <v>0</v>
      </c>
      <c r="AW254" s="30">
        <f t="shared" si="323"/>
        <v>0</v>
      </c>
      <c r="AX254" s="30">
        <f t="shared" si="324"/>
        <v>0</v>
      </c>
      <c r="AY254" s="31" t="s">
        <v>709</v>
      </c>
      <c r="AZ254" s="31" t="s">
        <v>693</v>
      </c>
      <c r="BA254" s="10" t="s">
        <v>60</v>
      </c>
      <c r="BC254" s="30">
        <f t="shared" si="325"/>
        <v>0</v>
      </c>
      <c r="BD254" s="30">
        <f t="shared" si="326"/>
        <v>0</v>
      </c>
      <c r="BE254" s="30">
        <v>0</v>
      </c>
      <c r="BF254" s="30">
        <f>254</f>
        <v>254</v>
      </c>
      <c r="BH254" s="30">
        <f t="shared" si="327"/>
        <v>0</v>
      </c>
      <c r="BI254" s="30">
        <f t="shared" si="328"/>
        <v>0</v>
      </c>
      <c r="BJ254" s="30">
        <f t="shared" si="329"/>
        <v>0</v>
      </c>
      <c r="BK254" s="30"/>
      <c r="BL254" s="30"/>
      <c r="BW254" s="30">
        <v>12</v>
      </c>
      <c r="BX254" s="4" t="s">
        <v>724</v>
      </c>
    </row>
    <row r="255" spans="1:76" x14ac:dyDescent="0.25">
      <c r="A255" s="32" t="s">
        <v>725</v>
      </c>
      <c r="B255" s="33" t="s">
        <v>726</v>
      </c>
      <c r="C255" s="125" t="s">
        <v>727</v>
      </c>
      <c r="D255" s="126"/>
      <c r="E255" s="33" t="s">
        <v>56</v>
      </c>
      <c r="F255" s="34">
        <v>1</v>
      </c>
      <c r="G255" s="35">
        <v>0</v>
      </c>
      <c r="H255" s="34">
        <f t="shared" si="308"/>
        <v>0</v>
      </c>
      <c r="I255" s="34">
        <f t="shared" si="309"/>
        <v>0</v>
      </c>
      <c r="J255" s="34">
        <f t="shared" si="310"/>
        <v>0</v>
      </c>
      <c r="K255" s="36" t="s">
        <v>57</v>
      </c>
      <c r="Z255" s="30">
        <f t="shared" si="311"/>
        <v>0</v>
      </c>
      <c r="AB255" s="30">
        <f t="shared" si="312"/>
        <v>0</v>
      </c>
      <c r="AC255" s="30">
        <f t="shared" si="313"/>
        <v>0</v>
      </c>
      <c r="AD255" s="30">
        <f t="shared" si="314"/>
        <v>0</v>
      </c>
      <c r="AE255" s="30">
        <f t="shared" si="315"/>
        <v>0</v>
      </c>
      <c r="AF255" s="30">
        <f t="shared" si="316"/>
        <v>0</v>
      </c>
      <c r="AG255" s="30">
        <f t="shared" si="317"/>
        <v>0</v>
      </c>
      <c r="AH255" s="30">
        <f t="shared" si="318"/>
        <v>0</v>
      </c>
      <c r="AI255" s="10" t="s">
        <v>50</v>
      </c>
      <c r="AJ255" s="30">
        <f t="shared" si="319"/>
        <v>0</v>
      </c>
      <c r="AK255" s="30">
        <f t="shared" si="320"/>
        <v>0</v>
      </c>
      <c r="AL255" s="30">
        <f t="shared" si="321"/>
        <v>0</v>
      </c>
      <c r="AN255" s="30">
        <v>12</v>
      </c>
      <c r="AO255" s="30">
        <f>G255*1</f>
        <v>0</v>
      </c>
      <c r="AP255" s="30">
        <f>G255*(1-1)</f>
        <v>0</v>
      </c>
      <c r="AQ255" s="31" t="s">
        <v>53</v>
      </c>
      <c r="AV255" s="30">
        <f t="shared" si="322"/>
        <v>0</v>
      </c>
      <c r="AW255" s="30">
        <f t="shared" si="323"/>
        <v>0</v>
      </c>
      <c r="AX255" s="30">
        <f t="shared" si="324"/>
        <v>0</v>
      </c>
      <c r="AY255" s="31" t="s">
        <v>709</v>
      </c>
      <c r="AZ255" s="31" t="s">
        <v>693</v>
      </c>
      <c r="BA255" s="10" t="s">
        <v>60</v>
      </c>
      <c r="BC255" s="30">
        <f t="shared" si="325"/>
        <v>0</v>
      </c>
      <c r="BD255" s="30">
        <f t="shared" si="326"/>
        <v>0</v>
      </c>
      <c r="BE255" s="30">
        <v>0</v>
      </c>
      <c r="BF255" s="30">
        <f>255</f>
        <v>255</v>
      </c>
      <c r="BH255" s="30">
        <f t="shared" si="327"/>
        <v>0</v>
      </c>
      <c r="BI255" s="30">
        <f t="shared" si="328"/>
        <v>0</v>
      </c>
      <c r="BJ255" s="30">
        <f t="shared" si="329"/>
        <v>0</v>
      </c>
      <c r="BK255" s="30"/>
      <c r="BL255" s="30"/>
      <c r="BW255" s="30">
        <v>12</v>
      </c>
      <c r="BX255" s="4" t="s">
        <v>727</v>
      </c>
    </row>
    <row r="256" spans="1:76" x14ac:dyDescent="0.25">
      <c r="A256" s="32" t="s">
        <v>728</v>
      </c>
      <c r="B256" s="33" t="s">
        <v>729</v>
      </c>
      <c r="C256" s="125" t="s">
        <v>730</v>
      </c>
      <c r="D256" s="126"/>
      <c r="E256" s="33" t="s">
        <v>56</v>
      </c>
      <c r="F256" s="34">
        <v>9</v>
      </c>
      <c r="G256" s="35">
        <v>0</v>
      </c>
      <c r="H256" s="34">
        <f t="shared" si="308"/>
        <v>0</v>
      </c>
      <c r="I256" s="34">
        <f t="shared" si="309"/>
        <v>0</v>
      </c>
      <c r="J256" s="34">
        <f t="shared" si="310"/>
        <v>0</v>
      </c>
      <c r="K256" s="36" t="s">
        <v>57</v>
      </c>
      <c r="Z256" s="30">
        <f t="shared" si="311"/>
        <v>0</v>
      </c>
      <c r="AB256" s="30">
        <f t="shared" si="312"/>
        <v>0</v>
      </c>
      <c r="AC256" s="30">
        <f t="shared" si="313"/>
        <v>0</v>
      </c>
      <c r="AD256" s="30">
        <f t="shared" si="314"/>
        <v>0</v>
      </c>
      <c r="AE256" s="30">
        <f t="shared" si="315"/>
        <v>0</v>
      </c>
      <c r="AF256" s="30">
        <f t="shared" si="316"/>
        <v>0</v>
      </c>
      <c r="AG256" s="30">
        <f t="shared" si="317"/>
        <v>0</v>
      </c>
      <c r="AH256" s="30">
        <f t="shared" si="318"/>
        <v>0</v>
      </c>
      <c r="AI256" s="10" t="s">
        <v>50</v>
      </c>
      <c r="AJ256" s="30">
        <f t="shared" si="319"/>
        <v>0</v>
      </c>
      <c r="AK256" s="30">
        <f t="shared" si="320"/>
        <v>0</v>
      </c>
      <c r="AL256" s="30">
        <f t="shared" si="321"/>
        <v>0</v>
      </c>
      <c r="AN256" s="30">
        <v>12</v>
      </c>
      <c r="AO256" s="30">
        <f>G256*0</f>
        <v>0</v>
      </c>
      <c r="AP256" s="30">
        <f>G256*(1-0)</f>
        <v>0</v>
      </c>
      <c r="AQ256" s="31" t="s">
        <v>61</v>
      </c>
      <c r="AV256" s="30">
        <f t="shared" si="322"/>
        <v>0</v>
      </c>
      <c r="AW256" s="30">
        <f t="shared" si="323"/>
        <v>0</v>
      </c>
      <c r="AX256" s="30">
        <f t="shared" si="324"/>
        <v>0</v>
      </c>
      <c r="AY256" s="31" t="s">
        <v>709</v>
      </c>
      <c r="AZ256" s="31" t="s">
        <v>693</v>
      </c>
      <c r="BA256" s="10" t="s">
        <v>60</v>
      </c>
      <c r="BC256" s="30">
        <f t="shared" si="325"/>
        <v>0</v>
      </c>
      <c r="BD256" s="30">
        <f t="shared" si="326"/>
        <v>0</v>
      </c>
      <c r="BE256" s="30">
        <v>0</v>
      </c>
      <c r="BF256" s="30">
        <f>256</f>
        <v>256</v>
      </c>
      <c r="BH256" s="30">
        <f t="shared" si="327"/>
        <v>0</v>
      </c>
      <c r="BI256" s="30">
        <f t="shared" si="328"/>
        <v>0</v>
      </c>
      <c r="BJ256" s="30">
        <f t="shared" si="329"/>
        <v>0</v>
      </c>
      <c r="BK256" s="30"/>
      <c r="BL256" s="30"/>
      <c r="BW256" s="30">
        <v>12</v>
      </c>
      <c r="BX256" s="4" t="s">
        <v>730</v>
      </c>
    </row>
    <row r="257" spans="1:76" x14ac:dyDescent="0.25">
      <c r="A257" s="32" t="s">
        <v>731</v>
      </c>
      <c r="B257" s="33" t="s">
        <v>732</v>
      </c>
      <c r="C257" s="125" t="s">
        <v>733</v>
      </c>
      <c r="D257" s="126"/>
      <c r="E257" s="33" t="s">
        <v>56</v>
      </c>
      <c r="F257" s="34">
        <v>2</v>
      </c>
      <c r="G257" s="35">
        <v>0</v>
      </c>
      <c r="H257" s="34">
        <f t="shared" si="308"/>
        <v>0</v>
      </c>
      <c r="I257" s="34">
        <f t="shared" si="309"/>
        <v>0</v>
      </c>
      <c r="J257" s="34">
        <f t="shared" si="310"/>
        <v>0</v>
      </c>
      <c r="K257" s="36" t="s">
        <v>57</v>
      </c>
      <c r="Z257" s="30">
        <f t="shared" si="311"/>
        <v>0</v>
      </c>
      <c r="AB257" s="30">
        <f t="shared" si="312"/>
        <v>0</v>
      </c>
      <c r="AC257" s="30">
        <f t="shared" si="313"/>
        <v>0</v>
      </c>
      <c r="AD257" s="30">
        <f t="shared" si="314"/>
        <v>0</v>
      </c>
      <c r="AE257" s="30">
        <f t="shared" si="315"/>
        <v>0</v>
      </c>
      <c r="AF257" s="30">
        <f t="shared" si="316"/>
        <v>0</v>
      </c>
      <c r="AG257" s="30">
        <f t="shared" si="317"/>
        <v>0</v>
      </c>
      <c r="AH257" s="30">
        <f t="shared" si="318"/>
        <v>0</v>
      </c>
      <c r="AI257" s="10" t="s">
        <v>50</v>
      </c>
      <c r="AJ257" s="30">
        <f t="shared" si="319"/>
        <v>0</v>
      </c>
      <c r="AK257" s="30">
        <f t="shared" si="320"/>
        <v>0</v>
      </c>
      <c r="AL257" s="30">
        <f t="shared" si="321"/>
        <v>0</v>
      </c>
      <c r="AN257" s="30">
        <v>12</v>
      </c>
      <c r="AO257" s="30">
        <f>G257*1</f>
        <v>0</v>
      </c>
      <c r="AP257" s="30">
        <f>G257*(1-1)</f>
        <v>0</v>
      </c>
      <c r="AQ257" s="31" t="s">
        <v>53</v>
      </c>
      <c r="AV257" s="30">
        <f t="shared" si="322"/>
        <v>0</v>
      </c>
      <c r="AW257" s="30">
        <f t="shared" si="323"/>
        <v>0</v>
      </c>
      <c r="AX257" s="30">
        <f t="shared" si="324"/>
        <v>0</v>
      </c>
      <c r="AY257" s="31" t="s">
        <v>709</v>
      </c>
      <c r="AZ257" s="31" t="s">
        <v>693</v>
      </c>
      <c r="BA257" s="10" t="s">
        <v>60</v>
      </c>
      <c r="BC257" s="30">
        <f t="shared" si="325"/>
        <v>0</v>
      </c>
      <c r="BD257" s="30">
        <f t="shared" si="326"/>
        <v>0</v>
      </c>
      <c r="BE257" s="30">
        <v>0</v>
      </c>
      <c r="BF257" s="30">
        <f>257</f>
        <v>257</v>
      </c>
      <c r="BH257" s="30">
        <f t="shared" si="327"/>
        <v>0</v>
      </c>
      <c r="BI257" s="30">
        <f t="shared" si="328"/>
        <v>0</v>
      </c>
      <c r="BJ257" s="30">
        <f t="shared" si="329"/>
        <v>0</v>
      </c>
      <c r="BK257" s="30"/>
      <c r="BL257" s="30"/>
      <c r="BW257" s="30">
        <v>12</v>
      </c>
      <c r="BX257" s="4" t="s">
        <v>733</v>
      </c>
    </row>
    <row r="258" spans="1:76" x14ac:dyDescent="0.25">
      <c r="A258" s="32" t="s">
        <v>734</v>
      </c>
      <c r="B258" s="33" t="s">
        <v>735</v>
      </c>
      <c r="C258" s="125" t="s">
        <v>736</v>
      </c>
      <c r="D258" s="126"/>
      <c r="E258" s="33" t="s">
        <v>56</v>
      </c>
      <c r="F258" s="34">
        <v>1</v>
      </c>
      <c r="G258" s="35">
        <v>0</v>
      </c>
      <c r="H258" s="34">
        <f t="shared" si="308"/>
        <v>0</v>
      </c>
      <c r="I258" s="34">
        <f t="shared" si="309"/>
        <v>0</v>
      </c>
      <c r="J258" s="34">
        <f t="shared" si="310"/>
        <v>0</v>
      </c>
      <c r="K258" s="36" t="s">
        <v>57</v>
      </c>
      <c r="Z258" s="30">
        <f t="shared" si="311"/>
        <v>0</v>
      </c>
      <c r="AB258" s="30">
        <f t="shared" si="312"/>
        <v>0</v>
      </c>
      <c r="AC258" s="30">
        <f t="shared" si="313"/>
        <v>0</v>
      </c>
      <c r="AD258" s="30">
        <f t="shared" si="314"/>
        <v>0</v>
      </c>
      <c r="AE258" s="30">
        <f t="shared" si="315"/>
        <v>0</v>
      </c>
      <c r="AF258" s="30">
        <f t="shared" si="316"/>
        <v>0</v>
      </c>
      <c r="AG258" s="30">
        <f t="shared" si="317"/>
        <v>0</v>
      </c>
      <c r="AH258" s="30">
        <f t="shared" si="318"/>
        <v>0</v>
      </c>
      <c r="AI258" s="10" t="s">
        <v>50</v>
      </c>
      <c r="AJ258" s="30">
        <f t="shared" si="319"/>
        <v>0</v>
      </c>
      <c r="AK258" s="30">
        <f t="shared" si="320"/>
        <v>0</v>
      </c>
      <c r="AL258" s="30">
        <f t="shared" si="321"/>
        <v>0</v>
      </c>
      <c r="AN258" s="30">
        <v>12</v>
      </c>
      <c r="AO258" s="30">
        <f>G258*1</f>
        <v>0</v>
      </c>
      <c r="AP258" s="30">
        <f>G258*(1-1)</f>
        <v>0</v>
      </c>
      <c r="AQ258" s="31" t="s">
        <v>53</v>
      </c>
      <c r="AV258" s="30">
        <f t="shared" si="322"/>
        <v>0</v>
      </c>
      <c r="AW258" s="30">
        <f t="shared" si="323"/>
        <v>0</v>
      </c>
      <c r="AX258" s="30">
        <f t="shared" si="324"/>
        <v>0</v>
      </c>
      <c r="AY258" s="31" t="s">
        <v>709</v>
      </c>
      <c r="AZ258" s="31" t="s">
        <v>693</v>
      </c>
      <c r="BA258" s="10" t="s">
        <v>60</v>
      </c>
      <c r="BC258" s="30">
        <f t="shared" si="325"/>
        <v>0</v>
      </c>
      <c r="BD258" s="30">
        <f t="shared" si="326"/>
        <v>0</v>
      </c>
      <c r="BE258" s="30">
        <v>0</v>
      </c>
      <c r="BF258" s="30">
        <f>258</f>
        <v>258</v>
      </c>
      <c r="BH258" s="30">
        <f t="shared" si="327"/>
        <v>0</v>
      </c>
      <c r="BI258" s="30">
        <f t="shared" si="328"/>
        <v>0</v>
      </c>
      <c r="BJ258" s="30">
        <f t="shared" si="329"/>
        <v>0</v>
      </c>
      <c r="BK258" s="30"/>
      <c r="BL258" s="30"/>
      <c r="BW258" s="30">
        <v>12</v>
      </c>
      <c r="BX258" s="4" t="s">
        <v>736</v>
      </c>
    </row>
    <row r="259" spans="1:76" x14ac:dyDescent="0.25">
      <c r="A259" s="32" t="s">
        <v>737</v>
      </c>
      <c r="B259" s="33" t="s">
        <v>738</v>
      </c>
      <c r="C259" s="125" t="s">
        <v>739</v>
      </c>
      <c r="D259" s="126"/>
      <c r="E259" s="33" t="s">
        <v>56</v>
      </c>
      <c r="F259" s="34">
        <v>6</v>
      </c>
      <c r="G259" s="35">
        <v>0</v>
      </c>
      <c r="H259" s="34">
        <f t="shared" si="308"/>
        <v>0</v>
      </c>
      <c r="I259" s="34">
        <f t="shared" si="309"/>
        <v>0</v>
      </c>
      <c r="J259" s="34">
        <f t="shared" si="310"/>
        <v>0</v>
      </c>
      <c r="K259" s="36" t="s">
        <v>57</v>
      </c>
      <c r="Z259" s="30">
        <f t="shared" si="311"/>
        <v>0</v>
      </c>
      <c r="AB259" s="30">
        <f t="shared" si="312"/>
        <v>0</v>
      </c>
      <c r="AC259" s="30">
        <f t="shared" si="313"/>
        <v>0</v>
      </c>
      <c r="AD259" s="30">
        <f t="shared" si="314"/>
        <v>0</v>
      </c>
      <c r="AE259" s="30">
        <f t="shared" si="315"/>
        <v>0</v>
      </c>
      <c r="AF259" s="30">
        <f t="shared" si="316"/>
        <v>0</v>
      </c>
      <c r="AG259" s="30">
        <f t="shared" si="317"/>
        <v>0</v>
      </c>
      <c r="AH259" s="30">
        <f t="shared" si="318"/>
        <v>0</v>
      </c>
      <c r="AI259" s="10" t="s">
        <v>50</v>
      </c>
      <c r="AJ259" s="30">
        <f t="shared" si="319"/>
        <v>0</v>
      </c>
      <c r="AK259" s="30">
        <f t="shared" si="320"/>
        <v>0</v>
      </c>
      <c r="AL259" s="30">
        <f t="shared" si="321"/>
        <v>0</v>
      </c>
      <c r="AN259" s="30">
        <v>12</v>
      </c>
      <c r="AO259" s="30">
        <f>G259*1</f>
        <v>0</v>
      </c>
      <c r="AP259" s="30">
        <f>G259*(1-1)</f>
        <v>0</v>
      </c>
      <c r="AQ259" s="31" t="s">
        <v>53</v>
      </c>
      <c r="AV259" s="30">
        <f t="shared" si="322"/>
        <v>0</v>
      </c>
      <c r="AW259" s="30">
        <f t="shared" si="323"/>
        <v>0</v>
      </c>
      <c r="AX259" s="30">
        <f t="shared" si="324"/>
        <v>0</v>
      </c>
      <c r="AY259" s="31" t="s">
        <v>709</v>
      </c>
      <c r="AZ259" s="31" t="s">
        <v>693</v>
      </c>
      <c r="BA259" s="10" t="s">
        <v>60</v>
      </c>
      <c r="BC259" s="30">
        <f t="shared" si="325"/>
        <v>0</v>
      </c>
      <c r="BD259" s="30">
        <f t="shared" si="326"/>
        <v>0</v>
      </c>
      <c r="BE259" s="30">
        <v>0</v>
      </c>
      <c r="BF259" s="30">
        <f>259</f>
        <v>259</v>
      </c>
      <c r="BH259" s="30">
        <f t="shared" si="327"/>
        <v>0</v>
      </c>
      <c r="BI259" s="30">
        <f t="shared" si="328"/>
        <v>0</v>
      </c>
      <c r="BJ259" s="30">
        <f t="shared" si="329"/>
        <v>0</v>
      </c>
      <c r="BK259" s="30"/>
      <c r="BL259" s="30"/>
      <c r="BW259" s="30">
        <v>12</v>
      </c>
      <c r="BX259" s="4" t="s">
        <v>739</v>
      </c>
    </row>
    <row r="260" spans="1:76" x14ac:dyDescent="0.25">
      <c r="A260" s="32" t="s">
        <v>740</v>
      </c>
      <c r="B260" s="33" t="s">
        <v>741</v>
      </c>
      <c r="C260" s="125" t="s">
        <v>742</v>
      </c>
      <c r="D260" s="126"/>
      <c r="E260" s="33" t="s">
        <v>56</v>
      </c>
      <c r="F260" s="34">
        <v>21</v>
      </c>
      <c r="G260" s="35">
        <v>0</v>
      </c>
      <c r="H260" s="34">
        <f t="shared" si="308"/>
        <v>0</v>
      </c>
      <c r="I260" s="34">
        <f t="shared" si="309"/>
        <v>0</v>
      </c>
      <c r="J260" s="34">
        <f t="shared" si="310"/>
        <v>0</v>
      </c>
      <c r="K260" s="36" t="s">
        <v>57</v>
      </c>
      <c r="Z260" s="30">
        <f t="shared" si="311"/>
        <v>0</v>
      </c>
      <c r="AB260" s="30">
        <f t="shared" si="312"/>
        <v>0</v>
      </c>
      <c r="AC260" s="30">
        <f t="shared" si="313"/>
        <v>0</v>
      </c>
      <c r="AD260" s="30">
        <f t="shared" si="314"/>
        <v>0</v>
      </c>
      <c r="AE260" s="30">
        <f t="shared" si="315"/>
        <v>0</v>
      </c>
      <c r="AF260" s="30">
        <f t="shared" si="316"/>
        <v>0</v>
      </c>
      <c r="AG260" s="30">
        <f t="shared" si="317"/>
        <v>0</v>
      </c>
      <c r="AH260" s="30">
        <f t="shared" si="318"/>
        <v>0</v>
      </c>
      <c r="AI260" s="10" t="s">
        <v>50</v>
      </c>
      <c r="AJ260" s="30">
        <f t="shared" si="319"/>
        <v>0</v>
      </c>
      <c r="AK260" s="30">
        <f t="shared" si="320"/>
        <v>0</v>
      </c>
      <c r="AL260" s="30">
        <f t="shared" si="321"/>
        <v>0</v>
      </c>
      <c r="AN260" s="30">
        <v>12</v>
      </c>
      <c r="AO260" s="30">
        <f>G260*0.567125382</f>
        <v>0</v>
      </c>
      <c r="AP260" s="30">
        <f>G260*(1-0.567125382)</f>
        <v>0</v>
      </c>
      <c r="AQ260" s="31" t="s">
        <v>61</v>
      </c>
      <c r="AV260" s="30">
        <f t="shared" si="322"/>
        <v>0</v>
      </c>
      <c r="AW260" s="30">
        <f t="shared" si="323"/>
        <v>0</v>
      </c>
      <c r="AX260" s="30">
        <f t="shared" si="324"/>
        <v>0</v>
      </c>
      <c r="AY260" s="31" t="s">
        <v>709</v>
      </c>
      <c r="AZ260" s="31" t="s">
        <v>693</v>
      </c>
      <c r="BA260" s="10" t="s">
        <v>60</v>
      </c>
      <c r="BC260" s="30">
        <f t="shared" si="325"/>
        <v>0</v>
      </c>
      <c r="BD260" s="30">
        <f t="shared" si="326"/>
        <v>0</v>
      </c>
      <c r="BE260" s="30">
        <v>0</v>
      </c>
      <c r="BF260" s="30">
        <f>260</f>
        <v>260</v>
      </c>
      <c r="BH260" s="30">
        <f t="shared" si="327"/>
        <v>0</v>
      </c>
      <c r="BI260" s="30">
        <f t="shared" si="328"/>
        <v>0</v>
      </c>
      <c r="BJ260" s="30">
        <f t="shared" si="329"/>
        <v>0</v>
      </c>
      <c r="BK260" s="30"/>
      <c r="BL260" s="30"/>
      <c r="BW260" s="30">
        <v>12</v>
      </c>
      <c r="BX260" s="4" t="s">
        <v>742</v>
      </c>
    </row>
    <row r="261" spans="1:76" ht="13.5" customHeight="1" x14ac:dyDescent="0.25">
      <c r="A261" s="37"/>
      <c r="B261" s="38" t="s">
        <v>68</v>
      </c>
      <c r="C261" s="127" t="s">
        <v>743</v>
      </c>
      <c r="D261" s="128"/>
      <c r="E261" s="128"/>
      <c r="F261" s="128"/>
      <c r="G261" s="129"/>
      <c r="H261" s="128"/>
      <c r="I261" s="128"/>
      <c r="J261" s="128"/>
      <c r="K261" s="130"/>
    </row>
    <row r="262" spans="1:76" x14ac:dyDescent="0.25">
      <c r="A262" s="25" t="s">
        <v>744</v>
      </c>
      <c r="B262" s="26" t="s">
        <v>745</v>
      </c>
      <c r="C262" s="123" t="s">
        <v>746</v>
      </c>
      <c r="D262" s="124"/>
      <c r="E262" s="26" t="s">
        <v>56</v>
      </c>
      <c r="F262" s="27">
        <v>3</v>
      </c>
      <c r="G262" s="28">
        <v>0</v>
      </c>
      <c r="H262" s="27">
        <f>F262*AO262</f>
        <v>0</v>
      </c>
      <c r="I262" s="27">
        <f>F262*AP262</f>
        <v>0</v>
      </c>
      <c r="J262" s="27">
        <f>F262*G262</f>
        <v>0</v>
      </c>
      <c r="K262" s="29" t="s">
        <v>57</v>
      </c>
      <c r="Z262" s="30">
        <f>IF(AQ262="5",BJ262,0)</f>
        <v>0</v>
      </c>
      <c r="AB262" s="30">
        <f>IF(AQ262="1",BH262,0)</f>
        <v>0</v>
      </c>
      <c r="AC262" s="30">
        <f>IF(AQ262="1",BI262,0)</f>
        <v>0</v>
      </c>
      <c r="AD262" s="30">
        <f>IF(AQ262="7",BH262,0)</f>
        <v>0</v>
      </c>
      <c r="AE262" s="30">
        <f>IF(AQ262="7",BI262,0)</f>
        <v>0</v>
      </c>
      <c r="AF262" s="30">
        <f>IF(AQ262="2",BH262,0)</f>
        <v>0</v>
      </c>
      <c r="AG262" s="30">
        <f>IF(AQ262="2",BI262,0)</f>
        <v>0</v>
      </c>
      <c r="AH262" s="30">
        <f>IF(AQ262="0",BJ262,0)</f>
        <v>0</v>
      </c>
      <c r="AI262" s="10" t="s">
        <v>50</v>
      </c>
      <c r="AJ262" s="30">
        <f>IF(AN262=0,J262,0)</f>
        <v>0</v>
      </c>
      <c r="AK262" s="30">
        <f>IF(AN262=12,J262,0)</f>
        <v>0</v>
      </c>
      <c r="AL262" s="30">
        <f>IF(AN262=21,J262,0)</f>
        <v>0</v>
      </c>
      <c r="AN262" s="30">
        <v>12</v>
      </c>
      <c r="AO262" s="30">
        <f>G262*0.766569338</f>
        <v>0</v>
      </c>
      <c r="AP262" s="30">
        <f>G262*(1-0.766569338)</f>
        <v>0</v>
      </c>
      <c r="AQ262" s="31" t="s">
        <v>61</v>
      </c>
      <c r="AV262" s="30">
        <f>AW262+AX262</f>
        <v>0</v>
      </c>
      <c r="AW262" s="30">
        <f>F262*AO262</f>
        <v>0</v>
      </c>
      <c r="AX262" s="30">
        <f>F262*AP262</f>
        <v>0</v>
      </c>
      <c r="AY262" s="31" t="s">
        <v>709</v>
      </c>
      <c r="AZ262" s="31" t="s">
        <v>693</v>
      </c>
      <c r="BA262" s="10" t="s">
        <v>60</v>
      </c>
      <c r="BC262" s="30">
        <f>AW262+AX262</f>
        <v>0</v>
      </c>
      <c r="BD262" s="30">
        <f>G262/(100-BE262)*100</f>
        <v>0</v>
      </c>
      <c r="BE262" s="30">
        <v>0</v>
      </c>
      <c r="BF262" s="30">
        <f>262</f>
        <v>262</v>
      </c>
      <c r="BH262" s="30">
        <f>F262*AO262</f>
        <v>0</v>
      </c>
      <c r="BI262" s="30">
        <f>F262*AP262</f>
        <v>0</v>
      </c>
      <c r="BJ262" s="30">
        <f>F262*G262</f>
        <v>0</v>
      </c>
      <c r="BK262" s="30"/>
      <c r="BL262" s="30"/>
      <c r="BW262" s="30">
        <v>12</v>
      </c>
      <c r="BX262" s="4" t="s">
        <v>746</v>
      </c>
    </row>
    <row r="263" spans="1:76" ht="13.5" customHeight="1" x14ac:dyDescent="0.25">
      <c r="A263" s="37"/>
      <c r="B263" s="38" t="s">
        <v>68</v>
      </c>
      <c r="C263" s="127" t="s">
        <v>747</v>
      </c>
      <c r="D263" s="128"/>
      <c r="E263" s="128"/>
      <c r="F263" s="128"/>
      <c r="G263" s="129"/>
      <c r="H263" s="128"/>
      <c r="I263" s="128"/>
      <c r="J263" s="128"/>
      <c r="K263" s="130"/>
    </row>
    <row r="264" spans="1:76" x14ac:dyDescent="0.25">
      <c r="A264" s="25" t="s">
        <v>748</v>
      </c>
      <c r="B264" s="26" t="s">
        <v>749</v>
      </c>
      <c r="C264" s="123" t="s">
        <v>750</v>
      </c>
      <c r="D264" s="124"/>
      <c r="E264" s="26" t="s">
        <v>56</v>
      </c>
      <c r="F264" s="27">
        <v>2</v>
      </c>
      <c r="G264" s="28">
        <v>0</v>
      </c>
      <c r="H264" s="27">
        <f>F264*AO264</f>
        <v>0</v>
      </c>
      <c r="I264" s="27">
        <f>F264*AP264</f>
        <v>0</v>
      </c>
      <c r="J264" s="27">
        <f>F264*G264</f>
        <v>0</v>
      </c>
      <c r="K264" s="29" t="s">
        <v>57</v>
      </c>
      <c r="Z264" s="30">
        <f>IF(AQ264="5",BJ264,0)</f>
        <v>0</v>
      </c>
      <c r="AB264" s="30">
        <f>IF(AQ264="1",BH264,0)</f>
        <v>0</v>
      </c>
      <c r="AC264" s="30">
        <f>IF(AQ264="1",BI264,0)</f>
        <v>0</v>
      </c>
      <c r="AD264" s="30">
        <f>IF(AQ264="7",BH264,0)</f>
        <v>0</v>
      </c>
      <c r="AE264" s="30">
        <f>IF(AQ264="7",BI264,0)</f>
        <v>0</v>
      </c>
      <c r="AF264" s="30">
        <f>IF(AQ264="2",BH264,0)</f>
        <v>0</v>
      </c>
      <c r="AG264" s="30">
        <f>IF(AQ264="2",BI264,0)</f>
        <v>0</v>
      </c>
      <c r="AH264" s="30">
        <f>IF(AQ264="0",BJ264,0)</f>
        <v>0</v>
      </c>
      <c r="AI264" s="10" t="s">
        <v>50</v>
      </c>
      <c r="AJ264" s="30">
        <f>IF(AN264=0,J264,0)</f>
        <v>0</v>
      </c>
      <c r="AK264" s="30">
        <f>IF(AN264=12,J264,0)</f>
        <v>0</v>
      </c>
      <c r="AL264" s="30">
        <f>IF(AN264=21,J264,0)</f>
        <v>0</v>
      </c>
      <c r="AN264" s="30">
        <v>12</v>
      </c>
      <c r="AO264" s="30">
        <f>G264*0.720341612</f>
        <v>0</v>
      </c>
      <c r="AP264" s="30">
        <f>G264*(1-0.720341612)</f>
        <v>0</v>
      </c>
      <c r="AQ264" s="31" t="s">
        <v>61</v>
      </c>
      <c r="AV264" s="30">
        <f>AW264+AX264</f>
        <v>0</v>
      </c>
      <c r="AW264" s="30">
        <f>F264*AO264</f>
        <v>0</v>
      </c>
      <c r="AX264" s="30">
        <f>F264*AP264</f>
        <v>0</v>
      </c>
      <c r="AY264" s="31" t="s">
        <v>709</v>
      </c>
      <c r="AZ264" s="31" t="s">
        <v>693</v>
      </c>
      <c r="BA264" s="10" t="s">
        <v>60</v>
      </c>
      <c r="BC264" s="30">
        <f>AW264+AX264</f>
        <v>0</v>
      </c>
      <c r="BD264" s="30">
        <f>G264/(100-BE264)*100</f>
        <v>0</v>
      </c>
      <c r="BE264" s="30">
        <v>0</v>
      </c>
      <c r="BF264" s="30">
        <f>264</f>
        <v>264</v>
      </c>
      <c r="BH264" s="30">
        <f>F264*AO264</f>
        <v>0</v>
      </c>
      <c r="BI264" s="30">
        <f>F264*AP264</f>
        <v>0</v>
      </c>
      <c r="BJ264" s="30">
        <f>F264*G264</f>
        <v>0</v>
      </c>
      <c r="BK264" s="30"/>
      <c r="BL264" s="30"/>
      <c r="BW264" s="30">
        <v>12</v>
      </c>
      <c r="BX264" s="4" t="s">
        <v>750</v>
      </c>
    </row>
    <row r="265" spans="1:76" ht="13.5" customHeight="1" x14ac:dyDescent="0.25">
      <c r="A265" s="37"/>
      <c r="B265" s="38" t="s">
        <v>68</v>
      </c>
      <c r="C265" s="127" t="s">
        <v>747</v>
      </c>
      <c r="D265" s="128"/>
      <c r="E265" s="128"/>
      <c r="F265" s="128"/>
      <c r="G265" s="129"/>
      <c r="H265" s="128"/>
      <c r="I265" s="128"/>
      <c r="J265" s="128"/>
      <c r="K265" s="130"/>
    </row>
    <row r="266" spans="1:76" x14ac:dyDescent="0.25">
      <c r="A266" s="25" t="s">
        <v>751</v>
      </c>
      <c r="B266" s="26" t="s">
        <v>752</v>
      </c>
      <c r="C266" s="123" t="s">
        <v>753</v>
      </c>
      <c r="D266" s="124"/>
      <c r="E266" s="26" t="s">
        <v>56</v>
      </c>
      <c r="F266" s="27">
        <v>1</v>
      </c>
      <c r="G266" s="28">
        <v>0</v>
      </c>
      <c r="H266" s="27">
        <f>F266*AO266</f>
        <v>0</v>
      </c>
      <c r="I266" s="27">
        <f>F266*AP266</f>
        <v>0</v>
      </c>
      <c r="J266" s="27">
        <f>F266*G266</f>
        <v>0</v>
      </c>
      <c r="K266" s="29" t="s">
        <v>57</v>
      </c>
      <c r="Z266" s="30">
        <f>IF(AQ266="5",BJ266,0)</f>
        <v>0</v>
      </c>
      <c r="AB266" s="30">
        <f>IF(AQ266="1",BH266,0)</f>
        <v>0</v>
      </c>
      <c r="AC266" s="30">
        <f>IF(AQ266="1",BI266,0)</f>
        <v>0</v>
      </c>
      <c r="AD266" s="30">
        <f>IF(AQ266="7",BH266,0)</f>
        <v>0</v>
      </c>
      <c r="AE266" s="30">
        <f>IF(AQ266="7",BI266,0)</f>
        <v>0</v>
      </c>
      <c r="AF266" s="30">
        <f>IF(AQ266="2",BH266,0)</f>
        <v>0</v>
      </c>
      <c r="AG266" s="30">
        <f>IF(AQ266="2",BI266,0)</f>
        <v>0</v>
      </c>
      <c r="AH266" s="30">
        <f>IF(AQ266="0",BJ266,0)</f>
        <v>0</v>
      </c>
      <c r="AI266" s="10" t="s">
        <v>50</v>
      </c>
      <c r="AJ266" s="30">
        <f>IF(AN266=0,J266,0)</f>
        <v>0</v>
      </c>
      <c r="AK266" s="30">
        <f>IF(AN266=12,J266,0)</f>
        <v>0</v>
      </c>
      <c r="AL266" s="30">
        <f>IF(AN266=21,J266,0)</f>
        <v>0</v>
      </c>
      <c r="AN266" s="30">
        <v>12</v>
      </c>
      <c r="AO266" s="30">
        <f>G266*0.7767</f>
        <v>0</v>
      </c>
      <c r="AP266" s="30">
        <f>G266*(1-0.7767)</f>
        <v>0</v>
      </c>
      <c r="AQ266" s="31" t="s">
        <v>61</v>
      </c>
      <c r="AV266" s="30">
        <f>AW266+AX266</f>
        <v>0</v>
      </c>
      <c r="AW266" s="30">
        <f>F266*AO266</f>
        <v>0</v>
      </c>
      <c r="AX266" s="30">
        <f>F266*AP266</f>
        <v>0</v>
      </c>
      <c r="AY266" s="31" t="s">
        <v>709</v>
      </c>
      <c r="AZ266" s="31" t="s">
        <v>693</v>
      </c>
      <c r="BA266" s="10" t="s">
        <v>60</v>
      </c>
      <c r="BC266" s="30">
        <f>AW266+AX266</f>
        <v>0</v>
      </c>
      <c r="BD266" s="30">
        <f>G266/(100-BE266)*100</f>
        <v>0</v>
      </c>
      <c r="BE266" s="30">
        <v>0</v>
      </c>
      <c r="BF266" s="30">
        <f>266</f>
        <v>266</v>
      </c>
      <c r="BH266" s="30">
        <f>F266*AO266</f>
        <v>0</v>
      </c>
      <c r="BI266" s="30">
        <f>F266*AP266</f>
        <v>0</v>
      </c>
      <c r="BJ266" s="30">
        <f>F266*G266</f>
        <v>0</v>
      </c>
      <c r="BK266" s="30"/>
      <c r="BL266" s="30"/>
      <c r="BW266" s="30">
        <v>12</v>
      </c>
      <c r="BX266" s="4" t="s">
        <v>753</v>
      </c>
    </row>
    <row r="267" spans="1:76" ht="13.5" customHeight="1" x14ac:dyDescent="0.25">
      <c r="A267" s="37"/>
      <c r="B267" s="38" t="s">
        <v>68</v>
      </c>
      <c r="C267" s="127" t="s">
        <v>747</v>
      </c>
      <c r="D267" s="128"/>
      <c r="E267" s="128"/>
      <c r="F267" s="128"/>
      <c r="G267" s="129"/>
      <c r="H267" s="128"/>
      <c r="I267" s="128"/>
      <c r="J267" s="128"/>
      <c r="K267" s="130"/>
    </row>
    <row r="268" spans="1:76" x14ac:dyDescent="0.25">
      <c r="A268" s="25" t="s">
        <v>754</v>
      </c>
      <c r="B268" s="26" t="s">
        <v>755</v>
      </c>
      <c r="C268" s="123" t="s">
        <v>756</v>
      </c>
      <c r="D268" s="124"/>
      <c r="E268" s="26" t="s">
        <v>56</v>
      </c>
      <c r="F268" s="27">
        <v>1</v>
      </c>
      <c r="G268" s="28">
        <v>0</v>
      </c>
      <c r="H268" s="27">
        <f t="shared" ref="H268:H284" si="330">F268*AO268</f>
        <v>0</v>
      </c>
      <c r="I268" s="27">
        <f t="shared" ref="I268:I284" si="331">F268*AP268</f>
        <v>0</v>
      </c>
      <c r="J268" s="27">
        <f t="shared" ref="J268:J284" si="332">F268*G268</f>
        <v>0</v>
      </c>
      <c r="K268" s="29" t="s">
        <v>57</v>
      </c>
      <c r="Z268" s="30">
        <f t="shared" ref="Z268:Z284" si="333">IF(AQ268="5",BJ268,0)</f>
        <v>0</v>
      </c>
      <c r="AB268" s="30">
        <f t="shared" ref="AB268:AB284" si="334">IF(AQ268="1",BH268,0)</f>
        <v>0</v>
      </c>
      <c r="AC268" s="30">
        <f t="shared" ref="AC268:AC284" si="335">IF(AQ268="1",BI268,0)</f>
        <v>0</v>
      </c>
      <c r="AD268" s="30">
        <f t="shared" ref="AD268:AD284" si="336">IF(AQ268="7",BH268,0)</f>
        <v>0</v>
      </c>
      <c r="AE268" s="30">
        <f t="shared" ref="AE268:AE284" si="337">IF(AQ268="7",BI268,0)</f>
        <v>0</v>
      </c>
      <c r="AF268" s="30">
        <f t="shared" ref="AF268:AF284" si="338">IF(AQ268="2",BH268,0)</f>
        <v>0</v>
      </c>
      <c r="AG268" s="30">
        <f t="shared" ref="AG268:AG284" si="339">IF(AQ268="2",BI268,0)</f>
        <v>0</v>
      </c>
      <c r="AH268" s="30">
        <f t="shared" ref="AH268:AH284" si="340">IF(AQ268="0",BJ268,0)</f>
        <v>0</v>
      </c>
      <c r="AI268" s="10" t="s">
        <v>50</v>
      </c>
      <c r="AJ268" s="30">
        <f t="shared" ref="AJ268:AJ284" si="341">IF(AN268=0,J268,0)</f>
        <v>0</v>
      </c>
      <c r="AK268" s="30">
        <f t="shared" ref="AK268:AK284" si="342">IF(AN268=12,J268,0)</f>
        <v>0</v>
      </c>
      <c r="AL268" s="30">
        <f t="shared" ref="AL268:AL284" si="343">IF(AN268=21,J268,0)</f>
        <v>0</v>
      </c>
      <c r="AN268" s="30">
        <v>12</v>
      </c>
      <c r="AO268" s="30">
        <f>G268*0</f>
        <v>0</v>
      </c>
      <c r="AP268" s="30">
        <f>G268*(1-0)</f>
        <v>0</v>
      </c>
      <c r="AQ268" s="31" t="s">
        <v>61</v>
      </c>
      <c r="AV268" s="30">
        <f t="shared" ref="AV268:AV284" si="344">AW268+AX268</f>
        <v>0</v>
      </c>
      <c r="AW268" s="30">
        <f t="shared" ref="AW268:AW284" si="345">F268*AO268</f>
        <v>0</v>
      </c>
      <c r="AX268" s="30">
        <f t="shared" ref="AX268:AX284" si="346">F268*AP268</f>
        <v>0</v>
      </c>
      <c r="AY268" s="31" t="s">
        <v>709</v>
      </c>
      <c r="AZ268" s="31" t="s">
        <v>693</v>
      </c>
      <c r="BA268" s="10" t="s">
        <v>60</v>
      </c>
      <c r="BC268" s="30">
        <f t="shared" ref="BC268:BC284" si="347">AW268+AX268</f>
        <v>0</v>
      </c>
      <c r="BD268" s="30">
        <f t="shared" ref="BD268:BD284" si="348">G268/(100-BE268)*100</f>
        <v>0</v>
      </c>
      <c r="BE268" s="30">
        <v>0</v>
      </c>
      <c r="BF268" s="30">
        <f>268</f>
        <v>268</v>
      </c>
      <c r="BH268" s="30">
        <f t="shared" ref="BH268:BH284" si="349">F268*AO268</f>
        <v>0</v>
      </c>
      <c r="BI268" s="30">
        <f t="shared" ref="BI268:BI284" si="350">F268*AP268</f>
        <v>0</v>
      </c>
      <c r="BJ268" s="30">
        <f t="shared" ref="BJ268:BJ284" si="351">F268*G268</f>
        <v>0</v>
      </c>
      <c r="BK268" s="30"/>
      <c r="BL268" s="30"/>
      <c r="BW268" s="30">
        <v>12</v>
      </c>
      <c r="BX268" s="4" t="s">
        <v>756</v>
      </c>
    </row>
    <row r="269" spans="1:76" x14ac:dyDescent="0.25">
      <c r="A269" s="32" t="s">
        <v>757</v>
      </c>
      <c r="B269" s="33" t="s">
        <v>758</v>
      </c>
      <c r="C269" s="125" t="s">
        <v>759</v>
      </c>
      <c r="D269" s="126"/>
      <c r="E269" s="33" t="s">
        <v>56</v>
      </c>
      <c r="F269" s="34">
        <v>1</v>
      </c>
      <c r="G269" s="35">
        <v>0</v>
      </c>
      <c r="H269" s="34">
        <f t="shared" si="330"/>
        <v>0</v>
      </c>
      <c r="I269" s="34">
        <f t="shared" si="331"/>
        <v>0</v>
      </c>
      <c r="J269" s="34">
        <f t="shared" si="332"/>
        <v>0</v>
      </c>
      <c r="K269" s="36" t="s">
        <v>57</v>
      </c>
      <c r="Z269" s="30">
        <f t="shared" si="333"/>
        <v>0</v>
      </c>
      <c r="AB269" s="30">
        <f t="shared" si="334"/>
        <v>0</v>
      </c>
      <c r="AC269" s="30">
        <f t="shared" si="335"/>
        <v>0</v>
      </c>
      <c r="AD269" s="30">
        <f t="shared" si="336"/>
        <v>0</v>
      </c>
      <c r="AE269" s="30">
        <f t="shared" si="337"/>
        <v>0</v>
      </c>
      <c r="AF269" s="30">
        <f t="shared" si="338"/>
        <v>0</v>
      </c>
      <c r="AG269" s="30">
        <f t="shared" si="339"/>
        <v>0</v>
      </c>
      <c r="AH269" s="30">
        <f t="shared" si="340"/>
        <v>0</v>
      </c>
      <c r="AI269" s="10" t="s">
        <v>50</v>
      </c>
      <c r="AJ269" s="30">
        <f t="shared" si="341"/>
        <v>0</v>
      </c>
      <c r="AK269" s="30">
        <f t="shared" si="342"/>
        <v>0</v>
      </c>
      <c r="AL269" s="30">
        <f t="shared" si="343"/>
        <v>0</v>
      </c>
      <c r="AN269" s="30">
        <v>12</v>
      </c>
      <c r="AO269" s="30">
        <f>G269*1</f>
        <v>0</v>
      </c>
      <c r="AP269" s="30">
        <f>G269*(1-1)</f>
        <v>0</v>
      </c>
      <c r="AQ269" s="31" t="s">
        <v>53</v>
      </c>
      <c r="AV269" s="30">
        <f t="shared" si="344"/>
        <v>0</v>
      </c>
      <c r="AW269" s="30">
        <f t="shared" si="345"/>
        <v>0</v>
      </c>
      <c r="AX269" s="30">
        <f t="shared" si="346"/>
        <v>0</v>
      </c>
      <c r="AY269" s="31" t="s">
        <v>709</v>
      </c>
      <c r="AZ269" s="31" t="s">
        <v>693</v>
      </c>
      <c r="BA269" s="10" t="s">
        <v>60</v>
      </c>
      <c r="BC269" s="30">
        <f t="shared" si="347"/>
        <v>0</v>
      </c>
      <c r="BD269" s="30">
        <f t="shared" si="348"/>
        <v>0</v>
      </c>
      <c r="BE269" s="30">
        <v>0</v>
      </c>
      <c r="BF269" s="30">
        <f>269</f>
        <v>269</v>
      </c>
      <c r="BH269" s="30">
        <f t="shared" si="349"/>
        <v>0</v>
      </c>
      <c r="BI269" s="30">
        <f t="shared" si="350"/>
        <v>0</v>
      </c>
      <c r="BJ269" s="30">
        <f t="shared" si="351"/>
        <v>0</v>
      </c>
      <c r="BK269" s="30"/>
      <c r="BL269" s="30"/>
      <c r="BW269" s="30">
        <v>12</v>
      </c>
      <c r="BX269" s="4" t="s">
        <v>759</v>
      </c>
    </row>
    <row r="270" spans="1:76" x14ac:dyDescent="0.25">
      <c r="A270" s="32" t="s">
        <v>760</v>
      </c>
      <c r="B270" s="33" t="s">
        <v>761</v>
      </c>
      <c r="C270" s="125" t="s">
        <v>762</v>
      </c>
      <c r="D270" s="126"/>
      <c r="E270" s="33" t="s">
        <v>56</v>
      </c>
      <c r="F270" s="34">
        <v>3</v>
      </c>
      <c r="G270" s="35">
        <v>0</v>
      </c>
      <c r="H270" s="34">
        <f t="shared" si="330"/>
        <v>0</v>
      </c>
      <c r="I270" s="34">
        <f t="shared" si="331"/>
        <v>0</v>
      </c>
      <c r="J270" s="34">
        <f t="shared" si="332"/>
        <v>0</v>
      </c>
      <c r="K270" s="36" t="s">
        <v>57</v>
      </c>
      <c r="Z270" s="30">
        <f t="shared" si="333"/>
        <v>0</v>
      </c>
      <c r="AB270" s="30">
        <f t="shared" si="334"/>
        <v>0</v>
      </c>
      <c r="AC270" s="30">
        <f t="shared" si="335"/>
        <v>0</v>
      </c>
      <c r="AD270" s="30">
        <f t="shared" si="336"/>
        <v>0</v>
      </c>
      <c r="AE270" s="30">
        <f t="shared" si="337"/>
        <v>0</v>
      </c>
      <c r="AF270" s="30">
        <f t="shared" si="338"/>
        <v>0</v>
      </c>
      <c r="AG270" s="30">
        <f t="shared" si="339"/>
        <v>0</v>
      </c>
      <c r="AH270" s="30">
        <f t="shared" si="340"/>
        <v>0</v>
      </c>
      <c r="AI270" s="10" t="s">
        <v>50</v>
      </c>
      <c r="AJ270" s="30">
        <f t="shared" si="341"/>
        <v>0</v>
      </c>
      <c r="AK270" s="30">
        <f t="shared" si="342"/>
        <v>0</v>
      </c>
      <c r="AL270" s="30">
        <f t="shared" si="343"/>
        <v>0</v>
      </c>
      <c r="AN270" s="30">
        <v>12</v>
      </c>
      <c r="AO270" s="30">
        <f>G270*0</f>
        <v>0</v>
      </c>
      <c r="AP270" s="30">
        <f>G270*(1-0)</f>
        <v>0</v>
      </c>
      <c r="AQ270" s="31" t="s">
        <v>61</v>
      </c>
      <c r="AV270" s="30">
        <f t="shared" si="344"/>
        <v>0</v>
      </c>
      <c r="AW270" s="30">
        <f t="shared" si="345"/>
        <v>0</v>
      </c>
      <c r="AX270" s="30">
        <f t="shared" si="346"/>
        <v>0</v>
      </c>
      <c r="AY270" s="31" t="s">
        <v>709</v>
      </c>
      <c r="AZ270" s="31" t="s">
        <v>693</v>
      </c>
      <c r="BA270" s="10" t="s">
        <v>60</v>
      </c>
      <c r="BC270" s="30">
        <f t="shared" si="347"/>
        <v>0</v>
      </c>
      <c r="BD270" s="30">
        <f t="shared" si="348"/>
        <v>0</v>
      </c>
      <c r="BE270" s="30">
        <v>0</v>
      </c>
      <c r="BF270" s="30">
        <f>270</f>
        <v>270</v>
      </c>
      <c r="BH270" s="30">
        <f t="shared" si="349"/>
        <v>0</v>
      </c>
      <c r="BI270" s="30">
        <f t="shared" si="350"/>
        <v>0</v>
      </c>
      <c r="BJ270" s="30">
        <f t="shared" si="351"/>
        <v>0</v>
      </c>
      <c r="BK270" s="30"/>
      <c r="BL270" s="30"/>
      <c r="BW270" s="30">
        <v>12</v>
      </c>
      <c r="BX270" s="4" t="s">
        <v>762</v>
      </c>
    </row>
    <row r="271" spans="1:76" x14ac:dyDescent="0.25">
      <c r="A271" s="32" t="s">
        <v>763</v>
      </c>
      <c r="B271" s="33" t="s">
        <v>764</v>
      </c>
      <c r="C271" s="125" t="s">
        <v>765</v>
      </c>
      <c r="D271" s="126"/>
      <c r="E271" s="33" t="s">
        <v>56</v>
      </c>
      <c r="F271" s="34">
        <v>1</v>
      </c>
      <c r="G271" s="35">
        <v>0</v>
      </c>
      <c r="H271" s="34">
        <f t="shared" si="330"/>
        <v>0</v>
      </c>
      <c r="I271" s="34">
        <f t="shared" si="331"/>
        <v>0</v>
      </c>
      <c r="J271" s="34">
        <f t="shared" si="332"/>
        <v>0</v>
      </c>
      <c r="K271" s="36" t="s">
        <v>57</v>
      </c>
      <c r="Z271" s="30">
        <f t="shared" si="333"/>
        <v>0</v>
      </c>
      <c r="AB271" s="30">
        <f t="shared" si="334"/>
        <v>0</v>
      </c>
      <c r="AC271" s="30">
        <f t="shared" si="335"/>
        <v>0</v>
      </c>
      <c r="AD271" s="30">
        <f t="shared" si="336"/>
        <v>0</v>
      </c>
      <c r="AE271" s="30">
        <f t="shared" si="337"/>
        <v>0</v>
      </c>
      <c r="AF271" s="30">
        <f t="shared" si="338"/>
        <v>0</v>
      </c>
      <c r="AG271" s="30">
        <f t="shared" si="339"/>
        <v>0</v>
      </c>
      <c r="AH271" s="30">
        <f t="shared" si="340"/>
        <v>0</v>
      </c>
      <c r="AI271" s="10" t="s">
        <v>50</v>
      </c>
      <c r="AJ271" s="30">
        <f t="shared" si="341"/>
        <v>0</v>
      </c>
      <c r="AK271" s="30">
        <f t="shared" si="342"/>
        <v>0</v>
      </c>
      <c r="AL271" s="30">
        <f t="shared" si="343"/>
        <v>0</v>
      </c>
      <c r="AN271" s="30">
        <v>12</v>
      </c>
      <c r="AO271" s="30">
        <f>G271*1</f>
        <v>0</v>
      </c>
      <c r="AP271" s="30">
        <f>G271*(1-1)</f>
        <v>0</v>
      </c>
      <c r="AQ271" s="31" t="s">
        <v>53</v>
      </c>
      <c r="AV271" s="30">
        <f t="shared" si="344"/>
        <v>0</v>
      </c>
      <c r="AW271" s="30">
        <f t="shared" si="345"/>
        <v>0</v>
      </c>
      <c r="AX271" s="30">
        <f t="shared" si="346"/>
        <v>0</v>
      </c>
      <c r="AY271" s="31" t="s">
        <v>709</v>
      </c>
      <c r="AZ271" s="31" t="s">
        <v>693</v>
      </c>
      <c r="BA271" s="10" t="s">
        <v>60</v>
      </c>
      <c r="BC271" s="30">
        <f t="shared" si="347"/>
        <v>0</v>
      </c>
      <c r="BD271" s="30">
        <f t="shared" si="348"/>
        <v>0</v>
      </c>
      <c r="BE271" s="30">
        <v>0</v>
      </c>
      <c r="BF271" s="30">
        <f>271</f>
        <v>271</v>
      </c>
      <c r="BH271" s="30">
        <f t="shared" si="349"/>
        <v>0</v>
      </c>
      <c r="BI271" s="30">
        <f t="shared" si="350"/>
        <v>0</v>
      </c>
      <c r="BJ271" s="30">
        <f t="shared" si="351"/>
        <v>0</v>
      </c>
      <c r="BK271" s="30"/>
      <c r="BL271" s="30"/>
      <c r="BW271" s="30">
        <v>12</v>
      </c>
      <c r="BX271" s="4" t="s">
        <v>765</v>
      </c>
    </row>
    <row r="272" spans="1:76" x14ac:dyDescent="0.25">
      <c r="A272" s="32" t="s">
        <v>766</v>
      </c>
      <c r="B272" s="33" t="s">
        <v>767</v>
      </c>
      <c r="C272" s="125" t="s">
        <v>768</v>
      </c>
      <c r="D272" s="126"/>
      <c r="E272" s="33" t="s">
        <v>56</v>
      </c>
      <c r="F272" s="34">
        <v>2</v>
      </c>
      <c r="G272" s="35">
        <v>0</v>
      </c>
      <c r="H272" s="34">
        <f t="shared" si="330"/>
        <v>0</v>
      </c>
      <c r="I272" s="34">
        <f t="shared" si="331"/>
        <v>0</v>
      </c>
      <c r="J272" s="34">
        <f t="shared" si="332"/>
        <v>0</v>
      </c>
      <c r="K272" s="36" t="s">
        <v>57</v>
      </c>
      <c r="Z272" s="30">
        <f t="shared" si="333"/>
        <v>0</v>
      </c>
      <c r="AB272" s="30">
        <f t="shared" si="334"/>
        <v>0</v>
      </c>
      <c r="AC272" s="30">
        <f t="shared" si="335"/>
        <v>0</v>
      </c>
      <c r="AD272" s="30">
        <f t="shared" si="336"/>
        <v>0</v>
      </c>
      <c r="AE272" s="30">
        <f t="shared" si="337"/>
        <v>0</v>
      </c>
      <c r="AF272" s="30">
        <f t="shared" si="338"/>
        <v>0</v>
      </c>
      <c r="AG272" s="30">
        <f t="shared" si="339"/>
        <v>0</v>
      </c>
      <c r="AH272" s="30">
        <f t="shared" si="340"/>
        <v>0</v>
      </c>
      <c r="AI272" s="10" t="s">
        <v>50</v>
      </c>
      <c r="AJ272" s="30">
        <f t="shared" si="341"/>
        <v>0</v>
      </c>
      <c r="AK272" s="30">
        <f t="shared" si="342"/>
        <v>0</v>
      </c>
      <c r="AL272" s="30">
        <f t="shared" si="343"/>
        <v>0</v>
      </c>
      <c r="AN272" s="30">
        <v>12</v>
      </c>
      <c r="AO272" s="30">
        <f>G272*1</f>
        <v>0</v>
      </c>
      <c r="AP272" s="30">
        <f>G272*(1-1)</f>
        <v>0</v>
      </c>
      <c r="AQ272" s="31" t="s">
        <v>53</v>
      </c>
      <c r="AV272" s="30">
        <f t="shared" si="344"/>
        <v>0</v>
      </c>
      <c r="AW272" s="30">
        <f t="shared" si="345"/>
        <v>0</v>
      </c>
      <c r="AX272" s="30">
        <f t="shared" si="346"/>
        <v>0</v>
      </c>
      <c r="AY272" s="31" t="s">
        <v>709</v>
      </c>
      <c r="AZ272" s="31" t="s">
        <v>693</v>
      </c>
      <c r="BA272" s="10" t="s">
        <v>60</v>
      </c>
      <c r="BC272" s="30">
        <f t="shared" si="347"/>
        <v>0</v>
      </c>
      <c r="BD272" s="30">
        <f t="shared" si="348"/>
        <v>0</v>
      </c>
      <c r="BE272" s="30">
        <v>0</v>
      </c>
      <c r="BF272" s="30">
        <f>272</f>
        <v>272</v>
      </c>
      <c r="BH272" s="30">
        <f t="shared" si="349"/>
        <v>0</v>
      </c>
      <c r="BI272" s="30">
        <f t="shared" si="350"/>
        <v>0</v>
      </c>
      <c r="BJ272" s="30">
        <f t="shared" si="351"/>
        <v>0</v>
      </c>
      <c r="BK272" s="30"/>
      <c r="BL272" s="30"/>
      <c r="BW272" s="30">
        <v>12</v>
      </c>
      <c r="BX272" s="4" t="s">
        <v>768</v>
      </c>
    </row>
    <row r="273" spans="1:76" x14ac:dyDescent="0.25">
      <c r="A273" s="32" t="s">
        <v>769</v>
      </c>
      <c r="B273" s="33" t="s">
        <v>770</v>
      </c>
      <c r="C273" s="125" t="s">
        <v>771</v>
      </c>
      <c r="D273" s="126"/>
      <c r="E273" s="33" t="s">
        <v>56</v>
      </c>
      <c r="F273" s="34">
        <v>15</v>
      </c>
      <c r="G273" s="35">
        <v>0</v>
      </c>
      <c r="H273" s="34">
        <f t="shared" si="330"/>
        <v>0</v>
      </c>
      <c r="I273" s="34">
        <f t="shared" si="331"/>
        <v>0</v>
      </c>
      <c r="J273" s="34">
        <f t="shared" si="332"/>
        <v>0</v>
      </c>
      <c r="K273" s="36" t="s">
        <v>57</v>
      </c>
      <c r="Z273" s="30">
        <f t="shared" si="333"/>
        <v>0</v>
      </c>
      <c r="AB273" s="30">
        <f t="shared" si="334"/>
        <v>0</v>
      </c>
      <c r="AC273" s="30">
        <f t="shared" si="335"/>
        <v>0</v>
      </c>
      <c r="AD273" s="30">
        <f t="shared" si="336"/>
        <v>0</v>
      </c>
      <c r="AE273" s="30">
        <f t="shared" si="337"/>
        <v>0</v>
      </c>
      <c r="AF273" s="30">
        <f t="shared" si="338"/>
        <v>0</v>
      </c>
      <c r="AG273" s="30">
        <f t="shared" si="339"/>
        <v>0</v>
      </c>
      <c r="AH273" s="30">
        <f t="shared" si="340"/>
        <v>0</v>
      </c>
      <c r="AI273" s="10" t="s">
        <v>50</v>
      </c>
      <c r="AJ273" s="30">
        <f t="shared" si="341"/>
        <v>0</v>
      </c>
      <c r="AK273" s="30">
        <f t="shared" si="342"/>
        <v>0</v>
      </c>
      <c r="AL273" s="30">
        <f t="shared" si="343"/>
        <v>0</v>
      </c>
      <c r="AN273" s="30">
        <v>12</v>
      </c>
      <c r="AO273" s="30">
        <f>G273*1</f>
        <v>0</v>
      </c>
      <c r="AP273" s="30">
        <f>G273*(1-1)</f>
        <v>0</v>
      </c>
      <c r="AQ273" s="31" t="s">
        <v>53</v>
      </c>
      <c r="AV273" s="30">
        <f t="shared" si="344"/>
        <v>0</v>
      </c>
      <c r="AW273" s="30">
        <f t="shared" si="345"/>
        <v>0</v>
      </c>
      <c r="AX273" s="30">
        <f t="shared" si="346"/>
        <v>0</v>
      </c>
      <c r="AY273" s="31" t="s">
        <v>709</v>
      </c>
      <c r="AZ273" s="31" t="s">
        <v>693</v>
      </c>
      <c r="BA273" s="10" t="s">
        <v>60</v>
      </c>
      <c r="BC273" s="30">
        <f t="shared" si="347"/>
        <v>0</v>
      </c>
      <c r="BD273" s="30">
        <f t="shared" si="348"/>
        <v>0</v>
      </c>
      <c r="BE273" s="30">
        <v>0</v>
      </c>
      <c r="BF273" s="30">
        <f>273</f>
        <v>273</v>
      </c>
      <c r="BH273" s="30">
        <f t="shared" si="349"/>
        <v>0</v>
      </c>
      <c r="BI273" s="30">
        <f t="shared" si="350"/>
        <v>0</v>
      </c>
      <c r="BJ273" s="30">
        <f t="shared" si="351"/>
        <v>0</v>
      </c>
      <c r="BK273" s="30"/>
      <c r="BL273" s="30"/>
      <c r="BW273" s="30">
        <v>12</v>
      </c>
      <c r="BX273" s="4" t="s">
        <v>771</v>
      </c>
    </row>
    <row r="274" spans="1:76" x14ac:dyDescent="0.25">
      <c r="A274" s="32" t="s">
        <v>772</v>
      </c>
      <c r="B274" s="33" t="s">
        <v>773</v>
      </c>
      <c r="C274" s="125" t="s">
        <v>774</v>
      </c>
      <c r="D274" s="126"/>
      <c r="E274" s="33" t="s">
        <v>56</v>
      </c>
      <c r="F274" s="34">
        <v>5</v>
      </c>
      <c r="G274" s="35">
        <v>0</v>
      </c>
      <c r="H274" s="34">
        <f t="shared" si="330"/>
        <v>0</v>
      </c>
      <c r="I274" s="34">
        <f t="shared" si="331"/>
        <v>0</v>
      </c>
      <c r="J274" s="34">
        <f t="shared" si="332"/>
        <v>0</v>
      </c>
      <c r="K274" s="36" t="s">
        <v>57</v>
      </c>
      <c r="Z274" s="30">
        <f t="shared" si="333"/>
        <v>0</v>
      </c>
      <c r="AB274" s="30">
        <f t="shared" si="334"/>
        <v>0</v>
      </c>
      <c r="AC274" s="30">
        <f t="shared" si="335"/>
        <v>0</v>
      </c>
      <c r="AD274" s="30">
        <f t="shared" si="336"/>
        <v>0</v>
      </c>
      <c r="AE274" s="30">
        <f t="shared" si="337"/>
        <v>0</v>
      </c>
      <c r="AF274" s="30">
        <f t="shared" si="338"/>
        <v>0</v>
      </c>
      <c r="AG274" s="30">
        <f t="shared" si="339"/>
        <v>0</v>
      </c>
      <c r="AH274" s="30">
        <f t="shared" si="340"/>
        <v>0</v>
      </c>
      <c r="AI274" s="10" t="s">
        <v>50</v>
      </c>
      <c r="AJ274" s="30">
        <f t="shared" si="341"/>
        <v>0</v>
      </c>
      <c r="AK274" s="30">
        <f t="shared" si="342"/>
        <v>0</v>
      </c>
      <c r="AL274" s="30">
        <f t="shared" si="343"/>
        <v>0</v>
      </c>
      <c r="AN274" s="30">
        <v>12</v>
      </c>
      <c r="AO274" s="30">
        <f>G274*1</f>
        <v>0</v>
      </c>
      <c r="AP274" s="30">
        <f>G274*(1-1)</f>
        <v>0</v>
      </c>
      <c r="AQ274" s="31" t="s">
        <v>53</v>
      </c>
      <c r="AV274" s="30">
        <f t="shared" si="344"/>
        <v>0</v>
      </c>
      <c r="AW274" s="30">
        <f t="shared" si="345"/>
        <v>0</v>
      </c>
      <c r="AX274" s="30">
        <f t="shared" si="346"/>
        <v>0</v>
      </c>
      <c r="AY274" s="31" t="s">
        <v>709</v>
      </c>
      <c r="AZ274" s="31" t="s">
        <v>693</v>
      </c>
      <c r="BA274" s="10" t="s">
        <v>60</v>
      </c>
      <c r="BC274" s="30">
        <f t="shared" si="347"/>
        <v>0</v>
      </c>
      <c r="BD274" s="30">
        <f t="shared" si="348"/>
        <v>0</v>
      </c>
      <c r="BE274" s="30">
        <v>0</v>
      </c>
      <c r="BF274" s="30">
        <f>274</f>
        <v>274</v>
      </c>
      <c r="BH274" s="30">
        <f t="shared" si="349"/>
        <v>0</v>
      </c>
      <c r="BI274" s="30">
        <f t="shared" si="350"/>
        <v>0</v>
      </c>
      <c r="BJ274" s="30">
        <f t="shared" si="351"/>
        <v>0</v>
      </c>
      <c r="BK274" s="30"/>
      <c r="BL274" s="30"/>
      <c r="BW274" s="30">
        <v>12</v>
      </c>
      <c r="BX274" s="4" t="s">
        <v>774</v>
      </c>
    </row>
    <row r="275" spans="1:76" x14ac:dyDescent="0.25">
      <c r="A275" s="32" t="s">
        <v>775</v>
      </c>
      <c r="B275" s="33" t="s">
        <v>776</v>
      </c>
      <c r="C275" s="125" t="s">
        <v>777</v>
      </c>
      <c r="D275" s="126"/>
      <c r="E275" s="33" t="s">
        <v>56</v>
      </c>
      <c r="F275" s="34">
        <v>1</v>
      </c>
      <c r="G275" s="35">
        <v>0</v>
      </c>
      <c r="H275" s="34">
        <f t="shared" si="330"/>
        <v>0</v>
      </c>
      <c r="I275" s="34">
        <f t="shared" si="331"/>
        <v>0</v>
      </c>
      <c r="J275" s="34">
        <f t="shared" si="332"/>
        <v>0</v>
      </c>
      <c r="K275" s="36" t="s">
        <v>57</v>
      </c>
      <c r="Z275" s="30">
        <f t="shared" si="333"/>
        <v>0</v>
      </c>
      <c r="AB275" s="30">
        <f t="shared" si="334"/>
        <v>0</v>
      </c>
      <c r="AC275" s="30">
        <f t="shared" si="335"/>
        <v>0</v>
      </c>
      <c r="AD275" s="30">
        <f t="shared" si="336"/>
        <v>0</v>
      </c>
      <c r="AE275" s="30">
        <f t="shared" si="337"/>
        <v>0</v>
      </c>
      <c r="AF275" s="30">
        <f t="shared" si="338"/>
        <v>0</v>
      </c>
      <c r="AG275" s="30">
        <f t="shared" si="339"/>
        <v>0</v>
      </c>
      <c r="AH275" s="30">
        <f t="shared" si="340"/>
        <v>0</v>
      </c>
      <c r="AI275" s="10" t="s">
        <v>50</v>
      </c>
      <c r="AJ275" s="30">
        <f t="shared" si="341"/>
        <v>0</v>
      </c>
      <c r="AK275" s="30">
        <f t="shared" si="342"/>
        <v>0</v>
      </c>
      <c r="AL275" s="30">
        <f t="shared" si="343"/>
        <v>0</v>
      </c>
      <c r="AN275" s="30">
        <v>12</v>
      </c>
      <c r="AO275" s="30">
        <f>G275*1</f>
        <v>0</v>
      </c>
      <c r="AP275" s="30">
        <f>G275*(1-1)</f>
        <v>0</v>
      </c>
      <c r="AQ275" s="31" t="s">
        <v>53</v>
      </c>
      <c r="AV275" s="30">
        <f t="shared" si="344"/>
        <v>0</v>
      </c>
      <c r="AW275" s="30">
        <f t="shared" si="345"/>
        <v>0</v>
      </c>
      <c r="AX275" s="30">
        <f t="shared" si="346"/>
        <v>0</v>
      </c>
      <c r="AY275" s="31" t="s">
        <v>709</v>
      </c>
      <c r="AZ275" s="31" t="s">
        <v>693</v>
      </c>
      <c r="BA275" s="10" t="s">
        <v>60</v>
      </c>
      <c r="BC275" s="30">
        <f t="shared" si="347"/>
        <v>0</v>
      </c>
      <c r="BD275" s="30">
        <f t="shared" si="348"/>
        <v>0</v>
      </c>
      <c r="BE275" s="30">
        <v>0</v>
      </c>
      <c r="BF275" s="30">
        <f>275</f>
        <v>275</v>
      </c>
      <c r="BH275" s="30">
        <f t="shared" si="349"/>
        <v>0</v>
      </c>
      <c r="BI275" s="30">
        <f t="shared" si="350"/>
        <v>0</v>
      </c>
      <c r="BJ275" s="30">
        <f t="shared" si="351"/>
        <v>0</v>
      </c>
      <c r="BK275" s="30"/>
      <c r="BL275" s="30"/>
      <c r="BW275" s="30">
        <v>12</v>
      </c>
      <c r="BX275" s="4" t="s">
        <v>777</v>
      </c>
    </row>
    <row r="276" spans="1:76" x14ac:dyDescent="0.25">
      <c r="A276" s="32" t="s">
        <v>778</v>
      </c>
      <c r="B276" s="33" t="s">
        <v>779</v>
      </c>
      <c r="C276" s="125" t="s">
        <v>780</v>
      </c>
      <c r="D276" s="126"/>
      <c r="E276" s="33" t="s">
        <v>56</v>
      </c>
      <c r="F276" s="34">
        <v>1</v>
      </c>
      <c r="G276" s="35">
        <v>0</v>
      </c>
      <c r="H276" s="34">
        <f t="shared" si="330"/>
        <v>0</v>
      </c>
      <c r="I276" s="34">
        <f t="shared" si="331"/>
        <v>0</v>
      </c>
      <c r="J276" s="34">
        <f t="shared" si="332"/>
        <v>0</v>
      </c>
      <c r="K276" s="36" t="s">
        <v>57</v>
      </c>
      <c r="Z276" s="30">
        <f t="shared" si="333"/>
        <v>0</v>
      </c>
      <c r="AB276" s="30">
        <f t="shared" si="334"/>
        <v>0</v>
      </c>
      <c r="AC276" s="30">
        <f t="shared" si="335"/>
        <v>0</v>
      </c>
      <c r="AD276" s="30">
        <f t="shared" si="336"/>
        <v>0</v>
      </c>
      <c r="AE276" s="30">
        <f t="shared" si="337"/>
        <v>0</v>
      </c>
      <c r="AF276" s="30">
        <f t="shared" si="338"/>
        <v>0</v>
      </c>
      <c r="AG276" s="30">
        <f t="shared" si="339"/>
        <v>0</v>
      </c>
      <c r="AH276" s="30">
        <f t="shared" si="340"/>
        <v>0</v>
      </c>
      <c r="AI276" s="10" t="s">
        <v>50</v>
      </c>
      <c r="AJ276" s="30">
        <f t="shared" si="341"/>
        <v>0</v>
      </c>
      <c r="AK276" s="30">
        <f t="shared" si="342"/>
        <v>0</v>
      </c>
      <c r="AL276" s="30">
        <f t="shared" si="343"/>
        <v>0</v>
      </c>
      <c r="AN276" s="30">
        <v>12</v>
      </c>
      <c r="AO276" s="30">
        <f>G276*0</f>
        <v>0</v>
      </c>
      <c r="AP276" s="30">
        <f>G276*(1-0)</f>
        <v>0</v>
      </c>
      <c r="AQ276" s="31" t="s">
        <v>61</v>
      </c>
      <c r="AV276" s="30">
        <f t="shared" si="344"/>
        <v>0</v>
      </c>
      <c r="AW276" s="30">
        <f t="shared" si="345"/>
        <v>0</v>
      </c>
      <c r="AX276" s="30">
        <f t="shared" si="346"/>
        <v>0</v>
      </c>
      <c r="AY276" s="31" t="s">
        <v>709</v>
      </c>
      <c r="AZ276" s="31" t="s">
        <v>693</v>
      </c>
      <c r="BA276" s="10" t="s">
        <v>60</v>
      </c>
      <c r="BC276" s="30">
        <f t="shared" si="347"/>
        <v>0</v>
      </c>
      <c r="BD276" s="30">
        <f t="shared" si="348"/>
        <v>0</v>
      </c>
      <c r="BE276" s="30">
        <v>0</v>
      </c>
      <c r="BF276" s="30">
        <f>276</f>
        <v>276</v>
      </c>
      <c r="BH276" s="30">
        <f t="shared" si="349"/>
        <v>0</v>
      </c>
      <c r="BI276" s="30">
        <f t="shared" si="350"/>
        <v>0</v>
      </c>
      <c r="BJ276" s="30">
        <f t="shared" si="351"/>
        <v>0</v>
      </c>
      <c r="BK276" s="30"/>
      <c r="BL276" s="30"/>
      <c r="BW276" s="30">
        <v>12</v>
      </c>
      <c r="BX276" s="4" t="s">
        <v>780</v>
      </c>
    </row>
    <row r="277" spans="1:76" x14ac:dyDescent="0.25">
      <c r="A277" s="32" t="s">
        <v>781</v>
      </c>
      <c r="B277" s="33" t="s">
        <v>782</v>
      </c>
      <c r="C277" s="125" t="s">
        <v>783</v>
      </c>
      <c r="D277" s="126"/>
      <c r="E277" s="33" t="s">
        <v>56</v>
      </c>
      <c r="F277" s="34">
        <v>1</v>
      </c>
      <c r="G277" s="35">
        <v>0</v>
      </c>
      <c r="H277" s="34">
        <f t="shared" si="330"/>
        <v>0</v>
      </c>
      <c r="I277" s="34">
        <f t="shared" si="331"/>
        <v>0</v>
      </c>
      <c r="J277" s="34">
        <f t="shared" si="332"/>
        <v>0</v>
      </c>
      <c r="K277" s="36" t="s">
        <v>57</v>
      </c>
      <c r="Z277" s="30">
        <f t="shared" si="333"/>
        <v>0</v>
      </c>
      <c r="AB277" s="30">
        <f t="shared" si="334"/>
        <v>0</v>
      </c>
      <c r="AC277" s="30">
        <f t="shared" si="335"/>
        <v>0</v>
      </c>
      <c r="AD277" s="30">
        <f t="shared" si="336"/>
        <v>0</v>
      </c>
      <c r="AE277" s="30">
        <f t="shared" si="337"/>
        <v>0</v>
      </c>
      <c r="AF277" s="30">
        <f t="shared" si="338"/>
        <v>0</v>
      </c>
      <c r="AG277" s="30">
        <f t="shared" si="339"/>
        <v>0</v>
      </c>
      <c r="AH277" s="30">
        <f t="shared" si="340"/>
        <v>0</v>
      </c>
      <c r="AI277" s="10" t="s">
        <v>50</v>
      </c>
      <c r="AJ277" s="30">
        <f t="shared" si="341"/>
        <v>0</v>
      </c>
      <c r="AK277" s="30">
        <f t="shared" si="342"/>
        <v>0</v>
      </c>
      <c r="AL277" s="30">
        <f t="shared" si="343"/>
        <v>0</v>
      </c>
      <c r="AN277" s="30">
        <v>12</v>
      </c>
      <c r="AO277" s="30">
        <f>G277*1</f>
        <v>0</v>
      </c>
      <c r="AP277" s="30">
        <f>G277*(1-1)</f>
        <v>0</v>
      </c>
      <c r="AQ277" s="31" t="s">
        <v>53</v>
      </c>
      <c r="AV277" s="30">
        <f t="shared" si="344"/>
        <v>0</v>
      </c>
      <c r="AW277" s="30">
        <f t="shared" si="345"/>
        <v>0</v>
      </c>
      <c r="AX277" s="30">
        <f t="shared" si="346"/>
        <v>0</v>
      </c>
      <c r="AY277" s="31" t="s">
        <v>709</v>
      </c>
      <c r="AZ277" s="31" t="s">
        <v>693</v>
      </c>
      <c r="BA277" s="10" t="s">
        <v>60</v>
      </c>
      <c r="BC277" s="30">
        <f t="shared" si="347"/>
        <v>0</v>
      </c>
      <c r="BD277" s="30">
        <f t="shared" si="348"/>
        <v>0</v>
      </c>
      <c r="BE277" s="30">
        <v>0</v>
      </c>
      <c r="BF277" s="30">
        <f>277</f>
        <v>277</v>
      </c>
      <c r="BH277" s="30">
        <f t="shared" si="349"/>
        <v>0</v>
      </c>
      <c r="BI277" s="30">
        <f t="shared" si="350"/>
        <v>0</v>
      </c>
      <c r="BJ277" s="30">
        <f t="shared" si="351"/>
        <v>0</v>
      </c>
      <c r="BK277" s="30"/>
      <c r="BL277" s="30"/>
      <c r="BW277" s="30">
        <v>12</v>
      </c>
      <c r="BX277" s="4" t="s">
        <v>783</v>
      </c>
    </row>
    <row r="278" spans="1:76" x14ac:dyDescent="0.25">
      <c r="A278" s="32" t="s">
        <v>784</v>
      </c>
      <c r="B278" s="33" t="s">
        <v>785</v>
      </c>
      <c r="C278" s="125" t="s">
        <v>786</v>
      </c>
      <c r="D278" s="126"/>
      <c r="E278" s="33" t="s">
        <v>56</v>
      </c>
      <c r="F278" s="34">
        <v>2</v>
      </c>
      <c r="G278" s="35">
        <v>0</v>
      </c>
      <c r="H278" s="34">
        <f t="shared" si="330"/>
        <v>0</v>
      </c>
      <c r="I278" s="34">
        <f t="shared" si="331"/>
        <v>0</v>
      </c>
      <c r="J278" s="34">
        <f t="shared" si="332"/>
        <v>0</v>
      </c>
      <c r="K278" s="36" t="s">
        <v>57</v>
      </c>
      <c r="Z278" s="30">
        <f t="shared" si="333"/>
        <v>0</v>
      </c>
      <c r="AB278" s="30">
        <f t="shared" si="334"/>
        <v>0</v>
      </c>
      <c r="AC278" s="30">
        <f t="shared" si="335"/>
        <v>0</v>
      </c>
      <c r="AD278" s="30">
        <f t="shared" si="336"/>
        <v>0</v>
      </c>
      <c r="AE278" s="30">
        <f t="shared" si="337"/>
        <v>0</v>
      </c>
      <c r="AF278" s="30">
        <f t="shared" si="338"/>
        <v>0</v>
      </c>
      <c r="AG278" s="30">
        <f t="shared" si="339"/>
        <v>0</v>
      </c>
      <c r="AH278" s="30">
        <f t="shared" si="340"/>
        <v>0</v>
      </c>
      <c r="AI278" s="10" t="s">
        <v>50</v>
      </c>
      <c r="AJ278" s="30">
        <f t="shared" si="341"/>
        <v>0</v>
      </c>
      <c r="AK278" s="30">
        <f t="shared" si="342"/>
        <v>0</v>
      </c>
      <c r="AL278" s="30">
        <f t="shared" si="343"/>
        <v>0</v>
      </c>
      <c r="AN278" s="30">
        <v>12</v>
      </c>
      <c r="AO278" s="30">
        <f>G278*0</f>
        <v>0</v>
      </c>
      <c r="AP278" s="30">
        <f>G278*(1-0)</f>
        <v>0</v>
      </c>
      <c r="AQ278" s="31" t="s">
        <v>61</v>
      </c>
      <c r="AV278" s="30">
        <f t="shared" si="344"/>
        <v>0</v>
      </c>
      <c r="AW278" s="30">
        <f t="shared" si="345"/>
        <v>0</v>
      </c>
      <c r="AX278" s="30">
        <f t="shared" si="346"/>
        <v>0</v>
      </c>
      <c r="AY278" s="31" t="s">
        <v>709</v>
      </c>
      <c r="AZ278" s="31" t="s">
        <v>693</v>
      </c>
      <c r="BA278" s="10" t="s">
        <v>60</v>
      </c>
      <c r="BC278" s="30">
        <f t="shared" si="347"/>
        <v>0</v>
      </c>
      <c r="BD278" s="30">
        <f t="shared" si="348"/>
        <v>0</v>
      </c>
      <c r="BE278" s="30">
        <v>0</v>
      </c>
      <c r="BF278" s="30">
        <f>278</f>
        <v>278</v>
      </c>
      <c r="BH278" s="30">
        <f t="shared" si="349"/>
        <v>0</v>
      </c>
      <c r="BI278" s="30">
        <f t="shared" si="350"/>
        <v>0</v>
      </c>
      <c r="BJ278" s="30">
        <f t="shared" si="351"/>
        <v>0</v>
      </c>
      <c r="BK278" s="30"/>
      <c r="BL278" s="30"/>
      <c r="BW278" s="30">
        <v>12</v>
      </c>
      <c r="BX278" s="4" t="s">
        <v>786</v>
      </c>
    </row>
    <row r="279" spans="1:76" x14ac:dyDescent="0.25">
      <c r="A279" s="32" t="s">
        <v>787</v>
      </c>
      <c r="B279" s="33" t="s">
        <v>788</v>
      </c>
      <c r="C279" s="125" t="s">
        <v>789</v>
      </c>
      <c r="D279" s="126"/>
      <c r="E279" s="33" t="s">
        <v>56</v>
      </c>
      <c r="F279" s="34">
        <v>1</v>
      </c>
      <c r="G279" s="35">
        <v>0</v>
      </c>
      <c r="H279" s="34">
        <f t="shared" si="330"/>
        <v>0</v>
      </c>
      <c r="I279" s="34">
        <f t="shared" si="331"/>
        <v>0</v>
      </c>
      <c r="J279" s="34">
        <f t="shared" si="332"/>
        <v>0</v>
      </c>
      <c r="K279" s="36" t="s">
        <v>57</v>
      </c>
      <c r="Z279" s="30">
        <f t="shared" si="333"/>
        <v>0</v>
      </c>
      <c r="AB279" s="30">
        <f t="shared" si="334"/>
        <v>0</v>
      </c>
      <c r="AC279" s="30">
        <f t="shared" si="335"/>
        <v>0</v>
      </c>
      <c r="AD279" s="30">
        <f t="shared" si="336"/>
        <v>0</v>
      </c>
      <c r="AE279" s="30">
        <f t="shared" si="337"/>
        <v>0</v>
      </c>
      <c r="AF279" s="30">
        <f t="shared" si="338"/>
        <v>0</v>
      </c>
      <c r="AG279" s="30">
        <f t="shared" si="339"/>
        <v>0</v>
      </c>
      <c r="AH279" s="30">
        <f t="shared" si="340"/>
        <v>0</v>
      </c>
      <c r="AI279" s="10" t="s">
        <v>50</v>
      </c>
      <c r="AJ279" s="30">
        <f t="shared" si="341"/>
        <v>0</v>
      </c>
      <c r="AK279" s="30">
        <f t="shared" si="342"/>
        <v>0</v>
      </c>
      <c r="AL279" s="30">
        <f t="shared" si="343"/>
        <v>0</v>
      </c>
      <c r="AN279" s="30">
        <v>12</v>
      </c>
      <c r="AO279" s="30">
        <f>G279*1</f>
        <v>0</v>
      </c>
      <c r="AP279" s="30">
        <f>G279*(1-1)</f>
        <v>0</v>
      </c>
      <c r="AQ279" s="31" t="s">
        <v>53</v>
      </c>
      <c r="AV279" s="30">
        <f t="shared" si="344"/>
        <v>0</v>
      </c>
      <c r="AW279" s="30">
        <f t="shared" si="345"/>
        <v>0</v>
      </c>
      <c r="AX279" s="30">
        <f t="shared" si="346"/>
        <v>0</v>
      </c>
      <c r="AY279" s="31" t="s">
        <v>709</v>
      </c>
      <c r="AZ279" s="31" t="s">
        <v>693</v>
      </c>
      <c r="BA279" s="10" t="s">
        <v>60</v>
      </c>
      <c r="BC279" s="30">
        <f t="shared" si="347"/>
        <v>0</v>
      </c>
      <c r="BD279" s="30">
        <f t="shared" si="348"/>
        <v>0</v>
      </c>
      <c r="BE279" s="30">
        <v>0</v>
      </c>
      <c r="BF279" s="30">
        <f>279</f>
        <v>279</v>
      </c>
      <c r="BH279" s="30">
        <f t="shared" si="349"/>
        <v>0</v>
      </c>
      <c r="BI279" s="30">
        <f t="shared" si="350"/>
        <v>0</v>
      </c>
      <c r="BJ279" s="30">
        <f t="shared" si="351"/>
        <v>0</v>
      </c>
      <c r="BK279" s="30"/>
      <c r="BL279" s="30"/>
      <c r="BW279" s="30">
        <v>12</v>
      </c>
      <c r="BX279" s="4" t="s">
        <v>789</v>
      </c>
    </row>
    <row r="280" spans="1:76" x14ac:dyDescent="0.25">
      <c r="A280" s="32" t="s">
        <v>790</v>
      </c>
      <c r="B280" s="33" t="s">
        <v>720</v>
      </c>
      <c r="C280" s="125" t="s">
        <v>791</v>
      </c>
      <c r="D280" s="126"/>
      <c r="E280" s="33" t="s">
        <v>56</v>
      </c>
      <c r="F280" s="34">
        <v>1</v>
      </c>
      <c r="G280" s="35">
        <v>0</v>
      </c>
      <c r="H280" s="34">
        <f t="shared" si="330"/>
        <v>0</v>
      </c>
      <c r="I280" s="34">
        <f t="shared" si="331"/>
        <v>0</v>
      </c>
      <c r="J280" s="34">
        <f t="shared" si="332"/>
        <v>0</v>
      </c>
      <c r="K280" s="36" t="s">
        <v>57</v>
      </c>
      <c r="Z280" s="30">
        <f t="shared" si="333"/>
        <v>0</v>
      </c>
      <c r="AB280" s="30">
        <f t="shared" si="334"/>
        <v>0</v>
      </c>
      <c r="AC280" s="30">
        <f t="shared" si="335"/>
        <v>0</v>
      </c>
      <c r="AD280" s="30">
        <f t="shared" si="336"/>
        <v>0</v>
      </c>
      <c r="AE280" s="30">
        <f t="shared" si="337"/>
        <v>0</v>
      </c>
      <c r="AF280" s="30">
        <f t="shared" si="338"/>
        <v>0</v>
      </c>
      <c r="AG280" s="30">
        <f t="shared" si="339"/>
        <v>0</v>
      </c>
      <c r="AH280" s="30">
        <f t="shared" si="340"/>
        <v>0</v>
      </c>
      <c r="AI280" s="10" t="s">
        <v>50</v>
      </c>
      <c r="AJ280" s="30">
        <f t="shared" si="341"/>
        <v>0</v>
      </c>
      <c r="AK280" s="30">
        <f t="shared" si="342"/>
        <v>0</v>
      </c>
      <c r="AL280" s="30">
        <f t="shared" si="343"/>
        <v>0</v>
      </c>
      <c r="AN280" s="30">
        <v>12</v>
      </c>
      <c r="AO280" s="30">
        <f>G280*1</f>
        <v>0</v>
      </c>
      <c r="AP280" s="30">
        <f>G280*(1-1)</f>
        <v>0</v>
      </c>
      <c r="AQ280" s="31" t="s">
        <v>53</v>
      </c>
      <c r="AV280" s="30">
        <f t="shared" si="344"/>
        <v>0</v>
      </c>
      <c r="AW280" s="30">
        <f t="shared" si="345"/>
        <v>0</v>
      </c>
      <c r="AX280" s="30">
        <f t="shared" si="346"/>
        <v>0</v>
      </c>
      <c r="AY280" s="31" t="s">
        <v>709</v>
      </c>
      <c r="AZ280" s="31" t="s">
        <v>693</v>
      </c>
      <c r="BA280" s="10" t="s">
        <v>60</v>
      </c>
      <c r="BC280" s="30">
        <f t="shared" si="347"/>
        <v>0</v>
      </c>
      <c r="BD280" s="30">
        <f t="shared" si="348"/>
        <v>0</v>
      </c>
      <c r="BE280" s="30">
        <v>0</v>
      </c>
      <c r="BF280" s="30">
        <f>280</f>
        <v>280</v>
      </c>
      <c r="BH280" s="30">
        <f t="shared" si="349"/>
        <v>0</v>
      </c>
      <c r="BI280" s="30">
        <f t="shared" si="350"/>
        <v>0</v>
      </c>
      <c r="BJ280" s="30">
        <f t="shared" si="351"/>
        <v>0</v>
      </c>
      <c r="BK280" s="30"/>
      <c r="BL280" s="30"/>
      <c r="BW280" s="30">
        <v>12</v>
      </c>
      <c r="BX280" s="4" t="s">
        <v>791</v>
      </c>
    </row>
    <row r="281" spans="1:76" x14ac:dyDescent="0.25">
      <c r="A281" s="32" t="s">
        <v>792</v>
      </c>
      <c r="B281" s="33" t="s">
        <v>793</v>
      </c>
      <c r="C281" s="125" t="s">
        <v>794</v>
      </c>
      <c r="D281" s="126"/>
      <c r="E281" s="33" t="s">
        <v>56</v>
      </c>
      <c r="F281" s="34">
        <v>1</v>
      </c>
      <c r="G281" s="35">
        <v>0</v>
      </c>
      <c r="H281" s="34">
        <f t="shared" si="330"/>
        <v>0</v>
      </c>
      <c r="I281" s="34">
        <f t="shared" si="331"/>
        <v>0</v>
      </c>
      <c r="J281" s="34">
        <f t="shared" si="332"/>
        <v>0</v>
      </c>
      <c r="K281" s="36" t="s">
        <v>57</v>
      </c>
      <c r="Z281" s="30">
        <f t="shared" si="333"/>
        <v>0</v>
      </c>
      <c r="AB281" s="30">
        <f t="shared" si="334"/>
        <v>0</v>
      </c>
      <c r="AC281" s="30">
        <f t="shared" si="335"/>
        <v>0</v>
      </c>
      <c r="AD281" s="30">
        <f t="shared" si="336"/>
        <v>0</v>
      </c>
      <c r="AE281" s="30">
        <f t="shared" si="337"/>
        <v>0</v>
      </c>
      <c r="AF281" s="30">
        <f t="shared" si="338"/>
        <v>0</v>
      </c>
      <c r="AG281" s="30">
        <f t="shared" si="339"/>
        <v>0</v>
      </c>
      <c r="AH281" s="30">
        <f t="shared" si="340"/>
        <v>0</v>
      </c>
      <c r="AI281" s="10" t="s">
        <v>50</v>
      </c>
      <c r="AJ281" s="30">
        <f t="shared" si="341"/>
        <v>0</v>
      </c>
      <c r="AK281" s="30">
        <f t="shared" si="342"/>
        <v>0</v>
      </c>
      <c r="AL281" s="30">
        <f t="shared" si="343"/>
        <v>0</v>
      </c>
      <c r="AN281" s="30">
        <v>12</v>
      </c>
      <c r="AO281" s="30">
        <f>G281*1</f>
        <v>0</v>
      </c>
      <c r="AP281" s="30">
        <f>G281*(1-1)</f>
        <v>0</v>
      </c>
      <c r="AQ281" s="31" t="s">
        <v>53</v>
      </c>
      <c r="AV281" s="30">
        <f t="shared" si="344"/>
        <v>0</v>
      </c>
      <c r="AW281" s="30">
        <f t="shared" si="345"/>
        <v>0</v>
      </c>
      <c r="AX281" s="30">
        <f t="shared" si="346"/>
        <v>0</v>
      </c>
      <c r="AY281" s="31" t="s">
        <v>709</v>
      </c>
      <c r="AZ281" s="31" t="s">
        <v>693</v>
      </c>
      <c r="BA281" s="10" t="s">
        <v>60</v>
      </c>
      <c r="BC281" s="30">
        <f t="shared" si="347"/>
        <v>0</v>
      </c>
      <c r="BD281" s="30">
        <f t="shared" si="348"/>
        <v>0</v>
      </c>
      <c r="BE281" s="30">
        <v>0</v>
      </c>
      <c r="BF281" s="30">
        <f>281</f>
        <v>281</v>
      </c>
      <c r="BH281" s="30">
        <f t="shared" si="349"/>
        <v>0</v>
      </c>
      <c r="BI281" s="30">
        <f t="shared" si="350"/>
        <v>0</v>
      </c>
      <c r="BJ281" s="30">
        <f t="shared" si="351"/>
        <v>0</v>
      </c>
      <c r="BK281" s="30"/>
      <c r="BL281" s="30"/>
      <c r="BW281" s="30">
        <v>12</v>
      </c>
      <c r="BX281" s="4" t="s">
        <v>794</v>
      </c>
    </row>
    <row r="282" spans="1:76" x14ac:dyDescent="0.25">
      <c r="A282" s="32" t="s">
        <v>795</v>
      </c>
      <c r="B282" s="33" t="s">
        <v>796</v>
      </c>
      <c r="C282" s="125" t="s">
        <v>797</v>
      </c>
      <c r="D282" s="126"/>
      <c r="E282" s="33" t="s">
        <v>56</v>
      </c>
      <c r="F282" s="34">
        <v>1</v>
      </c>
      <c r="G282" s="35">
        <v>0</v>
      </c>
      <c r="H282" s="34">
        <f t="shared" si="330"/>
        <v>0</v>
      </c>
      <c r="I282" s="34">
        <f t="shared" si="331"/>
        <v>0</v>
      </c>
      <c r="J282" s="34">
        <f t="shared" si="332"/>
        <v>0</v>
      </c>
      <c r="K282" s="36" t="s">
        <v>57</v>
      </c>
      <c r="Z282" s="30">
        <f t="shared" si="333"/>
        <v>0</v>
      </c>
      <c r="AB282" s="30">
        <f t="shared" si="334"/>
        <v>0</v>
      </c>
      <c r="AC282" s="30">
        <f t="shared" si="335"/>
        <v>0</v>
      </c>
      <c r="AD282" s="30">
        <f t="shared" si="336"/>
        <v>0</v>
      </c>
      <c r="AE282" s="30">
        <f t="shared" si="337"/>
        <v>0</v>
      </c>
      <c r="AF282" s="30">
        <f t="shared" si="338"/>
        <v>0</v>
      </c>
      <c r="AG282" s="30">
        <f t="shared" si="339"/>
        <v>0</v>
      </c>
      <c r="AH282" s="30">
        <f t="shared" si="340"/>
        <v>0</v>
      </c>
      <c r="AI282" s="10" t="s">
        <v>50</v>
      </c>
      <c r="AJ282" s="30">
        <f t="shared" si="341"/>
        <v>0</v>
      </c>
      <c r="AK282" s="30">
        <f t="shared" si="342"/>
        <v>0</v>
      </c>
      <c r="AL282" s="30">
        <f t="shared" si="343"/>
        <v>0</v>
      </c>
      <c r="AN282" s="30">
        <v>12</v>
      </c>
      <c r="AO282" s="30">
        <f>G282*1</f>
        <v>0</v>
      </c>
      <c r="AP282" s="30">
        <f>G282*(1-1)</f>
        <v>0</v>
      </c>
      <c r="AQ282" s="31" t="s">
        <v>53</v>
      </c>
      <c r="AV282" s="30">
        <f t="shared" si="344"/>
        <v>0</v>
      </c>
      <c r="AW282" s="30">
        <f t="shared" si="345"/>
        <v>0</v>
      </c>
      <c r="AX282" s="30">
        <f t="shared" si="346"/>
        <v>0</v>
      </c>
      <c r="AY282" s="31" t="s">
        <v>709</v>
      </c>
      <c r="AZ282" s="31" t="s">
        <v>693</v>
      </c>
      <c r="BA282" s="10" t="s">
        <v>60</v>
      </c>
      <c r="BC282" s="30">
        <f t="shared" si="347"/>
        <v>0</v>
      </c>
      <c r="BD282" s="30">
        <f t="shared" si="348"/>
        <v>0</v>
      </c>
      <c r="BE282" s="30">
        <v>0</v>
      </c>
      <c r="BF282" s="30">
        <f>282</f>
        <v>282</v>
      </c>
      <c r="BH282" s="30">
        <f t="shared" si="349"/>
        <v>0</v>
      </c>
      <c r="BI282" s="30">
        <f t="shared" si="350"/>
        <v>0</v>
      </c>
      <c r="BJ282" s="30">
        <f t="shared" si="351"/>
        <v>0</v>
      </c>
      <c r="BK282" s="30"/>
      <c r="BL282" s="30"/>
      <c r="BW282" s="30">
        <v>12</v>
      </c>
      <c r="BX282" s="4" t="s">
        <v>797</v>
      </c>
    </row>
    <row r="283" spans="1:76" x14ac:dyDescent="0.25">
      <c r="A283" s="32" t="s">
        <v>798</v>
      </c>
      <c r="B283" s="33" t="s">
        <v>799</v>
      </c>
      <c r="C283" s="125" t="s">
        <v>800</v>
      </c>
      <c r="D283" s="126"/>
      <c r="E283" s="33" t="s">
        <v>708</v>
      </c>
      <c r="F283" s="34">
        <v>1</v>
      </c>
      <c r="G283" s="35">
        <v>0</v>
      </c>
      <c r="H283" s="34">
        <f t="shared" si="330"/>
        <v>0</v>
      </c>
      <c r="I283" s="34">
        <f t="shared" si="331"/>
        <v>0</v>
      </c>
      <c r="J283" s="34">
        <f t="shared" si="332"/>
        <v>0</v>
      </c>
      <c r="K283" s="36" t="s">
        <v>57</v>
      </c>
      <c r="Z283" s="30">
        <f t="shared" si="333"/>
        <v>0</v>
      </c>
      <c r="AB283" s="30">
        <f t="shared" si="334"/>
        <v>0</v>
      </c>
      <c r="AC283" s="30">
        <f t="shared" si="335"/>
        <v>0</v>
      </c>
      <c r="AD283" s="30">
        <f t="shared" si="336"/>
        <v>0</v>
      </c>
      <c r="AE283" s="30">
        <f t="shared" si="337"/>
        <v>0</v>
      </c>
      <c r="AF283" s="30">
        <f t="shared" si="338"/>
        <v>0</v>
      </c>
      <c r="AG283" s="30">
        <f t="shared" si="339"/>
        <v>0</v>
      </c>
      <c r="AH283" s="30">
        <f t="shared" si="340"/>
        <v>0</v>
      </c>
      <c r="AI283" s="10" t="s">
        <v>50</v>
      </c>
      <c r="AJ283" s="30">
        <f t="shared" si="341"/>
        <v>0</v>
      </c>
      <c r="AK283" s="30">
        <f t="shared" si="342"/>
        <v>0</v>
      </c>
      <c r="AL283" s="30">
        <f t="shared" si="343"/>
        <v>0</v>
      </c>
      <c r="AN283" s="30">
        <v>12</v>
      </c>
      <c r="AO283" s="30">
        <f>G283*0.179308306</f>
        <v>0</v>
      </c>
      <c r="AP283" s="30">
        <f>G283*(1-0.179308306)</f>
        <v>0</v>
      </c>
      <c r="AQ283" s="31" t="s">
        <v>61</v>
      </c>
      <c r="AV283" s="30">
        <f t="shared" si="344"/>
        <v>0</v>
      </c>
      <c r="AW283" s="30">
        <f t="shared" si="345"/>
        <v>0</v>
      </c>
      <c r="AX283" s="30">
        <f t="shared" si="346"/>
        <v>0</v>
      </c>
      <c r="AY283" s="31" t="s">
        <v>709</v>
      </c>
      <c r="AZ283" s="31" t="s">
        <v>693</v>
      </c>
      <c r="BA283" s="10" t="s">
        <v>60</v>
      </c>
      <c r="BC283" s="30">
        <f t="shared" si="347"/>
        <v>0</v>
      </c>
      <c r="BD283" s="30">
        <f t="shared" si="348"/>
        <v>0</v>
      </c>
      <c r="BE283" s="30">
        <v>0</v>
      </c>
      <c r="BF283" s="30">
        <f>283</f>
        <v>283</v>
      </c>
      <c r="BH283" s="30">
        <f t="shared" si="349"/>
        <v>0</v>
      </c>
      <c r="BI283" s="30">
        <f t="shared" si="350"/>
        <v>0</v>
      </c>
      <c r="BJ283" s="30">
        <f t="shared" si="351"/>
        <v>0</v>
      </c>
      <c r="BK283" s="30"/>
      <c r="BL283" s="30"/>
      <c r="BW283" s="30">
        <v>12</v>
      </c>
      <c r="BX283" s="4" t="s">
        <v>800</v>
      </c>
    </row>
    <row r="284" spans="1:76" x14ac:dyDescent="0.25">
      <c r="A284" s="32" t="s">
        <v>801</v>
      </c>
      <c r="B284" s="33" t="s">
        <v>113</v>
      </c>
      <c r="C284" s="125" t="s">
        <v>114</v>
      </c>
      <c r="D284" s="126"/>
      <c r="E284" s="33" t="s">
        <v>90</v>
      </c>
      <c r="F284" s="34">
        <v>1.9550000000000001E-2</v>
      </c>
      <c r="G284" s="35">
        <v>0</v>
      </c>
      <c r="H284" s="34">
        <f t="shared" si="330"/>
        <v>0</v>
      </c>
      <c r="I284" s="34">
        <f t="shared" si="331"/>
        <v>0</v>
      </c>
      <c r="J284" s="34">
        <f t="shared" si="332"/>
        <v>0</v>
      </c>
      <c r="K284" s="36" t="s">
        <v>57</v>
      </c>
      <c r="Z284" s="30">
        <f t="shared" si="333"/>
        <v>0</v>
      </c>
      <c r="AB284" s="30">
        <f t="shared" si="334"/>
        <v>0</v>
      </c>
      <c r="AC284" s="30">
        <f t="shared" si="335"/>
        <v>0</v>
      </c>
      <c r="AD284" s="30">
        <f t="shared" si="336"/>
        <v>0</v>
      </c>
      <c r="AE284" s="30">
        <f t="shared" si="337"/>
        <v>0</v>
      </c>
      <c r="AF284" s="30">
        <f t="shared" si="338"/>
        <v>0</v>
      </c>
      <c r="AG284" s="30">
        <f t="shared" si="339"/>
        <v>0</v>
      </c>
      <c r="AH284" s="30">
        <f t="shared" si="340"/>
        <v>0</v>
      </c>
      <c r="AI284" s="10" t="s">
        <v>50</v>
      </c>
      <c r="AJ284" s="30">
        <f t="shared" si="341"/>
        <v>0</v>
      </c>
      <c r="AK284" s="30">
        <f t="shared" si="342"/>
        <v>0</v>
      </c>
      <c r="AL284" s="30">
        <f t="shared" si="343"/>
        <v>0</v>
      </c>
      <c r="AN284" s="30">
        <v>12</v>
      </c>
      <c r="AO284" s="30">
        <f>G284*0</f>
        <v>0</v>
      </c>
      <c r="AP284" s="30">
        <f>G284*(1-0)</f>
        <v>0</v>
      </c>
      <c r="AQ284" s="31" t="s">
        <v>74</v>
      </c>
      <c r="AV284" s="30">
        <f t="shared" si="344"/>
        <v>0</v>
      </c>
      <c r="AW284" s="30">
        <f t="shared" si="345"/>
        <v>0</v>
      </c>
      <c r="AX284" s="30">
        <f t="shared" si="346"/>
        <v>0</v>
      </c>
      <c r="AY284" s="31" t="s">
        <v>709</v>
      </c>
      <c r="AZ284" s="31" t="s">
        <v>693</v>
      </c>
      <c r="BA284" s="10" t="s">
        <v>60</v>
      </c>
      <c r="BC284" s="30">
        <f t="shared" si="347"/>
        <v>0</v>
      </c>
      <c r="BD284" s="30">
        <f t="shared" si="348"/>
        <v>0</v>
      </c>
      <c r="BE284" s="30">
        <v>0</v>
      </c>
      <c r="BF284" s="30">
        <f>284</f>
        <v>284</v>
      </c>
      <c r="BH284" s="30">
        <f t="shared" si="349"/>
        <v>0</v>
      </c>
      <c r="BI284" s="30">
        <f t="shared" si="350"/>
        <v>0</v>
      </c>
      <c r="BJ284" s="30">
        <f t="shared" si="351"/>
        <v>0</v>
      </c>
      <c r="BK284" s="30"/>
      <c r="BL284" s="30"/>
      <c r="BW284" s="30">
        <v>12</v>
      </c>
      <c r="BX284" s="4" t="s">
        <v>114</v>
      </c>
    </row>
    <row r="285" spans="1:76" x14ac:dyDescent="0.25">
      <c r="A285" s="39" t="s">
        <v>50</v>
      </c>
      <c r="B285" s="40" t="s">
        <v>802</v>
      </c>
      <c r="C285" s="131" t="s">
        <v>803</v>
      </c>
      <c r="D285" s="132"/>
      <c r="E285" s="41" t="s">
        <v>4</v>
      </c>
      <c r="F285" s="41" t="s">
        <v>4</v>
      </c>
      <c r="G285" s="42" t="s">
        <v>4</v>
      </c>
      <c r="H285" s="43">
        <f>SUM(H286:H306)</f>
        <v>0</v>
      </c>
      <c r="I285" s="43">
        <f>SUM(I286:I306)</f>
        <v>0</v>
      </c>
      <c r="J285" s="43">
        <f>SUM(J286:J306)</f>
        <v>0</v>
      </c>
      <c r="K285" s="44" t="s">
        <v>50</v>
      </c>
      <c r="AI285" s="10" t="s">
        <v>50</v>
      </c>
      <c r="AS285" s="1">
        <f>SUM(AJ286:AJ306)</f>
        <v>0</v>
      </c>
      <c r="AT285" s="1">
        <f>SUM(AK286:AK306)</f>
        <v>0</v>
      </c>
      <c r="AU285" s="1">
        <f>SUM(AL286:AL306)</f>
        <v>0</v>
      </c>
    </row>
    <row r="286" spans="1:76" x14ac:dyDescent="0.25">
      <c r="A286" s="25" t="s">
        <v>804</v>
      </c>
      <c r="B286" s="26" t="s">
        <v>805</v>
      </c>
      <c r="C286" s="123" t="s">
        <v>806</v>
      </c>
      <c r="D286" s="124"/>
      <c r="E286" s="26" t="s">
        <v>80</v>
      </c>
      <c r="F286" s="27">
        <v>20</v>
      </c>
      <c r="G286" s="28">
        <v>0</v>
      </c>
      <c r="H286" s="27">
        <f>F286*AO286</f>
        <v>0</v>
      </c>
      <c r="I286" s="27">
        <f>F286*AP286</f>
        <v>0</v>
      </c>
      <c r="J286" s="27">
        <f>F286*G286</f>
        <v>0</v>
      </c>
      <c r="K286" s="29" t="s">
        <v>57</v>
      </c>
      <c r="Z286" s="30">
        <f>IF(AQ286="5",BJ286,0)</f>
        <v>0</v>
      </c>
      <c r="AB286" s="30">
        <f>IF(AQ286="1",BH286,0)</f>
        <v>0</v>
      </c>
      <c r="AC286" s="30">
        <f>IF(AQ286="1",BI286,0)</f>
        <v>0</v>
      </c>
      <c r="AD286" s="30">
        <f>IF(AQ286="7",BH286,0)</f>
        <v>0</v>
      </c>
      <c r="AE286" s="30">
        <f>IF(AQ286="7",BI286,0)</f>
        <v>0</v>
      </c>
      <c r="AF286" s="30">
        <f>IF(AQ286="2",BH286,0)</f>
        <v>0</v>
      </c>
      <c r="AG286" s="30">
        <f>IF(AQ286="2",BI286,0)</f>
        <v>0</v>
      </c>
      <c r="AH286" s="30">
        <f>IF(AQ286="0",BJ286,0)</f>
        <v>0</v>
      </c>
      <c r="AI286" s="10" t="s">
        <v>50</v>
      </c>
      <c r="AJ286" s="30">
        <f>IF(AN286=0,J286,0)</f>
        <v>0</v>
      </c>
      <c r="AK286" s="30">
        <f>IF(AN286=12,J286,0)</f>
        <v>0</v>
      </c>
      <c r="AL286" s="30">
        <f>IF(AN286=21,J286,0)</f>
        <v>0</v>
      </c>
      <c r="AN286" s="30">
        <v>12</v>
      </c>
      <c r="AO286" s="30">
        <f>G286*0.631032258</f>
        <v>0</v>
      </c>
      <c r="AP286" s="30">
        <f>G286*(1-0.631032258)</f>
        <v>0</v>
      </c>
      <c r="AQ286" s="31" t="s">
        <v>61</v>
      </c>
      <c r="AV286" s="30">
        <f>AW286+AX286</f>
        <v>0</v>
      </c>
      <c r="AW286" s="30">
        <f>F286*AO286</f>
        <v>0</v>
      </c>
      <c r="AX286" s="30">
        <f>F286*AP286</f>
        <v>0</v>
      </c>
      <c r="AY286" s="31" t="s">
        <v>807</v>
      </c>
      <c r="AZ286" s="31" t="s">
        <v>693</v>
      </c>
      <c r="BA286" s="10" t="s">
        <v>60</v>
      </c>
      <c r="BC286" s="30">
        <f>AW286+AX286</f>
        <v>0</v>
      </c>
      <c r="BD286" s="30">
        <f>G286/(100-BE286)*100</f>
        <v>0</v>
      </c>
      <c r="BE286" s="30">
        <v>0</v>
      </c>
      <c r="BF286" s="30">
        <f>286</f>
        <v>286</v>
      </c>
      <c r="BH286" s="30">
        <f>F286*AO286</f>
        <v>0</v>
      </c>
      <c r="BI286" s="30">
        <f>F286*AP286</f>
        <v>0</v>
      </c>
      <c r="BJ286" s="30">
        <f>F286*G286</f>
        <v>0</v>
      </c>
      <c r="BK286" s="30"/>
      <c r="BL286" s="30"/>
      <c r="BW286" s="30">
        <v>12</v>
      </c>
      <c r="BX286" s="4" t="s">
        <v>806</v>
      </c>
    </row>
    <row r="287" spans="1:76" ht="13.5" customHeight="1" x14ac:dyDescent="0.25">
      <c r="A287" s="37"/>
      <c r="B287" s="38" t="s">
        <v>68</v>
      </c>
      <c r="C287" s="127" t="s">
        <v>808</v>
      </c>
      <c r="D287" s="128"/>
      <c r="E287" s="128"/>
      <c r="F287" s="128"/>
      <c r="G287" s="129"/>
      <c r="H287" s="128"/>
      <c r="I287" s="128"/>
      <c r="J287" s="128"/>
      <c r="K287" s="130"/>
    </row>
    <row r="288" spans="1:76" x14ac:dyDescent="0.25">
      <c r="A288" s="25" t="s">
        <v>809</v>
      </c>
      <c r="B288" s="26" t="s">
        <v>810</v>
      </c>
      <c r="C288" s="123" t="s">
        <v>811</v>
      </c>
      <c r="D288" s="124"/>
      <c r="E288" s="26" t="s">
        <v>80</v>
      </c>
      <c r="F288" s="27">
        <v>15</v>
      </c>
      <c r="G288" s="28">
        <v>0</v>
      </c>
      <c r="H288" s="27">
        <f>F288*AO288</f>
        <v>0</v>
      </c>
      <c r="I288" s="27">
        <f>F288*AP288</f>
        <v>0</v>
      </c>
      <c r="J288" s="27">
        <f>F288*G288</f>
        <v>0</v>
      </c>
      <c r="K288" s="29" t="s">
        <v>57</v>
      </c>
      <c r="Z288" s="30">
        <f>IF(AQ288="5",BJ288,0)</f>
        <v>0</v>
      </c>
      <c r="AB288" s="30">
        <f>IF(AQ288="1",BH288,0)</f>
        <v>0</v>
      </c>
      <c r="AC288" s="30">
        <f>IF(AQ288="1",BI288,0)</f>
        <v>0</v>
      </c>
      <c r="AD288" s="30">
        <f>IF(AQ288="7",BH288,0)</f>
        <v>0</v>
      </c>
      <c r="AE288" s="30">
        <f>IF(AQ288="7",BI288,0)</f>
        <v>0</v>
      </c>
      <c r="AF288" s="30">
        <f>IF(AQ288="2",BH288,0)</f>
        <v>0</v>
      </c>
      <c r="AG288" s="30">
        <f>IF(AQ288="2",BI288,0)</f>
        <v>0</v>
      </c>
      <c r="AH288" s="30">
        <f>IF(AQ288="0",BJ288,0)</f>
        <v>0</v>
      </c>
      <c r="AI288" s="10" t="s">
        <v>50</v>
      </c>
      <c r="AJ288" s="30">
        <f>IF(AN288=0,J288,0)</f>
        <v>0</v>
      </c>
      <c r="AK288" s="30">
        <f>IF(AN288=12,J288,0)</f>
        <v>0</v>
      </c>
      <c r="AL288" s="30">
        <f>IF(AN288=21,J288,0)</f>
        <v>0</v>
      </c>
      <c r="AN288" s="30">
        <v>12</v>
      </c>
      <c r="AO288" s="30">
        <f>G288*0.41517761</f>
        <v>0</v>
      </c>
      <c r="AP288" s="30">
        <f>G288*(1-0.41517761)</f>
        <v>0</v>
      </c>
      <c r="AQ288" s="31" t="s">
        <v>61</v>
      </c>
      <c r="AV288" s="30">
        <f>AW288+AX288</f>
        <v>0</v>
      </c>
      <c r="AW288" s="30">
        <f>F288*AO288</f>
        <v>0</v>
      </c>
      <c r="AX288" s="30">
        <f>F288*AP288</f>
        <v>0</v>
      </c>
      <c r="AY288" s="31" t="s">
        <v>807</v>
      </c>
      <c r="AZ288" s="31" t="s">
        <v>693</v>
      </c>
      <c r="BA288" s="10" t="s">
        <v>60</v>
      </c>
      <c r="BC288" s="30">
        <f>AW288+AX288</f>
        <v>0</v>
      </c>
      <c r="BD288" s="30">
        <f>G288/(100-BE288)*100</f>
        <v>0</v>
      </c>
      <c r="BE288" s="30">
        <v>0</v>
      </c>
      <c r="BF288" s="30">
        <f>288</f>
        <v>288</v>
      </c>
      <c r="BH288" s="30">
        <f>F288*AO288</f>
        <v>0</v>
      </c>
      <c r="BI288" s="30">
        <f>F288*AP288</f>
        <v>0</v>
      </c>
      <c r="BJ288" s="30">
        <f>F288*G288</f>
        <v>0</v>
      </c>
      <c r="BK288" s="30"/>
      <c r="BL288" s="30"/>
      <c r="BW288" s="30">
        <v>12</v>
      </c>
      <c r="BX288" s="4" t="s">
        <v>811</v>
      </c>
    </row>
    <row r="289" spans="1:76" ht="13.5" customHeight="1" x14ac:dyDescent="0.25">
      <c r="A289" s="37"/>
      <c r="B289" s="38" t="s">
        <v>68</v>
      </c>
      <c r="C289" s="127" t="s">
        <v>812</v>
      </c>
      <c r="D289" s="128"/>
      <c r="E289" s="128"/>
      <c r="F289" s="128"/>
      <c r="G289" s="129"/>
      <c r="H289" s="128"/>
      <c r="I289" s="128"/>
      <c r="J289" s="128"/>
      <c r="K289" s="130"/>
    </row>
    <row r="290" spans="1:76" x14ac:dyDescent="0.25">
      <c r="A290" s="25" t="s">
        <v>813</v>
      </c>
      <c r="B290" s="26" t="s">
        <v>814</v>
      </c>
      <c r="C290" s="123" t="s">
        <v>815</v>
      </c>
      <c r="D290" s="124"/>
      <c r="E290" s="26" t="s">
        <v>80</v>
      </c>
      <c r="F290" s="27">
        <v>200</v>
      </c>
      <c r="G290" s="28">
        <v>0</v>
      </c>
      <c r="H290" s="27">
        <f>F290*AO290</f>
        <v>0</v>
      </c>
      <c r="I290" s="27">
        <f>F290*AP290</f>
        <v>0</v>
      </c>
      <c r="J290" s="27">
        <f>F290*G290</f>
        <v>0</v>
      </c>
      <c r="K290" s="29" t="s">
        <v>57</v>
      </c>
      <c r="Z290" s="30">
        <f>IF(AQ290="5",BJ290,0)</f>
        <v>0</v>
      </c>
      <c r="AB290" s="30">
        <f>IF(AQ290="1",BH290,0)</f>
        <v>0</v>
      </c>
      <c r="AC290" s="30">
        <f>IF(AQ290="1",BI290,0)</f>
        <v>0</v>
      </c>
      <c r="AD290" s="30">
        <f>IF(AQ290="7",BH290,0)</f>
        <v>0</v>
      </c>
      <c r="AE290" s="30">
        <f>IF(AQ290="7",BI290,0)</f>
        <v>0</v>
      </c>
      <c r="AF290" s="30">
        <f>IF(AQ290="2",BH290,0)</f>
        <v>0</v>
      </c>
      <c r="AG290" s="30">
        <f>IF(AQ290="2",BI290,0)</f>
        <v>0</v>
      </c>
      <c r="AH290" s="30">
        <f>IF(AQ290="0",BJ290,0)</f>
        <v>0</v>
      </c>
      <c r="AI290" s="10" t="s">
        <v>50</v>
      </c>
      <c r="AJ290" s="30">
        <f>IF(AN290=0,J290,0)</f>
        <v>0</v>
      </c>
      <c r="AK290" s="30">
        <f>IF(AN290=12,J290,0)</f>
        <v>0</v>
      </c>
      <c r="AL290" s="30">
        <f>IF(AN290=21,J290,0)</f>
        <v>0</v>
      </c>
      <c r="AN290" s="30">
        <v>12</v>
      </c>
      <c r="AO290" s="30">
        <f>G290*0.315471698</f>
        <v>0</v>
      </c>
      <c r="AP290" s="30">
        <f>G290*(1-0.315471698)</f>
        <v>0</v>
      </c>
      <c r="AQ290" s="31" t="s">
        <v>61</v>
      </c>
      <c r="AV290" s="30">
        <f>AW290+AX290</f>
        <v>0</v>
      </c>
      <c r="AW290" s="30">
        <f>F290*AO290</f>
        <v>0</v>
      </c>
      <c r="AX290" s="30">
        <f>F290*AP290</f>
        <v>0</v>
      </c>
      <c r="AY290" s="31" t="s">
        <v>807</v>
      </c>
      <c r="AZ290" s="31" t="s">
        <v>693</v>
      </c>
      <c r="BA290" s="10" t="s">
        <v>60</v>
      </c>
      <c r="BC290" s="30">
        <f>AW290+AX290</f>
        <v>0</v>
      </c>
      <c r="BD290" s="30">
        <f>G290/(100-BE290)*100</f>
        <v>0</v>
      </c>
      <c r="BE290" s="30">
        <v>0</v>
      </c>
      <c r="BF290" s="30">
        <f>290</f>
        <v>290</v>
      </c>
      <c r="BH290" s="30">
        <f>F290*AO290</f>
        <v>0</v>
      </c>
      <c r="BI290" s="30">
        <f>F290*AP290</f>
        <v>0</v>
      </c>
      <c r="BJ290" s="30">
        <f>F290*G290</f>
        <v>0</v>
      </c>
      <c r="BK290" s="30"/>
      <c r="BL290" s="30"/>
      <c r="BW290" s="30">
        <v>12</v>
      </c>
      <c r="BX290" s="4" t="s">
        <v>815</v>
      </c>
    </row>
    <row r="291" spans="1:76" ht="13.5" customHeight="1" x14ac:dyDescent="0.25">
      <c r="A291" s="37"/>
      <c r="B291" s="38" t="s">
        <v>68</v>
      </c>
      <c r="C291" s="127" t="s">
        <v>816</v>
      </c>
      <c r="D291" s="128"/>
      <c r="E291" s="128"/>
      <c r="F291" s="128"/>
      <c r="G291" s="129"/>
      <c r="H291" s="128"/>
      <c r="I291" s="128"/>
      <c r="J291" s="128"/>
      <c r="K291" s="130"/>
    </row>
    <row r="292" spans="1:76" x14ac:dyDescent="0.25">
      <c r="A292" s="25" t="s">
        <v>817</v>
      </c>
      <c r="B292" s="26" t="s">
        <v>818</v>
      </c>
      <c r="C292" s="123" t="s">
        <v>819</v>
      </c>
      <c r="D292" s="124"/>
      <c r="E292" s="26" t="s">
        <v>80</v>
      </c>
      <c r="F292" s="27">
        <v>150</v>
      </c>
      <c r="G292" s="28">
        <v>0</v>
      </c>
      <c r="H292" s="27">
        <f>F292*AO292</f>
        <v>0</v>
      </c>
      <c r="I292" s="27">
        <f>F292*AP292</f>
        <v>0</v>
      </c>
      <c r="J292" s="27">
        <f>F292*G292</f>
        <v>0</v>
      </c>
      <c r="K292" s="29" t="s">
        <v>57</v>
      </c>
      <c r="Z292" s="30">
        <f>IF(AQ292="5",BJ292,0)</f>
        <v>0</v>
      </c>
      <c r="AB292" s="30">
        <f>IF(AQ292="1",BH292,0)</f>
        <v>0</v>
      </c>
      <c r="AC292" s="30">
        <f>IF(AQ292="1",BI292,0)</f>
        <v>0</v>
      </c>
      <c r="AD292" s="30">
        <f>IF(AQ292="7",BH292,0)</f>
        <v>0</v>
      </c>
      <c r="AE292" s="30">
        <f>IF(AQ292="7",BI292,0)</f>
        <v>0</v>
      </c>
      <c r="AF292" s="30">
        <f>IF(AQ292="2",BH292,0)</f>
        <v>0</v>
      </c>
      <c r="AG292" s="30">
        <f>IF(AQ292="2",BI292,0)</f>
        <v>0</v>
      </c>
      <c r="AH292" s="30">
        <f>IF(AQ292="0",BJ292,0)</f>
        <v>0</v>
      </c>
      <c r="AI292" s="10" t="s">
        <v>50</v>
      </c>
      <c r="AJ292" s="30">
        <f>IF(AN292=0,J292,0)</f>
        <v>0</v>
      </c>
      <c r="AK292" s="30">
        <f>IF(AN292=12,J292,0)</f>
        <v>0</v>
      </c>
      <c r="AL292" s="30">
        <f>IF(AN292=21,J292,0)</f>
        <v>0</v>
      </c>
      <c r="AN292" s="30">
        <v>12</v>
      </c>
      <c r="AO292" s="30">
        <f>G292*0.225783476</f>
        <v>0</v>
      </c>
      <c r="AP292" s="30">
        <f>G292*(1-0.225783476)</f>
        <v>0</v>
      </c>
      <c r="AQ292" s="31" t="s">
        <v>61</v>
      </c>
      <c r="AV292" s="30">
        <f>AW292+AX292</f>
        <v>0</v>
      </c>
      <c r="AW292" s="30">
        <f>F292*AO292</f>
        <v>0</v>
      </c>
      <c r="AX292" s="30">
        <f>F292*AP292</f>
        <v>0</v>
      </c>
      <c r="AY292" s="31" t="s">
        <v>807</v>
      </c>
      <c r="AZ292" s="31" t="s">
        <v>693</v>
      </c>
      <c r="BA292" s="10" t="s">
        <v>60</v>
      </c>
      <c r="BC292" s="30">
        <f>AW292+AX292</f>
        <v>0</v>
      </c>
      <c r="BD292" s="30">
        <f>G292/(100-BE292)*100</f>
        <v>0</v>
      </c>
      <c r="BE292" s="30">
        <v>0</v>
      </c>
      <c r="BF292" s="30">
        <f>292</f>
        <v>292</v>
      </c>
      <c r="BH292" s="30">
        <f>F292*AO292</f>
        <v>0</v>
      </c>
      <c r="BI292" s="30">
        <f>F292*AP292</f>
        <v>0</v>
      </c>
      <c r="BJ292" s="30">
        <f>F292*G292</f>
        <v>0</v>
      </c>
      <c r="BK292" s="30"/>
      <c r="BL292" s="30"/>
      <c r="BW292" s="30">
        <v>12</v>
      </c>
      <c r="BX292" s="4" t="s">
        <v>819</v>
      </c>
    </row>
    <row r="293" spans="1:76" ht="13.5" customHeight="1" x14ac:dyDescent="0.25">
      <c r="A293" s="37"/>
      <c r="B293" s="38" t="s">
        <v>68</v>
      </c>
      <c r="C293" s="127" t="s">
        <v>820</v>
      </c>
      <c r="D293" s="128"/>
      <c r="E293" s="128"/>
      <c r="F293" s="128"/>
      <c r="G293" s="129"/>
      <c r="H293" s="128"/>
      <c r="I293" s="128"/>
      <c r="J293" s="128"/>
      <c r="K293" s="130"/>
    </row>
    <row r="294" spans="1:76" x14ac:dyDescent="0.25">
      <c r="A294" s="25" t="s">
        <v>821</v>
      </c>
      <c r="B294" s="26" t="s">
        <v>822</v>
      </c>
      <c r="C294" s="123" t="s">
        <v>823</v>
      </c>
      <c r="D294" s="124"/>
      <c r="E294" s="26" t="s">
        <v>80</v>
      </c>
      <c r="F294" s="27">
        <v>50</v>
      </c>
      <c r="G294" s="28">
        <v>0</v>
      </c>
      <c r="H294" s="27">
        <f>F294*AO294</f>
        <v>0</v>
      </c>
      <c r="I294" s="27">
        <f>F294*AP294</f>
        <v>0</v>
      </c>
      <c r="J294" s="27">
        <f>F294*G294</f>
        <v>0</v>
      </c>
      <c r="K294" s="29" t="s">
        <v>57</v>
      </c>
      <c r="Z294" s="30">
        <f>IF(AQ294="5",BJ294,0)</f>
        <v>0</v>
      </c>
      <c r="AB294" s="30">
        <f>IF(AQ294="1",BH294,0)</f>
        <v>0</v>
      </c>
      <c r="AC294" s="30">
        <f>IF(AQ294="1",BI294,0)</f>
        <v>0</v>
      </c>
      <c r="AD294" s="30">
        <f>IF(AQ294="7",BH294,0)</f>
        <v>0</v>
      </c>
      <c r="AE294" s="30">
        <f>IF(AQ294="7",BI294,0)</f>
        <v>0</v>
      </c>
      <c r="AF294" s="30">
        <f>IF(AQ294="2",BH294,0)</f>
        <v>0</v>
      </c>
      <c r="AG294" s="30">
        <f>IF(AQ294="2",BI294,0)</f>
        <v>0</v>
      </c>
      <c r="AH294" s="30">
        <f>IF(AQ294="0",BJ294,0)</f>
        <v>0</v>
      </c>
      <c r="AI294" s="10" t="s">
        <v>50</v>
      </c>
      <c r="AJ294" s="30">
        <f>IF(AN294=0,J294,0)</f>
        <v>0</v>
      </c>
      <c r="AK294" s="30">
        <f>IF(AN294=12,J294,0)</f>
        <v>0</v>
      </c>
      <c r="AL294" s="30">
        <f>IF(AN294=21,J294,0)</f>
        <v>0</v>
      </c>
      <c r="AN294" s="30">
        <v>12</v>
      </c>
      <c r="AO294" s="30">
        <f>G294*0.316100629</f>
        <v>0</v>
      </c>
      <c r="AP294" s="30">
        <f>G294*(1-0.316100629)</f>
        <v>0</v>
      </c>
      <c r="AQ294" s="31" t="s">
        <v>61</v>
      </c>
      <c r="AV294" s="30">
        <f>AW294+AX294</f>
        <v>0</v>
      </c>
      <c r="AW294" s="30">
        <f>F294*AO294</f>
        <v>0</v>
      </c>
      <c r="AX294" s="30">
        <f>F294*AP294</f>
        <v>0</v>
      </c>
      <c r="AY294" s="31" t="s">
        <v>807</v>
      </c>
      <c r="AZ294" s="31" t="s">
        <v>693</v>
      </c>
      <c r="BA294" s="10" t="s">
        <v>60</v>
      </c>
      <c r="BC294" s="30">
        <f>AW294+AX294</f>
        <v>0</v>
      </c>
      <c r="BD294" s="30">
        <f>G294/(100-BE294)*100</f>
        <v>0</v>
      </c>
      <c r="BE294" s="30">
        <v>0</v>
      </c>
      <c r="BF294" s="30">
        <f>294</f>
        <v>294</v>
      </c>
      <c r="BH294" s="30">
        <f>F294*AO294</f>
        <v>0</v>
      </c>
      <c r="BI294" s="30">
        <f>F294*AP294</f>
        <v>0</v>
      </c>
      <c r="BJ294" s="30">
        <f>F294*G294</f>
        <v>0</v>
      </c>
      <c r="BK294" s="30"/>
      <c r="BL294" s="30"/>
      <c r="BW294" s="30">
        <v>12</v>
      </c>
      <c r="BX294" s="4" t="s">
        <v>823</v>
      </c>
    </row>
    <row r="295" spans="1:76" ht="13.5" customHeight="1" x14ac:dyDescent="0.25">
      <c r="A295" s="37"/>
      <c r="B295" s="38" t="s">
        <v>68</v>
      </c>
      <c r="C295" s="127" t="s">
        <v>824</v>
      </c>
      <c r="D295" s="128"/>
      <c r="E295" s="128"/>
      <c r="F295" s="128"/>
      <c r="G295" s="129"/>
      <c r="H295" s="128"/>
      <c r="I295" s="128"/>
      <c r="J295" s="128"/>
      <c r="K295" s="130"/>
    </row>
    <row r="296" spans="1:76" x14ac:dyDescent="0.25">
      <c r="A296" s="25" t="s">
        <v>825</v>
      </c>
      <c r="B296" s="26" t="s">
        <v>826</v>
      </c>
      <c r="C296" s="123" t="s">
        <v>827</v>
      </c>
      <c r="D296" s="124"/>
      <c r="E296" s="26" t="s">
        <v>80</v>
      </c>
      <c r="F296" s="27">
        <v>25</v>
      </c>
      <c r="G296" s="28">
        <v>0</v>
      </c>
      <c r="H296" s="27">
        <f>F296*AO296</f>
        <v>0</v>
      </c>
      <c r="I296" s="27">
        <f>F296*AP296</f>
        <v>0</v>
      </c>
      <c r="J296" s="27">
        <f>F296*G296</f>
        <v>0</v>
      </c>
      <c r="K296" s="29" t="s">
        <v>57</v>
      </c>
      <c r="Z296" s="30">
        <f>IF(AQ296="5",BJ296,0)</f>
        <v>0</v>
      </c>
      <c r="AB296" s="30">
        <f>IF(AQ296="1",BH296,0)</f>
        <v>0</v>
      </c>
      <c r="AC296" s="30">
        <f>IF(AQ296="1",BI296,0)</f>
        <v>0</v>
      </c>
      <c r="AD296" s="30">
        <f>IF(AQ296="7",BH296,0)</f>
        <v>0</v>
      </c>
      <c r="AE296" s="30">
        <f>IF(AQ296="7",BI296,0)</f>
        <v>0</v>
      </c>
      <c r="AF296" s="30">
        <f>IF(AQ296="2",BH296,0)</f>
        <v>0</v>
      </c>
      <c r="AG296" s="30">
        <f>IF(AQ296="2",BI296,0)</f>
        <v>0</v>
      </c>
      <c r="AH296" s="30">
        <f>IF(AQ296="0",BJ296,0)</f>
        <v>0</v>
      </c>
      <c r="AI296" s="10" t="s">
        <v>50</v>
      </c>
      <c r="AJ296" s="30">
        <f>IF(AN296=0,J296,0)</f>
        <v>0</v>
      </c>
      <c r="AK296" s="30">
        <f>IF(AN296=12,J296,0)</f>
        <v>0</v>
      </c>
      <c r="AL296" s="30">
        <f>IF(AN296=21,J296,0)</f>
        <v>0</v>
      </c>
      <c r="AN296" s="30">
        <v>12</v>
      </c>
      <c r="AO296" s="30">
        <f>G296*0</f>
        <v>0</v>
      </c>
      <c r="AP296" s="30">
        <f>G296*(1-0)</f>
        <v>0</v>
      </c>
      <c r="AQ296" s="31" t="s">
        <v>61</v>
      </c>
      <c r="AV296" s="30">
        <f>AW296+AX296</f>
        <v>0</v>
      </c>
      <c r="AW296" s="30">
        <f>F296*AO296</f>
        <v>0</v>
      </c>
      <c r="AX296" s="30">
        <f>F296*AP296</f>
        <v>0</v>
      </c>
      <c r="AY296" s="31" t="s">
        <v>807</v>
      </c>
      <c r="AZ296" s="31" t="s">
        <v>693</v>
      </c>
      <c r="BA296" s="10" t="s">
        <v>60</v>
      </c>
      <c r="BC296" s="30">
        <f>AW296+AX296</f>
        <v>0</v>
      </c>
      <c r="BD296" s="30">
        <f>G296/(100-BE296)*100</f>
        <v>0</v>
      </c>
      <c r="BE296" s="30">
        <v>0</v>
      </c>
      <c r="BF296" s="30">
        <f>296</f>
        <v>296</v>
      </c>
      <c r="BH296" s="30">
        <f>F296*AO296</f>
        <v>0</v>
      </c>
      <c r="BI296" s="30">
        <f>F296*AP296</f>
        <v>0</v>
      </c>
      <c r="BJ296" s="30">
        <f>F296*G296</f>
        <v>0</v>
      </c>
      <c r="BK296" s="30"/>
      <c r="BL296" s="30"/>
      <c r="BW296" s="30">
        <v>12</v>
      </c>
      <c r="BX296" s="4" t="s">
        <v>827</v>
      </c>
    </row>
    <row r="297" spans="1:76" ht="13.5" customHeight="1" x14ac:dyDescent="0.25">
      <c r="A297" s="37"/>
      <c r="B297" s="38" t="s">
        <v>68</v>
      </c>
      <c r="C297" s="127" t="s">
        <v>828</v>
      </c>
      <c r="D297" s="128"/>
      <c r="E297" s="128"/>
      <c r="F297" s="128"/>
      <c r="G297" s="129"/>
      <c r="H297" s="128"/>
      <c r="I297" s="128"/>
      <c r="J297" s="128"/>
      <c r="K297" s="130"/>
    </row>
    <row r="298" spans="1:76" x14ac:dyDescent="0.25">
      <c r="A298" s="25" t="s">
        <v>829</v>
      </c>
      <c r="B298" s="26" t="s">
        <v>830</v>
      </c>
      <c r="C298" s="123" t="s">
        <v>831</v>
      </c>
      <c r="D298" s="124"/>
      <c r="E298" s="26" t="s">
        <v>80</v>
      </c>
      <c r="F298" s="27">
        <v>2.5</v>
      </c>
      <c r="G298" s="28">
        <v>0</v>
      </c>
      <c r="H298" s="27">
        <f>F298*AO298</f>
        <v>0</v>
      </c>
      <c r="I298" s="27">
        <f>F298*AP298</f>
        <v>0</v>
      </c>
      <c r="J298" s="27">
        <f>F298*G298</f>
        <v>0</v>
      </c>
      <c r="K298" s="29" t="s">
        <v>57</v>
      </c>
      <c r="Z298" s="30">
        <f>IF(AQ298="5",BJ298,0)</f>
        <v>0</v>
      </c>
      <c r="AB298" s="30">
        <f>IF(AQ298="1",BH298,0)</f>
        <v>0</v>
      </c>
      <c r="AC298" s="30">
        <f>IF(AQ298="1",BI298,0)</f>
        <v>0</v>
      </c>
      <c r="AD298" s="30">
        <f>IF(AQ298="7",BH298,0)</f>
        <v>0</v>
      </c>
      <c r="AE298" s="30">
        <f>IF(AQ298="7",BI298,0)</f>
        <v>0</v>
      </c>
      <c r="AF298" s="30">
        <f>IF(AQ298="2",BH298,0)</f>
        <v>0</v>
      </c>
      <c r="AG298" s="30">
        <f>IF(AQ298="2",BI298,0)</f>
        <v>0</v>
      </c>
      <c r="AH298" s="30">
        <f>IF(AQ298="0",BJ298,0)</f>
        <v>0</v>
      </c>
      <c r="AI298" s="10" t="s">
        <v>50</v>
      </c>
      <c r="AJ298" s="30">
        <f>IF(AN298=0,J298,0)</f>
        <v>0</v>
      </c>
      <c r="AK298" s="30">
        <f>IF(AN298=12,J298,0)</f>
        <v>0</v>
      </c>
      <c r="AL298" s="30">
        <f>IF(AN298=21,J298,0)</f>
        <v>0</v>
      </c>
      <c r="AN298" s="30">
        <v>12</v>
      </c>
      <c r="AO298" s="30">
        <f>G298*0.782058229</f>
        <v>0</v>
      </c>
      <c r="AP298" s="30">
        <f>G298*(1-0.782058229)</f>
        <v>0</v>
      </c>
      <c r="AQ298" s="31" t="s">
        <v>61</v>
      </c>
      <c r="AV298" s="30">
        <f>AW298+AX298</f>
        <v>0</v>
      </c>
      <c r="AW298" s="30">
        <f>F298*AO298</f>
        <v>0</v>
      </c>
      <c r="AX298" s="30">
        <f>F298*AP298</f>
        <v>0</v>
      </c>
      <c r="AY298" s="31" t="s">
        <v>807</v>
      </c>
      <c r="AZ298" s="31" t="s">
        <v>693</v>
      </c>
      <c r="BA298" s="10" t="s">
        <v>60</v>
      </c>
      <c r="BC298" s="30">
        <f>AW298+AX298</f>
        <v>0</v>
      </c>
      <c r="BD298" s="30">
        <f>G298/(100-BE298)*100</f>
        <v>0</v>
      </c>
      <c r="BE298" s="30">
        <v>0</v>
      </c>
      <c r="BF298" s="30">
        <f>298</f>
        <v>298</v>
      </c>
      <c r="BH298" s="30">
        <f>F298*AO298</f>
        <v>0</v>
      </c>
      <c r="BI298" s="30">
        <f>F298*AP298</f>
        <v>0</v>
      </c>
      <c r="BJ298" s="30">
        <f>F298*G298</f>
        <v>0</v>
      </c>
      <c r="BK298" s="30"/>
      <c r="BL298" s="30"/>
      <c r="BW298" s="30">
        <v>12</v>
      </c>
      <c r="BX298" s="4" t="s">
        <v>831</v>
      </c>
    </row>
    <row r="299" spans="1:76" ht="13.5" customHeight="1" x14ac:dyDescent="0.25">
      <c r="A299" s="37"/>
      <c r="B299" s="38" t="s">
        <v>68</v>
      </c>
      <c r="C299" s="127" t="s">
        <v>832</v>
      </c>
      <c r="D299" s="128"/>
      <c r="E299" s="128"/>
      <c r="F299" s="128"/>
      <c r="G299" s="129"/>
      <c r="H299" s="128"/>
      <c r="I299" s="128"/>
      <c r="J299" s="128"/>
      <c r="K299" s="130"/>
    </row>
    <row r="300" spans="1:76" x14ac:dyDescent="0.25">
      <c r="A300" s="25" t="s">
        <v>833</v>
      </c>
      <c r="B300" s="26" t="s">
        <v>834</v>
      </c>
      <c r="C300" s="123" t="s">
        <v>835</v>
      </c>
      <c r="D300" s="124"/>
      <c r="E300" s="26" t="s">
        <v>80</v>
      </c>
      <c r="F300" s="27">
        <v>30</v>
      </c>
      <c r="G300" s="28">
        <v>0</v>
      </c>
      <c r="H300" s="27">
        <f>F300*AO300</f>
        <v>0</v>
      </c>
      <c r="I300" s="27">
        <f>F300*AP300</f>
        <v>0</v>
      </c>
      <c r="J300" s="27">
        <f>F300*G300</f>
        <v>0</v>
      </c>
      <c r="K300" s="29" t="s">
        <v>57</v>
      </c>
      <c r="Z300" s="30">
        <f>IF(AQ300="5",BJ300,0)</f>
        <v>0</v>
      </c>
      <c r="AB300" s="30">
        <f>IF(AQ300="1",BH300,0)</f>
        <v>0</v>
      </c>
      <c r="AC300" s="30">
        <f>IF(AQ300="1",BI300,0)</f>
        <v>0</v>
      </c>
      <c r="AD300" s="30">
        <f>IF(AQ300="7",BH300,0)</f>
        <v>0</v>
      </c>
      <c r="AE300" s="30">
        <f>IF(AQ300="7",BI300,0)</f>
        <v>0</v>
      </c>
      <c r="AF300" s="30">
        <f>IF(AQ300="2",BH300,0)</f>
        <v>0</v>
      </c>
      <c r="AG300" s="30">
        <f>IF(AQ300="2",BI300,0)</f>
        <v>0</v>
      </c>
      <c r="AH300" s="30">
        <f>IF(AQ300="0",BJ300,0)</f>
        <v>0</v>
      </c>
      <c r="AI300" s="10" t="s">
        <v>50</v>
      </c>
      <c r="AJ300" s="30">
        <f>IF(AN300=0,J300,0)</f>
        <v>0</v>
      </c>
      <c r="AK300" s="30">
        <f>IF(AN300=12,J300,0)</f>
        <v>0</v>
      </c>
      <c r="AL300" s="30">
        <f>IF(AN300=21,J300,0)</f>
        <v>0</v>
      </c>
      <c r="AN300" s="30">
        <v>12</v>
      </c>
      <c r="AO300" s="30">
        <f>G300*0.387610313</f>
        <v>0</v>
      </c>
      <c r="AP300" s="30">
        <f>G300*(1-0.387610313)</f>
        <v>0</v>
      </c>
      <c r="AQ300" s="31" t="s">
        <v>61</v>
      </c>
      <c r="AV300" s="30">
        <f>AW300+AX300</f>
        <v>0</v>
      </c>
      <c r="AW300" s="30">
        <f>F300*AO300</f>
        <v>0</v>
      </c>
      <c r="AX300" s="30">
        <f>F300*AP300</f>
        <v>0</v>
      </c>
      <c r="AY300" s="31" t="s">
        <v>807</v>
      </c>
      <c r="AZ300" s="31" t="s">
        <v>693</v>
      </c>
      <c r="BA300" s="10" t="s">
        <v>60</v>
      </c>
      <c r="BC300" s="30">
        <f>AW300+AX300</f>
        <v>0</v>
      </c>
      <c r="BD300" s="30">
        <f>G300/(100-BE300)*100</f>
        <v>0</v>
      </c>
      <c r="BE300" s="30">
        <v>0</v>
      </c>
      <c r="BF300" s="30">
        <f>300</f>
        <v>300</v>
      </c>
      <c r="BH300" s="30">
        <f>F300*AO300</f>
        <v>0</v>
      </c>
      <c r="BI300" s="30">
        <f>F300*AP300</f>
        <v>0</v>
      </c>
      <c r="BJ300" s="30">
        <f>F300*G300</f>
        <v>0</v>
      </c>
      <c r="BK300" s="30"/>
      <c r="BL300" s="30"/>
      <c r="BW300" s="30">
        <v>12</v>
      </c>
      <c r="BX300" s="4" t="s">
        <v>835</v>
      </c>
    </row>
    <row r="301" spans="1:76" ht="13.5" customHeight="1" x14ac:dyDescent="0.25">
      <c r="A301" s="37"/>
      <c r="B301" s="38" t="s">
        <v>68</v>
      </c>
      <c r="C301" s="127" t="s">
        <v>836</v>
      </c>
      <c r="D301" s="128"/>
      <c r="E301" s="128"/>
      <c r="F301" s="128"/>
      <c r="G301" s="129"/>
      <c r="H301" s="128"/>
      <c r="I301" s="128"/>
      <c r="J301" s="128"/>
      <c r="K301" s="130"/>
    </row>
    <row r="302" spans="1:76" x14ac:dyDescent="0.25">
      <c r="A302" s="25" t="s">
        <v>837</v>
      </c>
      <c r="B302" s="26" t="s">
        <v>838</v>
      </c>
      <c r="C302" s="123" t="s">
        <v>839</v>
      </c>
      <c r="D302" s="124"/>
      <c r="E302" s="26" t="s">
        <v>80</v>
      </c>
      <c r="F302" s="27">
        <v>50</v>
      </c>
      <c r="G302" s="28">
        <v>0</v>
      </c>
      <c r="H302" s="27">
        <f>F302*AO302</f>
        <v>0</v>
      </c>
      <c r="I302" s="27">
        <f>F302*AP302</f>
        <v>0</v>
      </c>
      <c r="J302" s="27">
        <f>F302*G302</f>
        <v>0</v>
      </c>
      <c r="K302" s="29" t="s">
        <v>57</v>
      </c>
      <c r="Z302" s="30">
        <f>IF(AQ302="5",BJ302,0)</f>
        <v>0</v>
      </c>
      <c r="AB302" s="30">
        <f>IF(AQ302="1",BH302,0)</f>
        <v>0</v>
      </c>
      <c r="AC302" s="30">
        <f>IF(AQ302="1",BI302,0)</f>
        <v>0</v>
      </c>
      <c r="AD302" s="30">
        <f>IF(AQ302="7",BH302,0)</f>
        <v>0</v>
      </c>
      <c r="AE302" s="30">
        <f>IF(AQ302="7",BI302,0)</f>
        <v>0</v>
      </c>
      <c r="AF302" s="30">
        <f>IF(AQ302="2",BH302,0)</f>
        <v>0</v>
      </c>
      <c r="AG302" s="30">
        <f>IF(AQ302="2",BI302,0)</f>
        <v>0</v>
      </c>
      <c r="AH302" s="30">
        <f>IF(AQ302="0",BJ302,0)</f>
        <v>0</v>
      </c>
      <c r="AI302" s="10" t="s">
        <v>50</v>
      </c>
      <c r="AJ302" s="30">
        <f>IF(AN302=0,J302,0)</f>
        <v>0</v>
      </c>
      <c r="AK302" s="30">
        <f>IF(AN302=12,J302,0)</f>
        <v>0</v>
      </c>
      <c r="AL302" s="30">
        <f>IF(AN302=21,J302,0)</f>
        <v>0</v>
      </c>
      <c r="AN302" s="30">
        <v>12</v>
      </c>
      <c r="AO302" s="30">
        <f>G302*0.447290333</f>
        <v>0</v>
      </c>
      <c r="AP302" s="30">
        <f>G302*(1-0.447290333)</f>
        <v>0</v>
      </c>
      <c r="AQ302" s="31" t="s">
        <v>61</v>
      </c>
      <c r="AV302" s="30">
        <f>AW302+AX302</f>
        <v>0</v>
      </c>
      <c r="AW302" s="30">
        <f>F302*AO302</f>
        <v>0</v>
      </c>
      <c r="AX302" s="30">
        <f>F302*AP302</f>
        <v>0</v>
      </c>
      <c r="AY302" s="31" t="s">
        <v>807</v>
      </c>
      <c r="AZ302" s="31" t="s">
        <v>693</v>
      </c>
      <c r="BA302" s="10" t="s">
        <v>60</v>
      </c>
      <c r="BC302" s="30">
        <f>AW302+AX302</f>
        <v>0</v>
      </c>
      <c r="BD302" s="30">
        <f>G302/(100-BE302)*100</f>
        <v>0</v>
      </c>
      <c r="BE302" s="30">
        <v>0</v>
      </c>
      <c r="BF302" s="30">
        <f>302</f>
        <v>302</v>
      </c>
      <c r="BH302" s="30">
        <f>F302*AO302</f>
        <v>0</v>
      </c>
      <c r="BI302" s="30">
        <f>F302*AP302</f>
        <v>0</v>
      </c>
      <c r="BJ302" s="30">
        <f>F302*G302</f>
        <v>0</v>
      </c>
      <c r="BK302" s="30"/>
      <c r="BL302" s="30"/>
      <c r="BW302" s="30">
        <v>12</v>
      </c>
      <c r="BX302" s="4" t="s">
        <v>839</v>
      </c>
    </row>
    <row r="303" spans="1:76" ht="13.5" customHeight="1" x14ac:dyDescent="0.25">
      <c r="A303" s="37"/>
      <c r="B303" s="38" t="s">
        <v>68</v>
      </c>
      <c r="C303" s="127" t="s">
        <v>840</v>
      </c>
      <c r="D303" s="128"/>
      <c r="E303" s="128"/>
      <c r="F303" s="128"/>
      <c r="G303" s="129"/>
      <c r="H303" s="128"/>
      <c r="I303" s="128"/>
      <c r="J303" s="128"/>
      <c r="K303" s="130"/>
    </row>
    <row r="304" spans="1:76" x14ac:dyDescent="0.25">
      <c r="A304" s="25" t="s">
        <v>841</v>
      </c>
      <c r="B304" s="26" t="s">
        <v>842</v>
      </c>
      <c r="C304" s="123" t="s">
        <v>843</v>
      </c>
      <c r="D304" s="124"/>
      <c r="E304" s="26" t="s">
        <v>80</v>
      </c>
      <c r="F304" s="27">
        <v>10</v>
      </c>
      <c r="G304" s="28">
        <v>0</v>
      </c>
      <c r="H304" s="27">
        <f>F304*AO304</f>
        <v>0</v>
      </c>
      <c r="I304" s="27">
        <f>F304*AP304</f>
        <v>0</v>
      </c>
      <c r="J304" s="27">
        <f>F304*G304</f>
        <v>0</v>
      </c>
      <c r="K304" s="29" t="s">
        <v>57</v>
      </c>
      <c r="Z304" s="30">
        <f>IF(AQ304="5",BJ304,0)</f>
        <v>0</v>
      </c>
      <c r="AB304" s="30">
        <f>IF(AQ304="1",BH304,0)</f>
        <v>0</v>
      </c>
      <c r="AC304" s="30">
        <f>IF(AQ304="1",BI304,0)</f>
        <v>0</v>
      </c>
      <c r="AD304" s="30">
        <f>IF(AQ304="7",BH304,0)</f>
        <v>0</v>
      </c>
      <c r="AE304" s="30">
        <f>IF(AQ304="7",BI304,0)</f>
        <v>0</v>
      </c>
      <c r="AF304" s="30">
        <f>IF(AQ304="2",BH304,0)</f>
        <v>0</v>
      </c>
      <c r="AG304" s="30">
        <f>IF(AQ304="2",BI304,0)</f>
        <v>0</v>
      </c>
      <c r="AH304" s="30">
        <f>IF(AQ304="0",BJ304,0)</f>
        <v>0</v>
      </c>
      <c r="AI304" s="10" t="s">
        <v>50</v>
      </c>
      <c r="AJ304" s="30">
        <f>IF(AN304=0,J304,0)</f>
        <v>0</v>
      </c>
      <c r="AK304" s="30">
        <f>IF(AN304=12,J304,0)</f>
        <v>0</v>
      </c>
      <c r="AL304" s="30">
        <f>IF(AN304=21,J304,0)</f>
        <v>0</v>
      </c>
      <c r="AN304" s="30">
        <v>12</v>
      </c>
      <c r="AO304" s="30">
        <f>G304*0.466294677</f>
        <v>0</v>
      </c>
      <c r="AP304" s="30">
        <f>G304*(1-0.466294677)</f>
        <v>0</v>
      </c>
      <c r="AQ304" s="31" t="s">
        <v>61</v>
      </c>
      <c r="AV304" s="30">
        <f>AW304+AX304</f>
        <v>0</v>
      </c>
      <c r="AW304" s="30">
        <f>F304*AO304</f>
        <v>0</v>
      </c>
      <c r="AX304" s="30">
        <f>F304*AP304</f>
        <v>0</v>
      </c>
      <c r="AY304" s="31" t="s">
        <v>807</v>
      </c>
      <c r="AZ304" s="31" t="s">
        <v>693</v>
      </c>
      <c r="BA304" s="10" t="s">
        <v>60</v>
      </c>
      <c r="BC304" s="30">
        <f>AW304+AX304</f>
        <v>0</v>
      </c>
      <c r="BD304" s="30">
        <f>G304/(100-BE304)*100</f>
        <v>0</v>
      </c>
      <c r="BE304" s="30">
        <v>0</v>
      </c>
      <c r="BF304" s="30">
        <f>304</f>
        <v>304</v>
      </c>
      <c r="BH304" s="30">
        <f>F304*AO304</f>
        <v>0</v>
      </c>
      <c r="BI304" s="30">
        <f>F304*AP304</f>
        <v>0</v>
      </c>
      <c r="BJ304" s="30">
        <f>F304*G304</f>
        <v>0</v>
      </c>
      <c r="BK304" s="30"/>
      <c r="BL304" s="30"/>
      <c r="BW304" s="30">
        <v>12</v>
      </c>
      <c r="BX304" s="4" t="s">
        <v>843</v>
      </c>
    </row>
    <row r="305" spans="1:76" ht="13.5" customHeight="1" x14ac:dyDescent="0.25">
      <c r="A305" s="37"/>
      <c r="B305" s="38" t="s">
        <v>68</v>
      </c>
      <c r="C305" s="127" t="s">
        <v>844</v>
      </c>
      <c r="D305" s="128"/>
      <c r="E305" s="128"/>
      <c r="F305" s="128"/>
      <c r="G305" s="129"/>
      <c r="H305" s="128"/>
      <c r="I305" s="128"/>
      <c r="J305" s="128"/>
      <c r="K305" s="130"/>
    </row>
    <row r="306" spans="1:76" x14ac:dyDescent="0.25">
      <c r="A306" s="45" t="s">
        <v>845</v>
      </c>
      <c r="B306" s="46" t="s">
        <v>113</v>
      </c>
      <c r="C306" s="133" t="s">
        <v>114</v>
      </c>
      <c r="D306" s="134"/>
      <c r="E306" s="46" t="s">
        <v>90</v>
      </c>
      <c r="F306" s="47">
        <v>9.2999999999999999E-2</v>
      </c>
      <c r="G306" s="48">
        <v>0</v>
      </c>
      <c r="H306" s="47">
        <f>F306*AO306</f>
        <v>0</v>
      </c>
      <c r="I306" s="47">
        <f>F306*AP306</f>
        <v>0</v>
      </c>
      <c r="J306" s="47">
        <f>F306*G306</f>
        <v>0</v>
      </c>
      <c r="K306" s="49" t="s">
        <v>57</v>
      </c>
      <c r="Z306" s="30">
        <f>IF(AQ306="5",BJ306,0)</f>
        <v>0</v>
      </c>
      <c r="AB306" s="30">
        <f>IF(AQ306="1",BH306,0)</f>
        <v>0</v>
      </c>
      <c r="AC306" s="30">
        <f>IF(AQ306="1",BI306,0)</f>
        <v>0</v>
      </c>
      <c r="AD306" s="30">
        <f>IF(AQ306="7",BH306,0)</f>
        <v>0</v>
      </c>
      <c r="AE306" s="30">
        <f>IF(AQ306="7",BI306,0)</f>
        <v>0</v>
      </c>
      <c r="AF306" s="30">
        <f>IF(AQ306="2",BH306,0)</f>
        <v>0</v>
      </c>
      <c r="AG306" s="30">
        <f>IF(AQ306="2",BI306,0)</f>
        <v>0</v>
      </c>
      <c r="AH306" s="30">
        <f>IF(AQ306="0",BJ306,0)</f>
        <v>0</v>
      </c>
      <c r="AI306" s="10" t="s">
        <v>50</v>
      </c>
      <c r="AJ306" s="30">
        <f>IF(AN306=0,J306,0)</f>
        <v>0</v>
      </c>
      <c r="AK306" s="30">
        <f>IF(AN306=12,J306,0)</f>
        <v>0</v>
      </c>
      <c r="AL306" s="30">
        <f>IF(AN306=21,J306,0)</f>
        <v>0</v>
      </c>
      <c r="AN306" s="30">
        <v>12</v>
      </c>
      <c r="AO306" s="30">
        <f>G306*0</f>
        <v>0</v>
      </c>
      <c r="AP306" s="30">
        <f>G306*(1-0)</f>
        <v>0</v>
      </c>
      <c r="AQ306" s="31" t="s">
        <v>74</v>
      </c>
      <c r="AV306" s="30">
        <f>AW306+AX306</f>
        <v>0</v>
      </c>
      <c r="AW306" s="30">
        <f>F306*AO306</f>
        <v>0</v>
      </c>
      <c r="AX306" s="30">
        <f>F306*AP306</f>
        <v>0</v>
      </c>
      <c r="AY306" s="31" t="s">
        <v>807</v>
      </c>
      <c r="AZ306" s="31" t="s">
        <v>693</v>
      </c>
      <c r="BA306" s="10" t="s">
        <v>60</v>
      </c>
      <c r="BC306" s="30">
        <f>AW306+AX306</f>
        <v>0</v>
      </c>
      <c r="BD306" s="30">
        <f>G306/(100-BE306)*100</f>
        <v>0</v>
      </c>
      <c r="BE306" s="30">
        <v>0</v>
      </c>
      <c r="BF306" s="30">
        <f>306</f>
        <v>306</v>
      </c>
      <c r="BH306" s="30">
        <f>F306*AO306</f>
        <v>0</v>
      </c>
      <c r="BI306" s="30">
        <f>F306*AP306</f>
        <v>0</v>
      </c>
      <c r="BJ306" s="30">
        <f>F306*G306</f>
        <v>0</v>
      </c>
      <c r="BK306" s="30"/>
      <c r="BL306" s="30"/>
      <c r="BW306" s="30">
        <v>12</v>
      </c>
      <c r="BX306" s="4" t="s">
        <v>114</v>
      </c>
    </row>
    <row r="307" spans="1:76" x14ac:dyDescent="0.25">
      <c r="H307" s="135" t="s">
        <v>846</v>
      </c>
      <c r="I307" s="135"/>
      <c r="J307" s="50">
        <f>J12+J33+J57+J64+J73+J96+J103+J136+J148+J157+J159+J168+J178+J183+J188+J196+J219+J232+J239+J243+J248+J285</f>
        <v>0</v>
      </c>
    </row>
    <row r="308" spans="1:76" x14ac:dyDescent="0.25">
      <c r="A308" s="51" t="s">
        <v>847</v>
      </c>
    </row>
    <row r="309" spans="1:76" ht="12.75" customHeight="1" x14ac:dyDescent="0.25">
      <c r="A309" s="102" t="s">
        <v>50</v>
      </c>
      <c r="B309" s="97"/>
      <c r="C309" s="97"/>
      <c r="D309" s="97"/>
      <c r="E309" s="97"/>
      <c r="F309" s="97"/>
      <c r="G309" s="97"/>
      <c r="H309" s="97"/>
      <c r="I309" s="97"/>
      <c r="J309" s="97"/>
      <c r="K309" s="97"/>
    </row>
  </sheetData>
  <sheetProtection password="C7C0" sheet="1"/>
  <mergeCells count="325">
    <mergeCell ref="C305:K305"/>
    <mergeCell ref="C306:D306"/>
    <mergeCell ref="H307:I307"/>
    <mergeCell ref="A309:K309"/>
    <mergeCell ref="C300:D300"/>
    <mergeCell ref="C301:K301"/>
    <mergeCell ref="C302:D302"/>
    <mergeCell ref="C303:K303"/>
    <mergeCell ref="C304:D304"/>
    <mergeCell ref="C295:K295"/>
    <mergeCell ref="C296:D296"/>
    <mergeCell ref="C297:K297"/>
    <mergeCell ref="C298:D298"/>
    <mergeCell ref="C299:K299"/>
    <mergeCell ref="C290:D290"/>
    <mergeCell ref="C291:K291"/>
    <mergeCell ref="C292:D292"/>
    <mergeCell ref="C293:K293"/>
    <mergeCell ref="C294:D294"/>
    <mergeCell ref="C285:D285"/>
    <mergeCell ref="C286:D286"/>
    <mergeCell ref="C287:K287"/>
    <mergeCell ref="C288:D288"/>
    <mergeCell ref="C289:K289"/>
    <mergeCell ref="C280:D280"/>
    <mergeCell ref="C281:D281"/>
    <mergeCell ref="C282:D282"/>
    <mergeCell ref="C283:D283"/>
    <mergeCell ref="C284:D284"/>
    <mergeCell ref="C275:D275"/>
    <mergeCell ref="C276:D276"/>
    <mergeCell ref="C277:D277"/>
    <mergeCell ref="C278:D278"/>
    <mergeCell ref="C279:D279"/>
    <mergeCell ref="C270:D270"/>
    <mergeCell ref="C271:D271"/>
    <mergeCell ref="C272:D272"/>
    <mergeCell ref="C273:D273"/>
    <mergeCell ref="C274:D274"/>
    <mergeCell ref="C265:K265"/>
    <mergeCell ref="C266:D266"/>
    <mergeCell ref="C267:K267"/>
    <mergeCell ref="C268:D268"/>
    <mergeCell ref="C269:D269"/>
    <mergeCell ref="C260:D260"/>
    <mergeCell ref="C261:K261"/>
    <mergeCell ref="C262:D262"/>
    <mergeCell ref="C263:K263"/>
    <mergeCell ref="C264:D264"/>
    <mergeCell ref="C255:D255"/>
    <mergeCell ref="C256:D256"/>
    <mergeCell ref="C257:D257"/>
    <mergeCell ref="C258:D258"/>
    <mergeCell ref="C259:D259"/>
    <mergeCell ref="C250:D250"/>
    <mergeCell ref="C251:D251"/>
    <mergeCell ref="C252:D252"/>
    <mergeCell ref="C253:D253"/>
    <mergeCell ref="C254:D254"/>
    <mergeCell ref="C245:D245"/>
    <mergeCell ref="C246:D246"/>
    <mergeCell ref="C247:D247"/>
    <mergeCell ref="C248:D248"/>
    <mergeCell ref="C249:D249"/>
    <mergeCell ref="C240:D240"/>
    <mergeCell ref="C241:K241"/>
    <mergeCell ref="C242:D242"/>
    <mergeCell ref="C243:D243"/>
    <mergeCell ref="C244:D244"/>
    <mergeCell ref="C235:D235"/>
    <mergeCell ref="C236:D236"/>
    <mergeCell ref="C237:K237"/>
    <mergeCell ref="C238:D238"/>
    <mergeCell ref="C239:D239"/>
    <mergeCell ref="C230:D230"/>
    <mergeCell ref="C231:D231"/>
    <mergeCell ref="C232:D232"/>
    <mergeCell ref="C233:D233"/>
    <mergeCell ref="C234:K234"/>
    <mergeCell ref="C225:D225"/>
    <mergeCell ref="C226:D226"/>
    <mergeCell ref="C227:D227"/>
    <mergeCell ref="C228:D228"/>
    <mergeCell ref="C229:D229"/>
    <mergeCell ref="C220:D220"/>
    <mergeCell ref="C221:D221"/>
    <mergeCell ref="C222:K222"/>
    <mergeCell ref="C223:D223"/>
    <mergeCell ref="C224:D224"/>
    <mergeCell ref="C215:D215"/>
    <mergeCell ref="C216:D216"/>
    <mergeCell ref="C217:D217"/>
    <mergeCell ref="C218:D218"/>
    <mergeCell ref="C219:D219"/>
    <mergeCell ref="C210:D210"/>
    <mergeCell ref="C211:D211"/>
    <mergeCell ref="C212:D212"/>
    <mergeCell ref="C213:D213"/>
    <mergeCell ref="C214:D214"/>
    <mergeCell ref="C205:D205"/>
    <mergeCell ref="C206:D206"/>
    <mergeCell ref="C207:D207"/>
    <mergeCell ref="C208:K208"/>
    <mergeCell ref="C209:D209"/>
    <mergeCell ref="C200:D200"/>
    <mergeCell ref="C201:D201"/>
    <mergeCell ref="C202:D202"/>
    <mergeCell ref="C203:K203"/>
    <mergeCell ref="C204:D204"/>
    <mergeCell ref="C195:D195"/>
    <mergeCell ref="C196:D196"/>
    <mergeCell ref="C197:D197"/>
    <mergeCell ref="C198:D198"/>
    <mergeCell ref="C199:D199"/>
    <mergeCell ref="C190:D190"/>
    <mergeCell ref="C191:K191"/>
    <mergeCell ref="C192:D192"/>
    <mergeCell ref="C193:D193"/>
    <mergeCell ref="C194:D194"/>
    <mergeCell ref="C185:D185"/>
    <mergeCell ref="C186:K186"/>
    <mergeCell ref="C187:D187"/>
    <mergeCell ref="C188:D188"/>
    <mergeCell ref="C189:D189"/>
    <mergeCell ref="C180:K180"/>
    <mergeCell ref="C181:D181"/>
    <mergeCell ref="C182:D182"/>
    <mergeCell ref="C183:D183"/>
    <mergeCell ref="C184:D184"/>
    <mergeCell ref="C175:D175"/>
    <mergeCell ref="C176:D176"/>
    <mergeCell ref="C177:D177"/>
    <mergeCell ref="C178:D178"/>
    <mergeCell ref="C179:D179"/>
    <mergeCell ref="C170:K170"/>
    <mergeCell ref="C171:D171"/>
    <mergeCell ref="C172:D172"/>
    <mergeCell ref="C173:D173"/>
    <mergeCell ref="C174:D174"/>
    <mergeCell ref="C165:K165"/>
    <mergeCell ref="C166:D166"/>
    <mergeCell ref="C167:D167"/>
    <mergeCell ref="C168:D168"/>
    <mergeCell ref="C169:D169"/>
    <mergeCell ref="C160:D160"/>
    <mergeCell ref="C161:D161"/>
    <mergeCell ref="C162:D162"/>
    <mergeCell ref="C163:K163"/>
    <mergeCell ref="C164:D164"/>
    <mergeCell ref="C155:D155"/>
    <mergeCell ref="C156:D156"/>
    <mergeCell ref="C157:D157"/>
    <mergeCell ref="C158:D158"/>
    <mergeCell ref="C159:D159"/>
    <mergeCell ref="C150:D150"/>
    <mergeCell ref="C151:D151"/>
    <mergeCell ref="C152:D152"/>
    <mergeCell ref="C153:D153"/>
    <mergeCell ref="C154:D154"/>
    <mergeCell ref="C145:D145"/>
    <mergeCell ref="C146:D146"/>
    <mergeCell ref="C147:D147"/>
    <mergeCell ref="C148:D148"/>
    <mergeCell ref="C149:D149"/>
    <mergeCell ref="C140:D140"/>
    <mergeCell ref="C141:D141"/>
    <mergeCell ref="C142:D142"/>
    <mergeCell ref="C143:D143"/>
    <mergeCell ref="C144:D144"/>
    <mergeCell ref="C135:D135"/>
    <mergeCell ref="C136:D136"/>
    <mergeCell ref="C137:D137"/>
    <mergeCell ref="C138:D138"/>
    <mergeCell ref="C139:D139"/>
    <mergeCell ref="C130:D130"/>
    <mergeCell ref="C131:D131"/>
    <mergeCell ref="C132:D132"/>
    <mergeCell ref="C133:K133"/>
    <mergeCell ref="C134:D134"/>
    <mergeCell ref="C125:D125"/>
    <mergeCell ref="C126:D126"/>
    <mergeCell ref="C127:D127"/>
    <mergeCell ref="C128:D128"/>
    <mergeCell ref="C129:D129"/>
    <mergeCell ref="C120:D120"/>
    <mergeCell ref="C121:D121"/>
    <mergeCell ref="C122:D122"/>
    <mergeCell ref="C123:D123"/>
    <mergeCell ref="C124:D124"/>
    <mergeCell ref="C115:D115"/>
    <mergeCell ref="C116:D116"/>
    <mergeCell ref="C117:D117"/>
    <mergeCell ref="C118:D118"/>
    <mergeCell ref="C119:D119"/>
    <mergeCell ref="C110:D110"/>
    <mergeCell ref="C111:D111"/>
    <mergeCell ref="C112:D112"/>
    <mergeCell ref="C113:D113"/>
    <mergeCell ref="C114:D114"/>
    <mergeCell ref="C105:D105"/>
    <mergeCell ref="C106:D106"/>
    <mergeCell ref="C107:D107"/>
    <mergeCell ref="C108:D108"/>
    <mergeCell ref="C109:K109"/>
    <mergeCell ref="C100:D100"/>
    <mergeCell ref="C101:D101"/>
    <mergeCell ref="C102:D102"/>
    <mergeCell ref="C103:D103"/>
    <mergeCell ref="C104:D104"/>
    <mergeCell ref="C95:D95"/>
    <mergeCell ref="C96:D96"/>
    <mergeCell ref="C97:D97"/>
    <mergeCell ref="C98:D98"/>
    <mergeCell ref="C99:D99"/>
    <mergeCell ref="C90:D90"/>
    <mergeCell ref="C91:D91"/>
    <mergeCell ref="C92:D92"/>
    <mergeCell ref="C93:D93"/>
    <mergeCell ref="C94:D94"/>
    <mergeCell ref="C85:K85"/>
    <mergeCell ref="C86:D86"/>
    <mergeCell ref="C87:D87"/>
    <mergeCell ref="C88:D88"/>
    <mergeCell ref="C89:D89"/>
    <mergeCell ref="C80:D80"/>
    <mergeCell ref="C81:K81"/>
    <mergeCell ref="C82:D82"/>
    <mergeCell ref="C83:K83"/>
    <mergeCell ref="C84:D84"/>
    <mergeCell ref="C75:D75"/>
    <mergeCell ref="C76:D76"/>
    <mergeCell ref="C77:D77"/>
    <mergeCell ref="C78:D78"/>
    <mergeCell ref="C79:D79"/>
    <mergeCell ref="C70:D70"/>
    <mergeCell ref="C71:D71"/>
    <mergeCell ref="C72:D72"/>
    <mergeCell ref="C73:D73"/>
    <mergeCell ref="C74:D74"/>
    <mergeCell ref="C65:D65"/>
    <mergeCell ref="C66:D66"/>
    <mergeCell ref="C67:D67"/>
    <mergeCell ref="C68:D68"/>
    <mergeCell ref="C69:D69"/>
    <mergeCell ref="C60:K60"/>
    <mergeCell ref="C61:D61"/>
    <mergeCell ref="C62:D62"/>
    <mergeCell ref="C63:D63"/>
    <mergeCell ref="C64:D64"/>
    <mergeCell ref="C55:K55"/>
    <mergeCell ref="C56:D56"/>
    <mergeCell ref="C57:D57"/>
    <mergeCell ref="C58:D58"/>
    <mergeCell ref="C59:D59"/>
    <mergeCell ref="C50:D50"/>
    <mergeCell ref="C51:D51"/>
    <mergeCell ref="C52:K52"/>
    <mergeCell ref="C53:D53"/>
    <mergeCell ref="C54:D54"/>
    <mergeCell ref="C45:D45"/>
    <mergeCell ref="C46:D46"/>
    <mergeCell ref="C47:D47"/>
    <mergeCell ref="C48:K48"/>
    <mergeCell ref="C49:D49"/>
    <mergeCell ref="C40:K40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C30:K30"/>
    <mergeCell ref="C31:D31"/>
    <mergeCell ref="C32:D32"/>
    <mergeCell ref="C33:D33"/>
    <mergeCell ref="C34:D34"/>
    <mergeCell ref="C25:D25"/>
    <mergeCell ref="C26:D26"/>
    <mergeCell ref="C27:K27"/>
    <mergeCell ref="C28:D28"/>
    <mergeCell ref="C29:D29"/>
    <mergeCell ref="C20:D20"/>
    <mergeCell ref="C21:D21"/>
    <mergeCell ref="C22:D22"/>
    <mergeCell ref="C23:D23"/>
    <mergeCell ref="C24:D24"/>
    <mergeCell ref="C15:D15"/>
    <mergeCell ref="C16:K16"/>
    <mergeCell ref="C17:D17"/>
    <mergeCell ref="C18:K18"/>
    <mergeCell ref="C19:D19"/>
    <mergeCell ref="C11:D11"/>
    <mergeCell ref="H10:J10"/>
    <mergeCell ref="C12:D12"/>
    <mergeCell ref="C13:D13"/>
    <mergeCell ref="C14:D14"/>
    <mergeCell ref="I2:K3"/>
    <mergeCell ref="I4:K5"/>
    <mergeCell ref="I6:K7"/>
    <mergeCell ref="I8:K9"/>
    <mergeCell ref="C10:D10"/>
    <mergeCell ref="C8:D9"/>
    <mergeCell ref="G2:G3"/>
    <mergeCell ref="G4:G5"/>
    <mergeCell ref="G6:G7"/>
    <mergeCell ref="G8:G9"/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96"/>
  <sheetViews>
    <sheetView workbookViewId="0">
      <selection activeCell="A496" sqref="A496:G496"/>
    </sheetView>
  </sheetViews>
  <sheetFormatPr defaultColWidth="12.140625" defaultRowHeight="15" customHeight="1" x14ac:dyDescent="0.25"/>
  <cols>
    <col min="1" max="2" width="9.140625" customWidth="1"/>
    <col min="3" max="3" width="14.28515625" customWidth="1"/>
    <col min="4" max="4" width="66" customWidth="1"/>
    <col min="5" max="5" width="22.7109375" customWidth="1"/>
    <col min="6" max="6" width="24.140625" customWidth="1"/>
    <col min="7" max="7" width="15.7109375" customWidth="1"/>
    <col min="8" max="8" width="20" customWidth="1"/>
  </cols>
  <sheetData>
    <row r="1" spans="1:8" ht="54.75" customHeight="1" x14ac:dyDescent="0.25">
      <c r="A1" s="93" t="s">
        <v>848</v>
      </c>
      <c r="B1" s="93"/>
      <c r="C1" s="93"/>
      <c r="D1" s="93"/>
      <c r="E1" s="93"/>
      <c r="F1" s="93"/>
      <c r="G1" s="93"/>
      <c r="H1" s="93"/>
    </row>
    <row r="2" spans="1:8" x14ac:dyDescent="0.25">
      <c r="A2" s="94" t="s">
        <v>1</v>
      </c>
      <c r="B2" s="95"/>
      <c r="C2" s="103" t="str">
        <f>'Stavební rozpočet'!C2</f>
        <v>Revitalizace městských bytů v Šumperku - BJ č.3</v>
      </c>
      <c r="D2" s="104"/>
      <c r="E2" s="101" t="s">
        <v>5</v>
      </c>
      <c r="F2" s="101" t="str">
        <f>'Stavební rozpočet'!I2</f>
        <v>Město Šumperk, nám. Míru 1, 787 01 Šumperk</v>
      </c>
      <c r="G2" s="95"/>
      <c r="H2" s="109"/>
    </row>
    <row r="3" spans="1:8" ht="15" customHeight="1" x14ac:dyDescent="0.25">
      <c r="A3" s="96"/>
      <c r="B3" s="97"/>
      <c r="C3" s="105"/>
      <c r="D3" s="105"/>
      <c r="E3" s="97"/>
      <c r="F3" s="97"/>
      <c r="G3" s="97"/>
      <c r="H3" s="110"/>
    </row>
    <row r="4" spans="1:8" x14ac:dyDescent="0.25">
      <c r="A4" s="98" t="s">
        <v>7</v>
      </c>
      <c r="B4" s="97"/>
      <c r="C4" s="102" t="str">
        <f>'Stavební rozpočet'!C4</f>
        <v>Bytový dům</v>
      </c>
      <c r="D4" s="97"/>
      <c r="E4" s="102" t="s">
        <v>10</v>
      </c>
      <c r="F4" s="102" t="str">
        <f>'Stavební rozpočet'!I4</f>
        <v>Ing. Petr Doleček</v>
      </c>
      <c r="G4" s="97"/>
      <c r="H4" s="110"/>
    </row>
    <row r="5" spans="1:8" ht="15" customHeight="1" x14ac:dyDescent="0.25">
      <c r="A5" s="96"/>
      <c r="B5" s="97"/>
      <c r="C5" s="97"/>
      <c r="D5" s="97"/>
      <c r="E5" s="97"/>
      <c r="F5" s="97"/>
      <c r="G5" s="97"/>
      <c r="H5" s="110"/>
    </row>
    <row r="6" spans="1:8" x14ac:dyDescent="0.25">
      <c r="A6" s="98" t="s">
        <v>12</v>
      </c>
      <c r="B6" s="97"/>
      <c r="C6" s="102" t="str">
        <f>'Stavební rozpočet'!C6</f>
        <v>17.listopadu 1247/3 Šumperk</v>
      </c>
      <c r="D6" s="97"/>
      <c r="E6" s="102" t="s">
        <v>15</v>
      </c>
      <c r="F6" s="102" t="str">
        <f>'Stavební rozpočet'!I6</f>
        <v> </v>
      </c>
      <c r="G6" s="97"/>
      <c r="H6" s="110"/>
    </row>
    <row r="7" spans="1:8" ht="15" customHeight="1" x14ac:dyDescent="0.25">
      <c r="A7" s="96"/>
      <c r="B7" s="97"/>
      <c r="C7" s="97"/>
      <c r="D7" s="97"/>
      <c r="E7" s="97"/>
      <c r="F7" s="97"/>
      <c r="G7" s="97"/>
      <c r="H7" s="110"/>
    </row>
    <row r="8" spans="1:8" x14ac:dyDescent="0.25">
      <c r="A8" s="98" t="s">
        <v>20</v>
      </c>
      <c r="B8" s="97"/>
      <c r="C8" s="102" t="str">
        <f>'Stavební rozpočet'!I8</f>
        <v>Ing. Petr Doleček</v>
      </c>
      <c r="D8" s="97"/>
      <c r="E8" s="102" t="s">
        <v>18</v>
      </c>
      <c r="F8" s="102" t="str">
        <f>'Stavební rozpočet'!G8</f>
        <v>26.06.2024</v>
      </c>
      <c r="G8" s="97"/>
      <c r="H8" s="110"/>
    </row>
    <row r="9" spans="1:8" x14ac:dyDescent="0.25">
      <c r="A9" s="99"/>
      <c r="B9" s="100"/>
      <c r="C9" s="100"/>
      <c r="D9" s="100"/>
      <c r="E9" s="100"/>
      <c r="F9" s="100"/>
      <c r="G9" s="100"/>
      <c r="H9" s="136"/>
    </row>
    <row r="10" spans="1:8" x14ac:dyDescent="0.25">
      <c r="A10" s="52" t="s">
        <v>21</v>
      </c>
      <c r="B10" s="53" t="s">
        <v>849</v>
      </c>
      <c r="C10" s="53" t="s">
        <v>22</v>
      </c>
      <c r="D10" s="137" t="s">
        <v>23</v>
      </c>
      <c r="E10" s="138"/>
      <c r="F10" s="53" t="s">
        <v>24</v>
      </c>
      <c r="G10" s="54" t="s">
        <v>25</v>
      </c>
      <c r="H10" s="55" t="s">
        <v>850</v>
      </c>
    </row>
    <row r="11" spans="1:8" x14ac:dyDescent="0.25">
      <c r="A11" s="56" t="s">
        <v>53</v>
      </c>
      <c r="B11" s="57" t="s">
        <v>50</v>
      </c>
      <c r="C11" s="57" t="s">
        <v>54</v>
      </c>
      <c r="D11" s="139" t="s">
        <v>55</v>
      </c>
      <c r="E11" s="139"/>
      <c r="F11" s="57" t="s">
        <v>56</v>
      </c>
      <c r="G11" s="58">
        <v>6</v>
      </c>
      <c r="H11" s="59">
        <v>0</v>
      </c>
    </row>
    <row r="12" spans="1:8" x14ac:dyDescent="0.25">
      <c r="A12" s="60"/>
      <c r="D12" s="61" t="s">
        <v>77</v>
      </c>
      <c r="E12" s="140" t="s">
        <v>851</v>
      </c>
      <c r="F12" s="140"/>
      <c r="G12" s="62">
        <v>6</v>
      </c>
      <c r="H12" s="63"/>
    </row>
    <row r="13" spans="1:8" x14ac:dyDescent="0.25">
      <c r="A13" s="2" t="s">
        <v>61</v>
      </c>
      <c r="B13" s="3" t="s">
        <v>50</v>
      </c>
      <c r="C13" s="3" t="s">
        <v>62</v>
      </c>
      <c r="D13" s="97" t="s">
        <v>63</v>
      </c>
      <c r="E13" s="97"/>
      <c r="F13" s="3" t="s">
        <v>64</v>
      </c>
      <c r="G13" s="30">
        <v>3</v>
      </c>
      <c r="H13" s="64">
        <v>0</v>
      </c>
    </row>
    <row r="14" spans="1:8" x14ac:dyDescent="0.25">
      <c r="A14" s="60"/>
      <c r="D14" s="61" t="s">
        <v>65</v>
      </c>
      <c r="E14" s="140" t="s">
        <v>852</v>
      </c>
      <c r="F14" s="140"/>
      <c r="G14" s="62">
        <v>3</v>
      </c>
      <c r="H14" s="63"/>
    </row>
    <row r="15" spans="1:8" x14ac:dyDescent="0.25">
      <c r="A15" s="2" t="s">
        <v>65</v>
      </c>
      <c r="B15" s="3" t="s">
        <v>50</v>
      </c>
      <c r="C15" s="3" t="s">
        <v>66</v>
      </c>
      <c r="D15" s="97" t="s">
        <v>67</v>
      </c>
      <c r="E15" s="97"/>
      <c r="F15" s="3" t="s">
        <v>64</v>
      </c>
      <c r="G15" s="30">
        <v>10.4397</v>
      </c>
      <c r="H15" s="64">
        <v>0</v>
      </c>
    </row>
    <row r="16" spans="1:8" x14ac:dyDescent="0.25">
      <c r="A16" s="60"/>
      <c r="D16" s="61" t="s">
        <v>853</v>
      </c>
      <c r="E16" s="140" t="s">
        <v>854</v>
      </c>
      <c r="F16" s="140"/>
      <c r="G16" s="62">
        <v>10.4397</v>
      </c>
      <c r="H16" s="63"/>
    </row>
    <row r="17" spans="1:8" x14ac:dyDescent="0.25">
      <c r="A17" s="2" t="s">
        <v>70</v>
      </c>
      <c r="B17" s="3" t="s">
        <v>50</v>
      </c>
      <c r="C17" s="3" t="s">
        <v>71</v>
      </c>
      <c r="D17" s="97" t="s">
        <v>72</v>
      </c>
      <c r="E17" s="97"/>
      <c r="F17" s="3" t="s">
        <v>56</v>
      </c>
      <c r="G17" s="30">
        <v>3</v>
      </c>
      <c r="H17" s="64">
        <v>0</v>
      </c>
    </row>
    <row r="18" spans="1:8" x14ac:dyDescent="0.25">
      <c r="A18" s="60"/>
      <c r="D18" s="61" t="s">
        <v>61</v>
      </c>
      <c r="E18" s="140" t="s">
        <v>855</v>
      </c>
      <c r="F18" s="140"/>
      <c r="G18" s="62">
        <v>2</v>
      </c>
      <c r="H18" s="63"/>
    </row>
    <row r="19" spans="1:8" x14ac:dyDescent="0.25">
      <c r="A19" s="2" t="s">
        <v>50</v>
      </c>
      <c r="B19" s="3" t="s">
        <v>50</v>
      </c>
      <c r="C19" s="3" t="s">
        <v>50</v>
      </c>
      <c r="D19" s="61" t="s">
        <v>53</v>
      </c>
      <c r="E19" s="140" t="s">
        <v>856</v>
      </c>
      <c r="F19" s="140"/>
      <c r="G19" s="62">
        <v>1</v>
      </c>
      <c r="H19" s="65" t="s">
        <v>50</v>
      </c>
    </row>
    <row r="20" spans="1:8" x14ac:dyDescent="0.25">
      <c r="A20" s="2" t="s">
        <v>74</v>
      </c>
      <c r="B20" s="3" t="s">
        <v>50</v>
      </c>
      <c r="C20" s="3" t="s">
        <v>75</v>
      </c>
      <c r="D20" s="97" t="s">
        <v>76</v>
      </c>
      <c r="E20" s="97"/>
      <c r="F20" s="3" t="s">
        <v>56</v>
      </c>
      <c r="G20" s="30">
        <v>2</v>
      </c>
      <c r="H20" s="64">
        <v>0</v>
      </c>
    </row>
    <row r="21" spans="1:8" x14ac:dyDescent="0.25">
      <c r="A21" s="60"/>
      <c r="D21" s="61" t="s">
        <v>61</v>
      </c>
      <c r="E21" s="140" t="s">
        <v>857</v>
      </c>
      <c r="F21" s="140"/>
      <c r="G21" s="62">
        <v>2</v>
      </c>
      <c r="H21" s="63"/>
    </row>
    <row r="22" spans="1:8" x14ac:dyDescent="0.25">
      <c r="A22" s="2" t="s">
        <v>77</v>
      </c>
      <c r="B22" s="3" t="s">
        <v>50</v>
      </c>
      <c r="C22" s="3" t="s">
        <v>78</v>
      </c>
      <c r="D22" s="97" t="s">
        <v>79</v>
      </c>
      <c r="E22" s="97"/>
      <c r="F22" s="3" t="s">
        <v>80</v>
      </c>
      <c r="G22" s="30">
        <v>60</v>
      </c>
      <c r="H22" s="64">
        <v>0</v>
      </c>
    </row>
    <row r="23" spans="1:8" x14ac:dyDescent="0.25">
      <c r="A23" s="60"/>
      <c r="D23" s="61" t="s">
        <v>858</v>
      </c>
      <c r="E23" s="140" t="s">
        <v>859</v>
      </c>
      <c r="F23" s="140"/>
      <c r="G23" s="62">
        <v>60</v>
      </c>
      <c r="H23" s="63"/>
    </row>
    <row r="24" spans="1:8" x14ac:dyDescent="0.25">
      <c r="A24" s="2" t="s">
        <v>81</v>
      </c>
      <c r="B24" s="3" t="s">
        <v>50</v>
      </c>
      <c r="C24" s="3" t="s">
        <v>82</v>
      </c>
      <c r="D24" s="97" t="s">
        <v>83</v>
      </c>
      <c r="E24" s="97"/>
      <c r="F24" s="3" t="s">
        <v>80</v>
      </c>
      <c r="G24" s="30">
        <v>63.8</v>
      </c>
      <c r="H24" s="64">
        <v>0</v>
      </c>
    </row>
    <row r="25" spans="1:8" x14ac:dyDescent="0.25">
      <c r="A25" s="60"/>
      <c r="D25" s="61" t="s">
        <v>860</v>
      </c>
      <c r="E25" s="140" t="s">
        <v>861</v>
      </c>
      <c r="F25" s="140"/>
      <c r="G25" s="62">
        <v>29.8</v>
      </c>
      <c r="H25" s="63"/>
    </row>
    <row r="26" spans="1:8" x14ac:dyDescent="0.25">
      <c r="A26" s="2" t="s">
        <v>50</v>
      </c>
      <c r="B26" s="3" t="s">
        <v>50</v>
      </c>
      <c r="C26" s="3" t="s">
        <v>50</v>
      </c>
      <c r="D26" s="61" t="s">
        <v>862</v>
      </c>
      <c r="E26" s="140" t="s">
        <v>863</v>
      </c>
      <c r="F26" s="140"/>
      <c r="G26" s="62">
        <v>34</v>
      </c>
      <c r="H26" s="65" t="s">
        <v>50</v>
      </c>
    </row>
    <row r="27" spans="1:8" x14ac:dyDescent="0.25">
      <c r="A27" s="2" t="s">
        <v>84</v>
      </c>
      <c r="B27" s="3" t="s">
        <v>50</v>
      </c>
      <c r="C27" s="3" t="s">
        <v>85</v>
      </c>
      <c r="D27" s="97" t="s">
        <v>86</v>
      </c>
      <c r="E27" s="97"/>
      <c r="F27" s="3" t="s">
        <v>80</v>
      </c>
      <c r="G27" s="30">
        <v>17</v>
      </c>
      <c r="H27" s="64">
        <v>0</v>
      </c>
    </row>
    <row r="28" spans="1:8" x14ac:dyDescent="0.25">
      <c r="A28" s="60"/>
      <c r="D28" s="61" t="s">
        <v>117</v>
      </c>
      <c r="E28" s="140" t="s">
        <v>864</v>
      </c>
      <c r="F28" s="140"/>
      <c r="G28" s="62">
        <v>17</v>
      </c>
      <c r="H28" s="63"/>
    </row>
    <row r="29" spans="1:8" x14ac:dyDescent="0.25">
      <c r="A29" s="2" t="s">
        <v>87</v>
      </c>
      <c r="B29" s="3" t="s">
        <v>50</v>
      </c>
      <c r="C29" s="3" t="s">
        <v>88</v>
      </c>
      <c r="D29" s="97" t="s">
        <v>89</v>
      </c>
      <c r="E29" s="97"/>
      <c r="F29" s="3" t="s">
        <v>90</v>
      </c>
      <c r="G29" s="30">
        <v>2.7357200000000002</v>
      </c>
      <c r="H29" s="64">
        <v>0</v>
      </c>
    </row>
    <row r="30" spans="1:8" x14ac:dyDescent="0.25">
      <c r="A30" s="2" t="s">
        <v>91</v>
      </c>
      <c r="B30" s="3" t="s">
        <v>50</v>
      </c>
      <c r="C30" s="3" t="s">
        <v>92</v>
      </c>
      <c r="D30" s="97" t="s">
        <v>93</v>
      </c>
      <c r="E30" s="97"/>
      <c r="F30" s="3" t="s">
        <v>90</v>
      </c>
      <c r="G30" s="30">
        <v>2.7357200000000002</v>
      </c>
      <c r="H30" s="64">
        <v>0</v>
      </c>
    </row>
    <row r="31" spans="1:8" x14ac:dyDescent="0.25">
      <c r="A31" s="2" t="s">
        <v>94</v>
      </c>
      <c r="B31" s="3" t="s">
        <v>50</v>
      </c>
      <c r="C31" s="3" t="s">
        <v>95</v>
      </c>
      <c r="D31" s="97" t="s">
        <v>96</v>
      </c>
      <c r="E31" s="97"/>
      <c r="F31" s="3" t="s">
        <v>90</v>
      </c>
      <c r="G31" s="30">
        <v>2.7357200000000002</v>
      </c>
      <c r="H31" s="64">
        <v>0</v>
      </c>
    </row>
    <row r="32" spans="1:8" x14ac:dyDescent="0.25">
      <c r="A32" s="2" t="s">
        <v>97</v>
      </c>
      <c r="B32" s="3" t="s">
        <v>50</v>
      </c>
      <c r="C32" s="3" t="s">
        <v>98</v>
      </c>
      <c r="D32" s="97" t="s">
        <v>99</v>
      </c>
      <c r="E32" s="97"/>
      <c r="F32" s="3" t="s">
        <v>64</v>
      </c>
      <c r="G32" s="30">
        <v>13.3125</v>
      </c>
      <c r="H32" s="64">
        <v>0</v>
      </c>
    </row>
    <row r="33" spans="1:8" x14ac:dyDescent="0.25">
      <c r="A33" s="60"/>
      <c r="D33" s="61" t="s">
        <v>865</v>
      </c>
      <c r="E33" s="140" t="s">
        <v>866</v>
      </c>
      <c r="F33" s="140"/>
      <c r="G33" s="62">
        <v>13.3125</v>
      </c>
      <c r="H33" s="63"/>
    </row>
    <row r="34" spans="1:8" x14ac:dyDescent="0.25">
      <c r="A34" s="2" t="s">
        <v>101</v>
      </c>
      <c r="B34" s="3" t="s">
        <v>50</v>
      </c>
      <c r="C34" s="3" t="s">
        <v>102</v>
      </c>
      <c r="D34" s="97" t="s">
        <v>103</v>
      </c>
      <c r="E34" s="97"/>
      <c r="F34" s="3" t="s">
        <v>56</v>
      </c>
      <c r="G34" s="30">
        <v>1</v>
      </c>
      <c r="H34" s="64">
        <v>0</v>
      </c>
    </row>
    <row r="35" spans="1:8" x14ac:dyDescent="0.25">
      <c r="A35" s="60"/>
      <c r="D35" s="61" t="s">
        <v>53</v>
      </c>
      <c r="E35" s="140" t="s">
        <v>867</v>
      </c>
      <c r="F35" s="140"/>
      <c r="G35" s="62">
        <v>1</v>
      </c>
      <c r="H35" s="63"/>
    </row>
    <row r="36" spans="1:8" x14ac:dyDescent="0.25">
      <c r="A36" s="2" t="s">
        <v>104</v>
      </c>
      <c r="B36" s="3" t="s">
        <v>50</v>
      </c>
      <c r="C36" s="3" t="s">
        <v>105</v>
      </c>
      <c r="D36" s="97" t="s">
        <v>106</v>
      </c>
      <c r="E36" s="97"/>
      <c r="F36" s="3" t="s">
        <v>64</v>
      </c>
      <c r="G36" s="30">
        <v>3.74</v>
      </c>
      <c r="H36" s="64">
        <v>0</v>
      </c>
    </row>
    <row r="37" spans="1:8" x14ac:dyDescent="0.25">
      <c r="A37" s="60"/>
      <c r="D37" s="61" t="s">
        <v>868</v>
      </c>
      <c r="E37" s="140" t="s">
        <v>867</v>
      </c>
      <c r="F37" s="140"/>
      <c r="G37" s="62">
        <v>3.74</v>
      </c>
      <c r="H37" s="63"/>
    </row>
    <row r="38" spans="1:8" x14ac:dyDescent="0.25">
      <c r="A38" s="2" t="s">
        <v>108</v>
      </c>
      <c r="B38" s="3" t="s">
        <v>50</v>
      </c>
      <c r="C38" s="3" t="s">
        <v>109</v>
      </c>
      <c r="D38" s="97" t="s">
        <v>110</v>
      </c>
      <c r="E38" s="97"/>
      <c r="F38" s="3" t="s">
        <v>111</v>
      </c>
      <c r="G38" s="30">
        <v>2.4750000000000001</v>
      </c>
      <c r="H38" s="64">
        <v>0</v>
      </c>
    </row>
    <row r="39" spans="1:8" x14ac:dyDescent="0.25">
      <c r="A39" s="60"/>
      <c r="D39" s="61" t="s">
        <v>869</v>
      </c>
      <c r="E39" s="140" t="s">
        <v>870</v>
      </c>
      <c r="F39" s="140"/>
      <c r="G39" s="62">
        <v>2.4750000000000001</v>
      </c>
      <c r="H39" s="63"/>
    </row>
    <row r="40" spans="1:8" x14ac:dyDescent="0.25">
      <c r="A40" s="2" t="s">
        <v>112</v>
      </c>
      <c r="B40" s="3" t="s">
        <v>50</v>
      </c>
      <c r="C40" s="3" t="s">
        <v>113</v>
      </c>
      <c r="D40" s="97" t="s">
        <v>114</v>
      </c>
      <c r="E40" s="97"/>
      <c r="F40" s="3" t="s">
        <v>90</v>
      </c>
      <c r="G40" s="30">
        <v>2.44936</v>
      </c>
      <c r="H40" s="64">
        <v>0</v>
      </c>
    </row>
    <row r="41" spans="1:8" x14ac:dyDescent="0.25">
      <c r="A41" s="2" t="s">
        <v>117</v>
      </c>
      <c r="B41" s="3" t="s">
        <v>50</v>
      </c>
      <c r="C41" s="3" t="s">
        <v>118</v>
      </c>
      <c r="D41" s="97" t="s">
        <v>119</v>
      </c>
      <c r="E41" s="97"/>
      <c r="F41" s="3" t="s">
        <v>64</v>
      </c>
      <c r="G41" s="30">
        <v>6.7756499999999997</v>
      </c>
      <c r="H41" s="64">
        <v>0</v>
      </c>
    </row>
    <row r="42" spans="1:8" x14ac:dyDescent="0.25">
      <c r="A42" s="60"/>
      <c r="D42" s="61" t="s">
        <v>871</v>
      </c>
      <c r="E42" s="140" t="s">
        <v>872</v>
      </c>
      <c r="F42" s="140"/>
      <c r="G42" s="62">
        <v>4.3336499999999996</v>
      </c>
      <c r="H42" s="63"/>
    </row>
    <row r="43" spans="1:8" x14ac:dyDescent="0.25">
      <c r="A43" s="2" t="s">
        <v>50</v>
      </c>
      <c r="B43" s="3" t="s">
        <v>50</v>
      </c>
      <c r="C43" s="3" t="s">
        <v>50</v>
      </c>
      <c r="D43" s="61" t="s">
        <v>873</v>
      </c>
      <c r="E43" s="140" t="s">
        <v>874</v>
      </c>
      <c r="F43" s="140"/>
      <c r="G43" s="62">
        <v>2.4420000000000002</v>
      </c>
      <c r="H43" s="65" t="s">
        <v>50</v>
      </c>
    </row>
    <row r="44" spans="1:8" x14ac:dyDescent="0.25">
      <c r="A44" s="2" t="s">
        <v>122</v>
      </c>
      <c r="B44" s="3" t="s">
        <v>50</v>
      </c>
      <c r="C44" s="3" t="s">
        <v>123</v>
      </c>
      <c r="D44" s="97" t="s">
        <v>124</v>
      </c>
      <c r="E44" s="97"/>
      <c r="F44" s="3" t="s">
        <v>64</v>
      </c>
      <c r="G44" s="30">
        <v>4.8719000000000001</v>
      </c>
      <c r="H44" s="64">
        <v>0</v>
      </c>
    </row>
    <row r="45" spans="1:8" x14ac:dyDescent="0.25">
      <c r="A45" s="60"/>
      <c r="D45" s="61" t="s">
        <v>875</v>
      </c>
      <c r="E45" s="140" t="s">
        <v>876</v>
      </c>
      <c r="F45" s="140"/>
      <c r="G45" s="62">
        <v>0.16950000000000001</v>
      </c>
      <c r="H45" s="63"/>
    </row>
    <row r="46" spans="1:8" x14ac:dyDescent="0.25">
      <c r="A46" s="2" t="s">
        <v>50</v>
      </c>
      <c r="B46" s="3" t="s">
        <v>50</v>
      </c>
      <c r="C46" s="3" t="s">
        <v>50</v>
      </c>
      <c r="D46" s="61" t="s">
        <v>877</v>
      </c>
      <c r="E46" s="140" t="s">
        <v>878</v>
      </c>
      <c r="F46" s="140"/>
      <c r="G46" s="62">
        <v>4.7023999999999999</v>
      </c>
      <c r="H46" s="65" t="s">
        <v>50</v>
      </c>
    </row>
    <row r="47" spans="1:8" x14ac:dyDescent="0.25">
      <c r="A47" s="2" t="s">
        <v>125</v>
      </c>
      <c r="B47" s="3" t="s">
        <v>50</v>
      </c>
      <c r="C47" s="3" t="s">
        <v>88</v>
      </c>
      <c r="D47" s="97" t="s">
        <v>89</v>
      </c>
      <c r="E47" s="97"/>
      <c r="F47" s="3" t="s">
        <v>90</v>
      </c>
      <c r="G47" s="30">
        <v>0.33128999999999997</v>
      </c>
      <c r="H47" s="64">
        <v>0</v>
      </c>
    </row>
    <row r="48" spans="1:8" x14ac:dyDescent="0.25">
      <c r="A48" s="2" t="s">
        <v>126</v>
      </c>
      <c r="B48" s="3" t="s">
        <v>50</v>
      </c>
      <c r="C48" s="3" t="s">
        <v>92</v>
      </c>
      <c r="D48" s="97" t="s">
        <v>93</v>
      </c>
      <c r="E48" s="97"/>
      <c r="F48" s="3" t="s">
        <v>90</v>
      </c>
      <c r="G48" s="30">
        <v>0.33128999999999997</v>
      </c>
      <c r="H48" s="64">
        <v>0</v>
      </c>
    </row>
    <row r="49" spans="1:8" x14ac:dyDescent="0.25">
      <c r="A49" s="60"/>
      <c r="D49" s="61" t="s">
        <v>879</v>
      </c>
      <c r="E49" s="140" t="s">
        <v>880</v>
      </c>
      <c r="F49" s="140"/>
      <c r="G49" s="62">
        <v>0.33128999999999997</v>
      </c>
      <c r="H49" s="63"/>
    </row>
    <row r="50" spans="1:8" x14ac:dyDescent="0.25">
      <c r="A50" s="2" t="s">
        <v>127</v>
      </c>
      <c r="B50" s="3" t="s">
        <v>50</v>
      </c>
      <c r="C50" s="3" t="s">
        <v>128</v>
      </c>
      <c r="D50" s="97" t="s">
        <v>129</v>
      </c>
      <c r="E50" s="97"/>
      <c r="F50" s="3" t="s">
        <v>90</v>
      </c>
      <c r="G50" s="30">
        <v>0.33128999999999997</v>
      </c>
      <c r="H50" s="64">
        <v>0</v>
      </c>
    </row>
    <row r="51" spans="1:8" x14ac:dyDescent="0.25">
      <c r="A51" s="60"/>
      <c r="D51" s="61" t="s">
        <v>879</v>
      </c>
      <c r="E51" s="140" t="s">
        <v>881</v>
      </c>
      <c r="F51" s="140"/>
      <c r="G51" s="62">
        <v>0.33128999999999997</v>
      </c>
      <c r="H51" s="63"/>
    </row>
    <row r="52" spans="1:8" x14ac:dyDescent="0.25">
      <c r="A52" s="2" t="s">
        <v>131</v>
      </c>
      <c r="B52" s="3" t="s">
        <v>50</v>
      </c>
      <c r="C52" s="3" t="s">
        <v>132</v>
      </c>
      <c r="D52" s="97" t="s">
        <v>133</v>
      </c>
      <c r="E52" s="97"/>
      <c r="F52" s="3" t="s">
        <v>80</v>
      </c>
      <c r="G52" s="30">
        <v>140.80000000000001</v>
      </c>
      <c r="H52" s="64">
        <v>0</v>
      </c>
    </row>
    <row r="53" spans="1:8" x14ac:dyDescent="0.25">
      <c r="A53" s="60"/>
      <c r="D53" s="61" t="s">
        <v>882</v>
      </c>
      <c r="E53" s="140" t="s">
        <v>883</v>
      </c>
      <c r="F53" s="140"/>
      <c r="G53" s="62">
        <v>140.80000000000001</v>
      </c>
      <c r="H53" s="63"/>
    </row>
    <row r="54" spans="1:8" x14ac:dyDescent="0.25">
      <c r="A54" s="2" t="s">
        <v>135</v>
      </c>
      <c r="B54" s="3" t="s">
        <v>50</v>
      </c>
      <c r="C54" s="3" t="s">
        <v>136</v>
      </c>
      <c r="D54" s="97" t="s">
        <v>137</v>
      </c>
      <c r="E54" s="97"/>
      <c r="F54" s="3" t="s">
        <v>64</v>
      </c>
      <c r="G54" s="30">
        <v>4.8719000000000001</v>
      </c>
      <c r="H54" s="64">
        <v>0</v>
      </c>
    </row>
    <row r="55" spans="1:8" x14ac:dyDescent="0.25">
      <c r="A55" s="60"/>
      <c r="D55" s="61" t="s">
        <v>875</v>
      </c>
      <c r="E55" s="140" t="s">
        <v>876</v>
      </c>
      <c r="F55" s="140"/>
      <c r="G55" s="62">
        <v>0.16950000000000001</v>
      </c>
      <c r="H55" s="63"/>
    </row>
    <row r="56" spans="1:8" x14ac:dyDescent="0.25">
      <c r="A56" s="2" t="s">
        <v>50</v>
      </c>
      <c r="B56" s="3" t="s">
        <v>50</v>
      </c>
      <c r="C56" s="3" t="s">
        <v>50</v>
      </c>
      <c r="D56" s="61" t="s">
        <v>877</v>
      </c>
      <c r="E56" s="140" t="s">
        <v>878</v>
      </c>
      <c r="F56" s="140"/>
      <c r="G56" s="62">
        <v>4.7023999999999999</v>
      </c>
      <c r="H56" s="65" t="s">
        <v>50</v>
      </c>
    </row>
    <row r="57" spans="1:8" x14ac:dyDescent="0.25">
      <c r="A57" s="2" t="s">
        <v>138</v>
      </c>
      <c r="B57" s="3" t="s">
        <v>50</v>
      </c>
      <c r="C57" s="3" t="s">
        <v>139</v>
      </c>
      <c r="D57" s="97" t="s">
        <v>140</v>
      </c>
      <c r="E57" s="97"/>
      <c r="F57" s="3" t="s">
        <v>64</v>
      </c>
      <c r="G57" s="30">
        <v>155.17101</v>
      </c>
      <c r="H57" s="64">
        <v>0</v>
      </c>
    </row>
    <row r="58" spans="1:8" x14ac:dyDescent="0.25">
      <c r="A58" s="60"/>
      <c r="D58" s="61" t="s">
        <v>884</v>
      </c>
      <c r="E58" s="140" t="s">
        <v>885</v>
      </c>
      <c r="F58" s="140"/>
      <c r="G58" s="62">
        <v>17.599599999999999</v>
      </c>
      <c r="H58" s="63"/>
    </row>
    <row r="59" spans="1:8" x14ac:dyDescent="0.25">
      <c r="A59" s="2" t="s">
        <v>50</v>
      </c>
      <c r="B59" s="3" t="s">
        <v>50</v>
      </c>
      <c r="C59" s="3" t="s">
        <v>50</v>
      </c>
      <c r="D59" s="61" t="s">
        <v>886</v>
      </c>
      <c r="E59" s="140" t="s">
        <v>867</v>
      </c>
      <c r="F59" s="140"/>
      <c r="G59" s="62">
        <v>18.697749999999999</v>
      </c>
      <c r="H59" s="65" t="s">
        <v>50</v>
      </c>
    </row>
    <row r="60" spans="1:8" x14ac:dyDescent="0.25">
      <c r="A60" s="2" t="s">
        <v>50</v>
      </c>
      <c r="B60" s="3" t="s">
        <v>50</v>
      </c>
      <c r="C60" s="3" t="s">
        <v>50</v>
      </c>
      <c r="D60" s="61" t="s">
        <v>887</v>
      </c>
      <c r="E60" s="140" t="s">
        <v>888</v>
      </c>
      <c r="F60" s="140"/>
      <c r="G60" s="62">
        <v>40.293500000000002</v>
      </c>
      <c r="H60" s="65" t="s">
        <v>50</v>
      </c>
    </row>
    <row r="61" spans="1:8" x14ac:dyDescent="0.25">
      <c r="A61" s="2" t="s">
        <v>50</v>
      </c>
      <c r="B61" s="3" t="s">
        <v>50</v>
      </c>
      <c r="C61" s="3" t="s">
        <v>50</v>
      </c>
      <c r="D61" s="61" t="s">
        <v>889</v>
      </c>
      <c r="E61" s="140" t="s">
        <v>890</v>
      </c>
      <c r="F61" s="140"/>
      <c r="G61" s="62">
        <v>41.480159999999998</v>
      </c>
      <c r="H61" s="65" t="s">
        <v>50</v>
      </c>
    </row>
    <row r="62" spans="1:8" x14ac:dyDescent="0.25">
      <c r="A62" s="2" t="s">
        <v>50</v>
      </c>
      <c r="B62" s="3" t="s">
        <v>50</v>
      </c>
      <c r="C62" s="3" t="s">
        <v>50</v>
      </c>
      <c r="D62" s="61" t="s">
        <v>891</v>
      </c>
      <c r="E62" s="140" t="s">
        <v>892</v>
      </c>
      <c r="F62" s="140"/>
      <c r="G62" s="62">
        <v>37.1</v>
      </c>
      <c r="H62" s="65" t="s">
        <v>50</v>
      </c>
    </row>
    <row r="63" spans="1:8" x14ac:dyDescent="0.25">
      <c r="A63" s="2" t="s">
        <v>141</v>
      </c>
      <c r="B63" s="3" t="s">
        <v>50</v>
      </c>
      <c r="C63" s="3" t="s">
        <v>142</v>
      </c>
      <c r="D63" s="97" t="s">
        <v>143</v>
      </c>
      <c r="E63" s="97"/>
      <c r="F63" s="3" t="s">
        <v>64</v>
      </c>
      <c r="G63" s="30">
        <v>15.39775</v>
      </c>
      <c r="H63" s="64">
        <v>0</v>
      </c>
    </row>
    <row r="64" spans="1:8" x14ac:dyDescent="0.25">
      <c r="A64" s="60"/>
      <c r="D64" s="61" t="s">
        <v>893</v>
      </c>
      <c r="E64" s="140" t="s">
        <v>867</v>
      </c>
      <c r="F64" s="140"/>
      <c r="G64" s="62">
        <v>15.39775</v>
      </c>
      <c r="H64" s="63"/>
    </row>
    <row r="65" spans="1:8" x14ac:dyDescent="0.25">
      <c r="A65" s="2" t="s">
        <v>144</v>
      </c>
      <c r="B65" s="3" t="s">
        <v>50</v>
      </c>
      <c r="C65" s="3" t="s">
        <v>145</v>
      </c>
      <c r="D65" s="97" t="s">
        <v>146</v>
      </c>
      <c r="E65" s="97"/>
      <c r="F65" s="3" t="s">
        <v>147</v>
      </c>
      <c r="G65" s="30">
        <v>48.50291</v>
      </c>
      <c r="H65" s="64">
        <v>0</v>
      </c>
    </row>
    <row r="66" spans="1:8" x14ac:dyDescent="0.25">
      <c r="A66" s="60"/>
      <c r="D66" s="61" t="s">
        <v>894</v>
      </c>
      <c r="E66" s="140" t="s">
        <v>867</v>
      </c>
      <c r="F66" s="140"/>
      <c r="G66" s="62">
        <v>46.193249999999999</v>
      </c>
      <c r="H66" s="63"/>
    </row>
    <row r="67" spans="1:8" x14ac:dyDescent="0.25">
      <c r="A67" s="2" t="s">
        <v>50</v>
      </c>
      <c r="B67" s="3" t="s">
        <v>50</v>
      </c>
      <c r="C67" s="3" t="s">
        <v>50</v>
      </c>
      <c r="D67" s="61" t="s">
        <v>895</v>
      </c>
      <c r="E67" s="140" t="s">
        <v>50</v>
      </c>
      <c r="F67" s="140"/>
      <c r="G67" s="62">
        <v>2.30966</v>
      </c>
      <c r="H67" s="65" t="s">
        <v>50</v>
      </c>
    </row>
    <row r="68" spans="1:8" x14ac:dyDescent="0.25">
      <c r="A68" s="2" t="s">
        <v>148</v>
      </c>
      <c r="B68" s="3" t="s">
        <v>50</v>
      </c>
      <c r="C68" s="3" t="s">
        <v>149</v>
      </c>
      <c r="D68" s="97" t="s">
        <v>150</v>
      </c>
      <c r="E68" s="97"/>
      <c r="F68" s="3" t="s">
        <v>64</v>
      </c>
      <c r="G68" s="30">
        <v>15.39775</v>
      </c>
      <c r="H68" s="64">
        <v>0</v>
      </c>
    </row>
    <row r="69" spans="1:8" x14ac:dyDescent="0.25">
      <c r="A69" s="60"/>
      <c r="D69" s="61" t="s">
        <v>893</v>
      </c>
      <c r="E69" s="140" t="s">
        <v>867</v>
      </c>
      <c r="F69" s="140"/>
      <c r="G69" s="62">
        <v>15.39775</v>
      </c>
      <c r="H69" s="63"/>
    </row>
    <row r="70" spans="1:8" x14ac:dyDescent="0.25">
      <c r="A70" s="2" t="s">
        <v>151</v>
      </c>
      <c r="B70" s="3" t="s">
        <v>50</v>
      </c>
      <c r="C70" s="3" t="s">
        <v>152</v>
      </c>
      <c r="D70" s="97" t="s">
        <v>153</v>
      </c>
      <c r="E70" s="97"/>
      <c r="F70" s="3" t="s">
        <v>80</v>
      </c>
      <c r="G70" s="30">
        <v>22.95</v>
      </c>
      <c r="H70" s="64">
        <v>0</v>
      </c>
    </row>
    <row r="71" spans="1:8" x14ac:dyDescent="0.25">
      <c r="A71" s="60"/>
      <c r="D71" s="61" t="s">
        <v>896</v>
      </c>
      <c r="E71" s="140" t="s">
        <v>867</v>
      </c>
      <c r="F71" s="140"/>
      <c r="G71" s="62">
        <v>22.95</v>
      </c>
      <c r="H71" s="63"/>
    </row>
    <row r="72" spans="1:8" x14ac:dyDescent="0.25">
      <c r="A72" s="2" t="s">
        <v>154</v>
      </c>
      <c r="B72" s="3" t="s">
        <v>50</v>
      </c>
      <c r="C72" s="3" t="s">
        <v>155</v>
      </c>
      <c r="D72" s="97" t="s">
        <v>156</v>
      </c>
      <c r="E72" s="97"/>
      <c r="F72" s="3" t="s">
        <v>64</v>
      </c>
      <c r="G72" s="30">
        <v>103.87475999999999</v>
      </c>
      <c r="H72" s="64">
        <v>0</v>
      </c>
    </row>
    <row r="73" spans="1:8" x14ac:dyDescent="0.25">
      <c r="A73" s="60"/>
      <c r="D73" s="61" t="s">
        <v>884</v>
      </c>
      <c r="E73" s="140" t="s">
        <v>885</v>
      </c>
      <c r="F73" s="140"/>
      <c r="G73" s="62">
        <v>17.599599999999999</v>
      </c>
      <c r="H73" s="63"/>
    </row>
    <row r="74" spans="1:8" x14ac:dyDescent="0.25">
      <c r="A74" s="2" t="s">
        <v>50</v>
      </c>
      <c r="B74" s="3" t="s">
        <v>50</v>
      </c>
      <c r="C74" s="3" t="s">
        <v>50</v>
      </c>
      <c r="D74" s="61" t="s">
        <v>897</v>
      </c>
      <c r="E74" s="140" t="s">
        <v>867</v>
      </c>
      <c r="F74" s="140"/>
      <c r="G74" s="62">
        <v>4.5015000000000001</v>
      </c>
      <c r="H74" s="65" t="s">
        <v>50</v>
      </c>
    </row>
    <row r="75" spans="1:8" x14ac:dyDescent="0.25">
      <c r="A75" s="2" t="s">
        <v>50</v>
      </c>
      <c r="B75" s="3" t="s">
        <v>50</v>
      </c>
      <c r="C75" s="3" t="s">
        <v>50</v>
      </c>
      <c r="D75" s="61" t="s">
        <v>887</v>
      </c>
      <c r="E75" s="140" t="s">
        <v>888</v>
      </c>
      <c r="F75" s="140"/>
      <c r="G75" s="62">
        <v>40.293500000000002</v>
      </c>
      <c r="H75" s="65" t="s">
        <v>50</v>
      </c>
    </row>
    <row r="76" spans="1:8" x14ac:dyDescent="0.25">
      <c r="A76" s="2" t="s">
        <v>50</v>
      </c>
      <c r="B76" s="3" t="s">
        <v>50</v>
      </c>
      <c r="C76" s="3" t="s">
        <v>50</v>
      </c>
      <c r="D76" s="61" t="s">
        <v>889</v>
      </c>
      <c r="E76" s="140" t="s">
        <v>890</v>
      </c>
      <c r="F76" s="140"/>
      <c r="G76" s="62">
        <v>41.480159999999998</v>
      </c>
      <c r="H76" s="65" t="s">
        <v>50</v>
      </c>
    </row>
    <row r="77" spans="1:8" x14ac:dyDescent="0.25">
      <c r="A77" s="2" t="s">
        <v>158</v>
      </c>
      <c r="B77" s="3" t="s">
        <v>50</v>
      </c>
      <c r="C77" s="3" t="s">
        <v>159</v>
      </c>
      <c r="D77" s="97" t="s">
        <v>160</v>
      </c>
      <c r="E77" s="97"/>
      <c r="F77" s="3" t="s">
        <v>80</v>
      </c>
      <c r="G77" s="30">
        <v>39.590000000000003</v>
      </c>
      <c r="H77" s="64">
        <v>0</v>
      </c>
    </row>
    <row r="78" spans="1:8" x14ac:dyDescent="0.25">
      <c r="A78" s="60"/>
      <c r="D78" s="61" t="s">
        <v>898</v>
      </c>
      <c r="E78" s="140" t="s">
        <v>872</v>
      </c>
      <c r="F78" s="140"/>
      <c r="G78" s="62">
        <v>11.59</v>
      </c>
      <c r="H78" s="63"/>
    </row>
    <row r="79" spans="1:8" x14ac:dyDescent="0.25">
      <c r="A79" s="2" t="s">
        <v>50</v>
      </c>
      <c r="B79" s="3" t="s">
        <v>50</v>
      </c>
      <c r="C79" s="3" t="s">
        <v>50</v>
      </c>
      <c r="D79" s="61" t="s">
        <v>899</v>
      </c>
      <c r="E79" s="140" t="s">
        <v>874</v>
      </c>
      <c r="F79" s="140"/>
      <c r="G79" s="62">
        <v>28</v>
      </c>
      <c r="H79" s="65" t="s">
        <v>50</v>
      </c>
    </row>
    <row r="80" spans="1:8" x14ac:dyDescent="0.25">
      <c r="A80" s="2" t="s">
        <v>161</v>
      </c>
      <c r="B80" s="3" t="s">
        <v>50</v>
      </c>
      <c r="C80" s="3" t="s">
        <v>162</v>
      </c>
      <c r="D80" s="97" t="s">
        <v>163</v>
      </c>
      <c r="E80" s="97"/>
      <c r="F80" s="3" t="s">
        <v>64</v>
      </c>
      <c r="G80" s="30">
        <v>103.87475999999999</v>
      </c>
      <c r="H80" s="64">
        <v>0</v>
      </c>
    </row>
    <row r="81" spans="1:8" x14ac:dyDescent="0.25">
      <c r="A81" s="60"/>
      <c r="D81" s="61" t="s">
        <v>884</v>
      </c>
      <c r="E81" s="140" t="s">
        <v>885</v>
      </c>
      <c r="F81" s="140"/>
      <c r="G81" s="62">
        <v>17.599599999999999</v>
      </c>
      <c r="H81" s="63"/>
    </row>
    <row r="82" spans="1:8" x14ac:dyDescent="0.25">
      <c r="A82" s="2" t="s">
        <v>50</v>
      </c>
      <c r="B82" s="3" t="s">
        <v>50</v>
      </c>
      <c r="C82" s="3" t="s">
        <v>50</v>
      </c>
      <c r="D82" s="61" t="s">
        <v>897</v>
      </c>
      <c r="E82" s="140" t="s">
        <v>867</v>
      </c>
      <c r="F82" s="140"/>
      <c r="G82" s="62">
        <v>4.5015000000000001</v>
      </c>
      <c r="H82" s="65" t="s">
        <v>50</v>
      </c>
    </row>
    <row r="83" spans="1:8" x14ac:dyDescent="0.25">
      <c r="A83" s="2" t="s">
        <v>50</v>
      </c>
      <c r="B83" s="3" t="s">
        <v>50</v>
      </c>
      <c r="C83" s="3" t="s">
        <v>50</v>
      </c>
      <c r="D83" s="61" t="s">
        <v>887</v>
      </c>
      <c r="E83" s="140" t="s">
        <v>888</v>
      </c>
      <c r="F83" s="140"/>
      <c r="G83" s="62">
        <v>40.293500000000002</v>
      </c>
      <c r="H83" s="65" t="s">
        <v>50</v>
      </c>
    </row>
    <row r="84" spans="1:8" x14ac:dyDescent="0.25">
      <c r="A84" s="2" t="s">
        <v>50</v>
      </c>
      <c r="B84" s="3" t="s">
        <v>50</v>
      </c>
      <c r="C84" s="3" t="s">
        <v>50</v>
      </c>
      <c r="D84" s="61" t="s">
        <v>889</v>
      </c>
      <c r="E84" s="140" t="s">
        <v>890</v>
      </c>
      <c r="F84" s="140"/>
      <c r="G84" s="62">
        <v>41.480159999999998</v>
      </c>
      <c r="H84" s="65" t="s">
        <v>50</v>
      </c>
    </row>
    <row r="85" spans="1:8" x14ac:dyDescent="0.25">
      <c r="A85" s="2" t="s">
        <v>165</v>
      </c>
      <c r="B85" s="3" t="s">
        <v>50</v>
      </c>
      <c r="C85" s="3" t="s">
        <v>166</v>
      </c>
      <c r="D85" s="97" t="s">
        <v>167</v>
      </c>
      <c r="E85" s="97"/>
      <c r="F85" s="3" t="s">
        <v>64</v>
      </c>
      <c r="G85" s="30">
        <v>33.36</v>
      </c>
      <c r="H85" s="64">
        <v>0</v>
      </c>
    </row>
    <row r="86" spans="1:8" x14ac:dyDescent="0.25">
      <c r="A86" s="60"/>
      <c r="D86" s="61" t="s">
        <v>900</v>
      </c>
      <c r="E86" s="140" t="s">
        <v>901</v>
      </c>
      <c r="F86" s="140"/>
      <c r="G86" s="62">
        <v>33.36</v>
      </c>
      <c r="H86" s="63"/>
    </row>
    <row r="87" spans="1:8" x14ac:dyDescent="0.25">
      <c r="A87" s="2" t="s">
        <v>169</v>
      </c>
      <c r="B87" s="3" t="s">
        <v>50</v>
      </c>
      <c r="C87" s="3" t="s">
        <v>170</v>
      </c>
      <c r="D87" s="97" t="s">
        <v>171</v>
      </c>
      <c r="E87" s="97"/>
      <c r="F87" s="3" t="s">
        <v>64</v>
      </c>
      <c r="G87" s="30">
        <v>33.36</v>
      </c>
      <c r="H87" s="64">
        <v>0</v>
      </c>
    </row>
    <row r="88" spans="1:8" x14ac:dyDescent="0.25">
      <c r="A88" s="60"/>
      <c r="D88" s="61" t="s">
        <v>900</v>
      </c>
      <c r="E88" s="140" t="s">
        <v>901</v>
      </c>
      <c r="F88" s="140"/>
      <c r="G88" s="62">
        <v>33.36</v>
      </c>
      <c r="H88" s="63"/>
    </row>
    <row r="89" spans="1:8" x14ac:dyDescent="0.25">
      <c r="A89" s="2" t="s">
        <v>51</v>
      </c>
      <c r="B89" s="3" t="s">
        <v>50</v>
      </c>
      <c r="C89" s="3" t="s">
        <v>172</v>
      </c>
      <c r="D89" s="97" t="s">
        <v>173</v>
      </c>
      <c r="E89" s="97"/>
      <c r="F89" s="3" t="s">
        <v>64</v>
      </c>
      <c r="G89" s="30">
        <v>4</v>
      </c>
      <c r="H89" s="64">
        <v>0</v>
      </c>
    </row>
    <row r="90" spans="1:8" x14ac:dyDescent="0.25">
      <c r="A90" s="60"/>
      <c r="D90" s="61" t="s">
        <v>902</v>
      </c>
      <c r="E90" s="140" t="s">
        <v>903</v>
      </c>
      <c r="F90" s="140"/>
      <c r="G90" s="62">
        <v>4</v>
      </c>
      <c r="H90" s="63"/>
    </row>
    <row r="91" spans="1:8" x14ac:dyDescent="0.25">
      <c r="A91" s="2" t="s">
        <v>175</v>
      </c>
      <c r="B91" s="3" t="s">
        <v>50</v>
      </c>
      <c r="C91" s="3" t="s">
        <v>113</v>
      </c>
      <c r="D91" s="97" t="s">
        <v>114</v>
      </c>
      <c r="E91" s="97"/>
      <c r="F91" s="3" t="s">
        <v>90</v>
      </c>
      <c r="G91" s="30">
        <v>3.87182</v>
      </c>
      <c r="H91" s="64">
        <v>0</v>
      </c>
    </row>
    <row r="92" spans="1:8" x14ac:dyDescent="0.25">
      <c r="A92" s="2" t="s">
        <v>178</v>
      </c>
      <c r="B92" s="3" t="s">
        <v>50</v>
      </c>
      <c r="C92" s="3" t="s">
        <v>179</v>
      </c>
      <c r="D92" s="97" t="s">
        <v>180</v>
      </c>
      <c r="E92" s="97"/>
      <c r="F92" s="3" t="s">
        <v>56</v>
      </c>
      <c r="G92" s="30">
        <v>1</v>
      </c>
      <c r="H92" s="64">
        <v>0</v>
      </c>
    </row>
    <row r="93" spans="1:8" x14ac:dyDescent="0.25">
      <c r="A93" s="60"/>
      <c r="D93" s="61" t="s">
        <v>53</v>
      </c>
      <c r="E93" s="140" t="s">
        <v>904</v>
      </c>
      <c r="F93" s="140"/>
      <c r="G93" s="62">
        <v>1</v>
      </c>
      <c r="H93" s="63"/>
    </row>
    <row r="94" spans="1:8" x14ac:dyDescent="0.25">
      <c r="A94" s="2" t="s">
        <v>182</v>
      </c>
      <c r="B94" s="3" t="s">
        <v>50</v>
      </c>
      <c r="C94" s="3" t="s">
        <v>183</v>
      </c>
      <c r="D94" s="97" t="s">
        <v>184</v>
      </c>
      <c r="E94" s="97"/>
      <c r="F94" s="3" t="s">
        <v>56</v>
      </c>
      <c r="G94" s="30">
        <v>1</v>
      </c>
      <c r="H94" s="64">
        <v>0</v>
      </c>
    </row>
    <row r="95" spans="1:8" x14ac:dyDescent="0.25">
      <c r="A95" s="60"/>
      <c r="D95" s="61" t="s">
        <v>53</v>
      </c>
      <c r="E95" s="140" t="s">
        <v>905</v>
      </c>
      <c r="F95" s="140"/>
      <c r="G95" s="62">
        <v>1</v>
      </c>
      <c r="H95" s="63"/>
    </row>
    <row r="96" spans="1:8" x14ac:dyDescent="0.25">
      <c r="A96" s="2" t="s">
        <v>186</v>
      </c>
      <c r="B96" s="3" t="s">
        <v>50</v>
      </c>
      <c r="C96" s="3" t="s">
        <v>187</v>
      </c>
      <c r="D96" s="97" t="s">
        <v>188</v>
      </c>
      <c r="E96" s="97"/>
      <c r="F96" s="3" t="s">
        <v>56</v>
      </c>
      <c r="G96" s="30">
        <v>1</v>
      </c>
      <c r="H96" s="64">
        <v>0</v>
      </c>
    </row>
    <row r="97" spans="1:8" x14ac:dyDescent="0.25">
      <c r="A97" s="60"/>
      <c r="D97" s="61" t="s">
        <v>53</v>
      </c>
      <c r="E97" s="140" t="s">
        <v>905</v>
      </c>
      <c r="F97" s="140"/>
      <c r="G97" s="62">
        <v>1</v>
      </c>
      <c r="H97" s="63"/>
    </row>
    <row r="98" spans="1:8" x14ac:dyDescent="0.25">
      <c r="A98" s="2" t="s">
        <v>189</v>
      </c>
      <c r="B98" s="3" t="s">
        <v>50</v>
      </c>
      <c r="C98" s="3" t="s">
        <v>190</v>
      </c>
      <c r="D98" s="97" t="s">
        <v>191</v>
      </c>
      <c r="E98" s="97"/>
      <c r="F98" s="3" t="s">
        <v>56</v>
      </c>
      <c r="G98" s="30">
        <v>4</v>
      </c>
      <c r="H98" s="64">
        <v>0</v>
      </c>
    </row>
    <row r="99" spans="1:8" x14ac:dyDescent="0.25">
      <c r="A99" s="60"/>
      <c r="D99" s="61" t="s">
        <v>70</v>
      </c>
      <c r="E99" s="140" t="s">
        <v>906</v>
      </c>
      <c r="F99" s="140"/>
      <c r="G99" s="62">
        <v>4</v>
      </c>
      <c r="H99" s="63"/>
    </row>
    <row r="100" spans="1:8" x14ac:dyDescent="0.25">
      <c r="A100" s="2" t="s">
        <v>192</v>
      </c>
      <c r="B100" s="3" t="s">
        <v>50</v>
      </c>
      <c r="C100" s="3" t="s">
        <v>113</v>
      </c>
      <c r="D100" s="97" t="s">
        <v>114</v>
      </c>
      <c r="E100" s="97"/>
      <c r="F100" s="3" t="s">
        <v>90</v>
      </c>
      <c r="G100" s="30">
        <v>0.1203</v>
      </c>
      <c r="H100" s="64">
        <v>0</v>
      </c>
    </row>
    <row r="101" spans="1:8" x14ac:dyDescent="0.25">
      <c r="A101" s="2" t="s">
        <v>195</v>
      </c>
      <c r="B101" s="3" t="s">
        <v>50</v>
      </c>
      <c r="C101" s="3" t="s">
        <v>196</v>
      </c>
      <c r="D101" s="97" t="s">
        <v>197</v>
      </c>
      <c r="E101" s="97"/>
      <c r="F101" s="3" t="s">
        <v>80</v>
      </c>
      <c r="G101" s="30">
        <v>16</v>
      </c>
      <c r="H101" s="64">
        <v>0</v>
      </c>
    </row>
    <row r="102" spans="1:8" x14ac:dyDescent="0.25">
      <c r="A102" s="60"/>
      <c r="D102" s="61" t="s">
        <v>907</v>
      </c>
      <c r="E102" s="140" t="s">
        <v>908</v>
      </c>
      <c r="F102" s="140"/>
      <c r="G102" s="62">
        <v>16</v>
      </c>
      <c r="H102" s="63"/>
    </row>
    <row r="103" spans="1:8" x14ac:dyDescent="0.25">
      <c r="A103" s="2" t="s">
        <v>200</v>
      </c>
      <c r="B103" s="3" t="s">
        <v>50</v>
      </c>
      <c r="C103" s="3" t="s">
        <v>201</v>
      </c>
      <c r="D103" s="97" t="s">
        <v>202</v>
      </c>
      <c r="E103" s="97"/>
      <c r="F103" s="3" t="s">
        <v>80</v>
      </c>
      <c r="G103" s="30">
        <v>1</v>
      </c>
      <c r="H103" s="64">
        <v>0</v>
      </c>
    </row>
    <row r="104" spans="1:8" x14ac:dyDescent="0.25">
      <c r="A104" s="60"/>
      <c r="D104" s="61" t="s">
        <v>53</v>
      </c>
      <c r="E104" s="140" t="s">
        <v>908</v>
      </c>
      <c r="F104" s="140"/>
      <c r="G104" s="62">
        <v>1</v>
      </c>
      <c r="H104" s="63"/>
    </row>
    <row r="105" spans="1:8" x14ac:dyDescent="0.25">
      <c r="A105" s="2" t="s">
        <v>203</v>
      </c>
      <c r="B105" s="3" t="s">
        <v>50</v>
      </c>
      <c r="C105" s="3" t="s">
        <v>204</v>
      </c>
      <c r="D105" s="97" t="s">
        <v>205</v>
      </c>
      <c r="E105" s="97"/>
      <c r="F105" s="3" t="s">
        <v>56</v>
      </c>
      <c r="G105" s="30">
        <v>8</v>
      </c>
      <c r="H105" s="64">
        <v>0</v>
      </c>
    </row>
    <row r="106" spans="1:8" x14ac:dyDescent="0.25">
      <c r="A106" s="60"/>
      <c r="D106" s="61" t="s">
        <v>84</v>
      </c>
      <c r="E106" s="140" t="s">
        <v>908</v>
      </c>
      <c r="F106" s="140"/>
      <c r="G106" s="62">
        <v>8</v>
      </c>
      <c r="H106" s="63"/>
    </row>
    <row r="107" spans="1:8" x14ac:dyDescent="0.25">
      <c r="A107" s="2" t="s">
        <v>206</v>
      </c>
      <c r="B107" s="3" t="s">
        <v>50</v>
      </c>
      <c r="C107" s="3" t="s">
        <v>207</v>
      </c>
      <c r="D107" s="97" t="s">
        <v>208</v>
      </c>
      <c r="E107" s="97"/>
      <c r="F107" s="3" t="s">
        <v>56</v>
      </c>
      <c r="G107" s="30">
        <v>1</v>
      </c>
      <c r="H107" s="64">
        <v>0</v>
      </c>
    </row>
    <row r="108" spans="1:8" x14ac:dyDescent="0.25">
      <c r="A108" s="60"/>
      <c r="D108" s="61" t="s">
        <v>53</v>
      </c>
      <c r="E108" s="140" t="s">
        <v>908</v>
      </c>
      <c r="F108" s="140"/>
      <c r="G108" s="62">
        <v>1</v>
      </c>
      <c r="H108" s="63"/>
    </row>
    <row r="109" spans="1:8" x14ac:dyDescent="0.25">
      <c r="A109" s="2" t="s">
        <v>209</v>
      </c>
      <c r="B109" s="3" t="s">
        <v>50</v>
      </c>
      <c r="C109" s="3" t="s">
        <v>210</v>
      </c>
      <c r="D109" s="97" t="s">
        <v>211</v>
      </c>
      <c r="E109" s="97"/>
      <c r="F109" s="3" t="s">
        <v>56</v>
      </c>
      <c r="G109" s="30">
        <v>1</v>
      </c>
      <c r="H109" s="64">
        <v>0</v>
      </c>
    </row>
    <row r="110" spans="1:8" x14ac:dyDescent="0.25">
      <c r="A110" s="60"/>
      <c r="D110" s="61" t="s">
        <v>53</v>
      </c>
      <c r="E110" s="140" t="s">
        <v>909</v>
      </c>
      <c r="F110" s="140"/>
      <c r="G110" s="62">
        <v>1</v>
      </c>
      <c r="H110" s="63"/>
    </row>
    <row r="111" spans="1:8" x14ac:dyDescent="0.25">
      <c r="A111" s="2" t="s">
        <v>212</v>
      </c>
      <c r="B111" s="3" t="s">
        <v>50</v>
      </c>
      <c r="C111" s="3" t="s">
        <v>213</v>
      </c>
      <c r="D111" s="97" t="s">
        <v>214</v>
      </c>
      <c r="E111" s="97"/>
      <c r="F111" s="3" t="s">
        <v>56</v>
      </c>
      <c r="G111" s="30">
        <v>1</v>
      </c>
      <c r="H111" s="64">
        <v>0</v>
      </c>
    </row>
    <row r="112" spans="1:8" x14ac:dyDescent="0.25">
      <c r="A112" s="60"/>
      <c r="D112" s="61" t="s">
        <v>53</v>
      </c>
      <c r="E112" s="140" t="s">
        <v>909</v>
      </c>
      <c r="F112" s="140"/>
      <c r="G112" s="62">
        <v>1</v>
      </c>
      <c r="H112" s="63"/>
    </row>
    <row r="113" spans="1:8" x14ac:dyDescent="0.25">
      <c r="A113" s="2" t="s">
        <v>215</v>
      </c>
      <c r="B113" s="3" t="s">
        <v>50</v>
      </c>
      <c r="C113" s="3" t="s">
        <v>216</v>
      </c>
      <c r="D113" s="97" t="s">
        <v>217</v>
      </c>
      <c r="E113" s="97"/>
      <c r="F113" s="3" t="s">
        <v>80</v>
      </c>
      <c r="G113" s="30">
        <v>17</v>
      </c>
      <c r="H113" s="64">
        <v>0</v>
      </c>
    </row>
    <row r="114" spans="1:8" x14ac:dyDescent="0.25">
      <c r="A114" s="60"/>
      <c r="D114" s="61" t="s">
        <v>910</v>
      </c>
      <c r="E114" s="140" t="s">
        <v>908</v>
      </c>
      <c r="F114" s="140"/>
      <c r="G114" s="62">
        <v>17</v>
      </c>
      <c r="H114" s="63"/>
    </row>
    <row r="115" spans="1:8" x14ac:dyDescent="0.25">
      <c r="A115" s="2" t="s">
        <v>218</v>
      </c>
      <c r="B115" s="3" t="s">
        <v>50</v>
      </c>
      <c r="C115" s="3" t="s">
        <v>219</v>
      </c>
      <c r="D115" s="97" t="s">
        <v>220</v>
      </c>
      <c r="E115" s="97"/>
      <c r="F115" s="3" t="s">
        <v>90</v>
      </c>
      <c r="G115" s="30">
        <v>9.0399999999999994E-3</v>
      </c>
      <c r="H115" s="64">
        <v>0</v>
      </c>
    </row>
    <row r="116" spans="1:8" x14ac:dyDescent="0.25">
      <c r="A116" s="2" t="s">
        <v>223</v>
      </c>
      <c r="B116" s="3" t="s">
        <v>50</v>
      </c>
      <c r="C116" s="3" t="s">
        <v>224</v>
      </c>
      <c r="D116" s="97" t="s">
        <v>225</v>
      </c>
      <c r="E116" s="97"/>
      <c r="F116" s="3" t="s">
        <v>80</v>
      </c>
      <c r="G116" s="30">
        <v>15.4</v>
      </c>
      <c r="H116" s="64">
        <v>0</v>
      </c>
    </row>
    <row r="117" spans="1:8" x14ac:dyDescent="0.25">
      <c r="A117" s="60"/>
      <c r="D117" s="61" t="s">
        <v>911</v>
      </c>
      <c r="E117" s="140" t="s">
        <v>912</v>
      </c>
      <c r="F117" s="140"/>
      <c r="G117" s="62">
        <v>8.1999999999999993</v>
      </c>
      <c r="H117" s="63"/>
    </row>
    <row r="118" spans="1:8" x14ac:dyDescent="0.25">
      <c r="A118" s="2" t="s">
        <v>50</v>
      </c>
      <c r="B118" s="3" t="s">
        <v>50</v>
      </c>
      <c r="C118" s="3" t="s">
        <v>50</v>
      </c>
      <c r="D118" s="61" t="s">
        <v>913</v>
      </c>
      <c r="E118" s="140" t="s">
        <v>914</v>
      </c>
      <c r="F118" s="140"/>
      <c r="G118" s="62">
        <v>7.2</v>
      </c>
      <c r="H118" s="65" t="s">
        <v>50</v>
      </c>
    </row>
    <row r="119" spans="1:8" x14ac:dyDescent="0.25">
      <c r="A119" s="2" t="s">
        <v>227</v>
      </c>
      <c r="B119" s="3" t="s">
        <v>50</v>
      </c>
      <c r="C119" s="3" t="s">
        <v>228</v>
      </c>
      <c r="D119" s="97" t="s">
        <v>229</v>
      </c>
      <c r="E119" s="97"/>
      <c r="F119" s="3" t="s">
        <v>80</v>
      </c>
      <c r="G119" s="30">
        <v>5.4</v>
      </c>
      <c r="H119" s="64">
        <v>0</v>
      </c>
    </row>
    <row r="120" spans="1:8" x14ac:dyDescent="0.25">
      <c r="A120" s="60"/>
      <c r="D120" s="61" t="s">
        <v>915</v>
      </c>
      <c r="E120" s="140" t="s">
        <v>912</v>
      </c>
      <c r="F120" s="140"/>
      <c r="G120" s="62">
        <v>2.7</v>
      </c>
      <c r="H120" s="63"/>
    </row>
    <row r="121" spans="1:8" x14ac:dyDescent="0.25">
      <c r="A121" s="2" t="s">
        <v>50</v>
      </c>
      <c r="B121" s="3" t="s">
        <v>50</v>
      </c>
      <c r="C121" s="3" t="s">
        <v>50</v>
      </c>
      <c r="D121" s="61" t="s">
        <v>915</v>
      </c>
      <c r="E121" s="140" t="s">
        <v>914</v>
      </c>
      <c r="F121" s="140"/>
      <c r="G121" s="62">
        <v>2.7</v>
      </c>
      <c r="H121" s="65" t="s">
        <v>50</v>
      </c>
    </row>
    <row r="122" spans="1:8" x14ac:dyDescent="0.25">
      <c r="A122" s="2" t="s">
        <v>230</v>
      </c>
      <c r="B122" s="3" t="s">
        <v>50</v>
      </c>
      <c r="C122" s="3" t="s">
        <v>231</v>
      </c>
      <c r="D122" s="97" t="s">
        <v>232</v>
      </c>
      <c r="E122" s="97"/>
      <c r="F122" s="3" t="s">
        <v>80</v>
      </c>
      <c r="G122" s="30">
        <v>9</v>
      </c>
      <c r="H122" s="64">
        <v>0</v>
      </c>
    </row>
    <row r="123" spans="1:8" x14ac:dyDescent="0.25">
      <c r="A123" s="60"/>
      <c r="D123" s="61" t="s">
        <v>916</v>
      </c>
      <c r="E123" s="140" t="s">
        <v>917</v>
      </c>
      <c r="F123" s="140"/>
      <c r="G123" s="62">
        <v>4.5</v>
      </c>
      <c r="H123" s="63"/>
    </row>
    <row r="124" spans="1:8" x14ac:dyDescent="0.25">
      <c r="A124" s="2" t="s">
        <v>50</v>
      </c>
      <c r="B124" s="3" t="s">
        <v>50</v>
      </c>
      <c r="C124" s="3" t="s">
        <v>50</v>
      </c>
      <c r="D124" s="61" t="s">
        <v>916</v>
      </c>
      <c r="E124" s="140" t="s">
        <v>918</v>
      </c>
      <c r="F124" s="140"/>
      <c r="G124" s="62">
        <v>4.5</v>
      </c>
      <c r="H124" s="65" t="s">
        <v>50</v>
      </c>
    </row>
    <row r="125" spans="1:8" x14ac:dyDescent="0.25">
      <c r="A125" s="2" t="s">
        <v>233</v>
      </c>
      <c r="B125" s="3" t="s">
        <v>50</v>
      </c>
      <c r="C125" s="3" t="s">
        <v>234</v>
      </c>
      <c r="D125" s="97" t="s">
        <v>235</v>
      </c>
      <c r="E125" s="97"/>
      <c r="F125" s="3" t="s">
        <v>80</v>
      </c>
      <c r="G125" s="30">
        <v>15.4</v>
      </c>
      <c r="H125" s="64">
        <v>0</v>
      </c>
    </row>
    <row r="126" spans="1:8" x14ac:dyDescent="0.25">
      <c r="A126" s="60"/>
      <c r="D126" s="61" t="s">
        <v>911</v>
      </c>
      <c r="E126" s="140" t="s">
        <v>912</v>
      </c>
      <c r="F126" s="140"/>
      <c r="G126" s="62">
        <v>8.1999999999999993</v>
      </c>
      <c r="H126" s="63"/>
    </row>
    <row r="127" spans="1:8" x14ac:dyDescent="0.25">
      <c r="A127" s="2" t="s">
        <v>50</v>
      </c>
      <c r="B127" s="3" t="s">
        <v>50</v>
      </c>
      <c r="C127" s="3" t="s">
        <v>50</v>
      </c>
      <c r="D127" s="61" t="s">
        <v>913</v>
      </c>
      <c r="E127" s="140" t="s">
        <v>914</v>
      </c>
      <c r="F127" s="140"/>
      <c r="G127" s="62">
        <v>7.2</v>
      </c>
      <c r="H127" s="65" t="s">
        <v>50</v>
      </c>
    </row>
    <row r="128" spans="1:8" x14ac:dyDescent="0.25">
      <c r="A128" s="2" t="s">
        <v>236</v>
      </c>
      <c r="B128" s="3" t="s">
        <v>50</v>
      </c>
      <c r="C128" s="3" t="s">
        <v>237</v>
      </c>
      <c r="D128" s="97" t="s">
        <v>238</v>
      </c>
      <c r="E128" s="97"/>
      <c r="F128" s="3" t="s">
        <v>80</v>
      </c>
      <c r="G128" s="30">
        <v>5.4</v>
      </c>
      <c r="H128" s="64">
        <v>0</v>
      </c>
    </row>
    <row r="129" spans="1:8" x14ac:dyDescent="0.25">
      <c r="A129" s="60"/>
      <c r="D129" s="61" t="s">
        <v>915</v>
      </c>
      <c r="E129" s="140" t="s">
        <v>912</v>
      </c>
      <c r="F129" s="140"/>
      <c r="G129" s="62">
        <v>2.7</v>
      </c>
      <c r="H129" s="63"/>
    </row>
    <row r="130" spans="1:8" x14ac:dyDescent="0.25">
      <c r="A130" s="2" t="s">
        <v>50</v>
      </c>
      <c r="B130" s="3" t="s">
        <v>50</v>
      </c>
      <c r="C130" s="3" t="s">
        <v>50</v>
      </c>
      <c r="D130" s="61" t="s">
        <v>915</v>
      </c>
      <c r="E130" s="140" t="s">
        <v>914</v>
      </c>
      <c r="F130" s="140"/>
      <c r="G130" s="62">
        <v>2.7</v>
      </c>
      <c r="H130" s="65" t="s">
        <v>50</v>
      </c>
    </row>
    <row r="131" spans="1:8" x14ac:dyDescent="0.25">
      <c r="A131" s="2" t="s">
        <v>239</v>
      </c>
      <c r="B131" s="3" t="s">
        <v>50</v>
      </c>
      <c r="C131" s="3" t="s">
        <v>240</v>
      </c>
      <c r="D131" s="97" t="s">
        <v>241</v>
      </c>
      <c r="E131" s="97"/>
      <c r="F131" s="3" t="s">
        <v>80</v>
      </c>
      <c r="G131" s="30">
        <v>15.4</v>
      </c>
      <c r="H131" s="64">
        <v>0</v>
      </c>
    </row>
    <row r="132" spans="1:8" x14ac:dyDescent="0.25">
      <c r="A132" s="60"/>
      <c r="D132" s="61" t="s">
        <v>911</v>
      </c>
      <c r="E132" s="140" t="s">
        <v>912</v>
      </c>
      <c r="F132" s="140"/>
      <c r="G132" s="62">
        <v>8.1999999999999993</v>
      </c>
      <c r="H132" s="63"/>
    </row>
    <row r="133" spans="1:8" x14ac:dyDescent="0.25">
      <c r="A133" s="2" t="s">
        <v>50</v>
      </c>
      <c r="B133" s="3" t="s">
        <v>50</v>
      </c>
      <c r="C133" s="3" t="s">
        <v>50</v>
      </c>
      <c r="D133" s="61" t="s">
        <v>913</v>
      </c>
      <c r="E133" s="140" t="s">
        <v>914</v>
      </c>
      <c r="F133" s="140"/>
      <c r="G133" s="62">
        <v>7.2</v>
      </c>
      <c r="H133" s="65" t="s">
        <v>50</v>
      </c>
    </row>
    <row r="134" spans="1:8" x14ac:dyDescent="0.25">
      <c r="A134" s="2" t="s">
        <v>242</v>
      </c>
      <c r="B134" s="3" t="s">
        <v>50</v>
      </c>
      <c r="C134" s="3" t="s">
        <v>243</v>
      </c>
      <c r="D134" s="97" t="s">
        <v>244</v>
      </c>
      <c r="E134" s="97"/>
      <c r="F134" s="3" t="s">
        <v>80</v>
      </c>
      <c r="G134" s="30">
        <v>15.4</v>
      </c>
      <c r="H134" s="64">
        <v>0</v>
      </c>
    </row>
    <row r="135" spans="1:8" x14ac:dyDescent="0.25">
      <c r="A135" s="60"/>
      <c r="D135" s="61" t="s">
        <v>911</v>
      </c>
      <c r="E135" s="140" t="s">
        <v>912</v>
      </c>
      <c r="F135" s="140"/>
      <c r="G135" s="62">
        <v>8.1999999999999993</v>
      </c>
      <c r="H135" s="63"/>
    </row>
    <row r="136" spans="1:8" x14ac:dyDescent="0.25">
      <c r="A136" s="2" t="s">
        <v>50</v>
      </c>
      <c r="B136" s="3" t="s">
        <v>50</v>
      </c>
      <c r="C136" s="3" t="s">
        <v>50</v>
      </c>
      <c r="D136" s="61" t="s">
        <v>913</v>
      </c>
      <c r="E136" s="140" t="s">
        <v>914</v>
      </c>
      <c r="F136" s="140"/>
      <c r="G136" s="62">
        <v>7.2</v>
      </c>
      <c r="H136" s="65" t="s">
        <v>50</v>
      </c>
    </row>
    <row r="137" spans="1:8" x14ac:dyDescent="0.25">
      <c r="A137" s="2" t="s">
        <v>246</v>
      </c>
      <c r="B137" s="3" t="s">
        <v>50</v>
      </c>
      <c r="C137" s="3" t="s">
        <v>247</v>
      </c>
      <c r="D137" s="97" t="s">
        <v>244</v>
      </c>
      <c r="E137" s="97"/>
      <c r="F137" s="3" t="s">
        <v>80</v>
      </c>
      <c r="G137" s="30">
        <v>5.4</v>
      </c>
      <c r="H137" s="64">
        <v>0</v>
      </c>
    </row>
    <row r="138" spans="1:8" x14ac:dyDescent="0.25">
      <c r="A138" s="60"/>
      <c r="D138" s="61" t="s">
        <v>915</v>
      </c>
      <c r="E138" s="140" t="s">
        <v>912</v>
      </c>
      <c r="F138" s="140"/>
      <c r="G138" s="62">
        <v>2.7</v>
      </c>
      <c r="H138" s="63"/>
    </row>
    <row r="139" spans="1:8" x14ac:dyDescent="0.25">
      <c r="A139" s="2" t="s">
        <v>50</v>
      </c>
      <c r="B139" s="3" t="s">
        <v>50</v>
      </c>
      <c r="C139" s="3" t="s">
        <v>50</v>
      </c>
      <c r="D139" s="61" t="s">
        <v>915</v>
      </c>
      <c r="E139" s="140" t="s">
        <v>914</v>
      </c>
      <c r="F139" s="140"/>
      <c r="G139" s="62">
        <v>2.7</v>
      </c>
      <c r="H139" s="65" t="s">
        <v>50</v>
      </c>
    </row>
    <row r="140" spans="1:8" x14ac:dyDescent="0.25">
      <c r="A140" s="2" t="s">
        <v>249</v>
      </c>
      <c r="B140" s="3" t="s">
        <v>50</v>
      </c>
      <c r="C140" s="3" t="s">
        <v>250</v>
      </c>
      <c r="D140" s="97" t="s">
        <v>244</v>
      </c>
      <c r="E140" s="97"/>
      <c r="F140" s="3" t="s">
        <v>80</v>
      </c>
      <c r="G140" s="30">
        <v>9</v>
      </c>
      <c r="H140" s="64">
        <v>0</v>
      </c>
    </row>
    <row r="141" spans="1:8" x14ac:dyDescent="0.25">
      <c r="A141" s="60"/>
      <c r="D141" s="61" t="s">
        <v>916</v>
      </c>
      <c r="E141" s="140" t="s">
        <v>917</v>
      </c>
      <c r="F141" s="140"/>
      <c r="G141" s="62">
        <v>4.5</v>
      </c>
      <c r="H141" s="63"/>
    </row>
    <row r="142" spans="1:8" x14ac:dyDescent="0.25">
      <c r="A142" s="2" t="s">
        <v>50</v>
      </c>
      <c r="B142" s="3" t="s">
        <v>50</v>
      </c>
      <c r="C142" s="3" t="s">
        <v>50</v>
      </c>
      <c r="D142" s="61" t="s">
        <v>916</v>
      </c>
      <c r="E142" s="140" t="s">
        <v>918</v>
      </c>
      <c r="F142" s="140"/>
      <c r="G142" s="62">
        <v>4.5</v>
      </c>
      <c r="H142" s="65" t="s">
        <v>50</v>
      </c>
    </row>
    <row r="143" spans="1:8" x14ac:dyDescent="0.25">
      <c r="A143" s="2" t="s">
        <v>252</v>
      </c>
      <c r="B143" s="3" t="s">
        <v>50</v>
      </c>
      <c r="C143" s="3" t="s">
        <v>253</v>
      </c>
      <c r="D143" s="97" t="s">
        <v>254</v>
      </c>
      <c r="E143" s="97"/>
      <c r="F143" s="3" t="s">
        <v>56</v>
      </c>
      <c r="G143" s="30">
        <v>10</v>
      </c>
      <c r="H143" s="64">
        <v>0</v>
      </c>
    </row>
    <row r="144" spans="1:8" x14ac:dyDescent="0.25">
      <c r="A144" s="60"/>
      <c r="D144" s="61" t="s">
        <v>91</v>
      </c>
      <c r="E144" s="140" t="s">
        <v>50</v>
      </c>
      <c r="F144" s="140"/>
      <c r="G144" s="62">
        <v>10</v>
      </c>
      <c r="H144" s="63"/>
    </row>
    <row r="145" spans="1:8" x14ac:dyDescent="0.25">
      <c r="A145" s="2" t="s">
        <v>255</v>
      </c>
      <c r="B145" s="3" t="s">
        <v>50</v>
      </c>
      <c r="C145" s="3" t="s">
        <v>256</v>
      </c>
      <c r="D145" s="97" t="s">
        <v>257</v>
      </c>
      <c r="E145" s="97"/>
      <c r="F145" s="3" t="s">
        <v>56</v>
      </c>
      <c r="G145" s="30">
        <v>2</v>
      </c>
      <c r="H145" s="64">
        <v>0</v>
      </c>
    </row>
    <row r="146" spans="1:8" x14ac:dyDescent="0.25">
      <c r="A146" s="60"/>
      <c r="D146" s="61" t="s">
        <v>61</v>
      </c>
      <c r="E146" s="140" t="s">
        <v>50</v>
      </c>
      <c r="F146" s="140"/>
      <c r="G146" s="62">
        <v>2</v>
      </c>
      <c r="H146" s="63"/>
    </row>
    <row r="147" spans="1:8" x14ac:dyDescent="0.25">
      <c r="A147" s="2" t="s">
        <v>258</v>
      </c>
      <c r="B147" s="3" t="s">
        <v>50</v>
      </c>
      <c r="C147" s="3" t="s">
        <v>259</v>
      </c>
      <c r="D147" s="97" t="s">
        <v>260</v>
      </c>
      <c r="E147" s="97"/>
      <c r="F147" s="3" t="s">
        <v>56</v>
      </c>
      <c r="G147" s="30">
        <v>2</v>
      </c>
      <c r="H147" s="64">
        <v>0</v>
      </c>
    </row>
    <row r="148" spans="1:8" x14ac:dyDescent="0.25">
      <c r="A148" s="60"/>
      <c r="D148" s="61" t="s">
        <v>61</v>
      </c>
      <c r="E148" s="140" t="s">
        <v>50</v>
      </c>
      <c r="F148" s="140"/>
      <c r="G148" s="62">
        <v>2</v>
      </c>
      <c r="H148" s="63"/>
    </row>
    <row r="149" spans="1:8" x14ac:dyDescent="0.25">
      <c r="A149" s="2" t="s">
        <v>115</v>
      </c>
      <c r="B149" s="3" t="s">
        <v>50</v>
      </c>
      <c r="C149" s="3" t="s">
        <v>261</v>
      </c>
      <c r="D149" s="97" t="s">
        <v>262</v>
      </c>
      <c r="E149" s="97"/>
      <c r="F149" s="3" t="s">
        <v>56</v>
      </c>
      <c r="G149" s="30">
        <v>10</v>
      </c>
      <c r="H149" s="64">
        <v>0</v>
      </c>
    </row>
    <row r="150" spans="1:8" x14ac:dyDescent="0.25">
      <c r="A150" s="60"/>
      <c r="D150" s="61" t="s">
        <v>91</v>
      </c>
      <c r="E150" s="140" t="s">
        <v>50</v>
      </c>
      <c r="F150" s="140"/>
      <c r="G150" s="62">
        <v>10</v>
      </c>
      <c r="H150" s="63"/>
    </row>
    <row r="151" spans="1:8" x14ac:dyDescent="0.25">
      <c r="A151" s="2" t="s">
        <v>263</v>
      </c>
      <c r="B151" s="3" t="s">
        <v>50</v>
      </c>
      <c r="C151" s="3" t="s">
        <v>264</v>
      </c>
      <c r="D151" s="97" t="s">
        <v>265</v>
      </c>
      <c r="E151" s="97"/>
      <c r="F151" s="3" t="s">
        <v>56</v>
      </c>
      <c r="G151" s="30">
        <v>2</v>
      </c>
      <c r="H151" s="64">
        <v>0</v>
      </c>
    </row>
    <row r="152" spans="1:8" x14ac:dyDescent="0.25">
      <c r="A152" s="60"/>
      <c r="D152" s="61" t="s">
        <v>61</v>
      </c>
      <c r="E152" s="140" t="s">
        <v>50</v>
      </c>
      <c r="F152" s="140"/>
      <c r="G152" s="62">
        <v>2</v>
      </c>
      <c r="H152" s="63"/>
    </row>
    <row r="153" spans="1:8" x14ac:dyDescent="0.25">
      <c r="A153" s="2" t="s">
        <v>266</v>
      </c>
      <c r="B153" s="3" t="s">
        <v>50</v>
      </c>
      <c r="C153" s="3" t="s">
        <v>267</v>
      </c>
      <c r="D153" s="97" t="s">
        <v>268</v>
      </c>
      <c r="E153" s="97"/>
      <c r="F153" s="3" t="s">
        <v>269</v>
      </c>
      <c r="G153" s="30">
        <v>1</v>
      </c>
      <c r="H153" s="64">
        <v>0</v>
      </c>
    </row>
    <row r="154" spans="1:8" x14ac:dyDescent="0.25">
      <c r="A154" s="60"/>
      <c r="D154" s="61" t="s">
        <v>53</v>
      </c>
      <c r="E154" s="140" t="s">
        <v>50</v>
      </c>
      <c r="F154" s="140"/>
      <c r="G154" s="62">
        <v>1</v>
      </c>
      <c r="H154" s="63"/>
    </row>
    <row r="155" spans="1:8" x14ac:dyDescent="0.25">
      <c r="A155" s="2" t="s">
        <v>176</v>
      </c>
      <c r="B155" s="3" t="s">
        <v>50</v>
      </c>
      <c r="C155" s="3" t="s">
        <v>270</v>
      </c>
      <c r="D155" s="97" t="s">
        <v>271</v>
      </c>
      <c r="E155" s="97"/>
      <c r="F155" s="3" t="s">
        <v>56</v>
      </c>
      <c r="G155" s="30">
        <v>10</v>
      </c>
      <c r="H155" s="64">
        <v>0</v>
      </c>
    </row>
    <row r="156" spans="1:8" x14ac:dyDescent="0.25">
      <c r="A156" s="60"/>
      <c r="D156" s="61" t="s">
        <v>91</v>
      </c>
      <c r="E156" s="140" t="s">
        <v>50</v>
      </c>
      <c r="F156" s="140"/>
      <c r="G156" s="62">
        <v>10</v>
      </c>
      <c r="H156" s="63"/>
    </row>
    <row r="157" spans="1:8" x14ac:dyDescent="0.25">
      <c r="A157" s="2" t="s">
        <v>272</v>
      </c>
      <c r="B157" s="3" t="s">
        <v>50</v>
      </c>
      <c r="C157" s="3" t="s">
        <v>273</v>
      </c>
      <c r="D157" s="97" t="s">
        <v>274</v>
      </c>
      <c r="E157" s="97"/>
      <c r="F157" s="3" t="s">
        <v>80</v>
      </c>
      <c r="G157" s="30">
        <v>29.8</v>
      </c>
      <c r="H157" s="64">
        <v>0</v>
      </c>
    </row>
    <row r="158" spans="1:8" x14ac:dyDescent="0.25">
      <c r="A158" s="60"/>
      <c r="D158" s="61" t="s">
        <v>860</v>
      </c>
      <c r="E158" s="140" t="s">
        <v>919</v>
      </c>
      <c r="F158" s="140"/>
      <c r="G158" s="62">
        <v>29.8</v>
      </c>
      <c r="H158" s="63"/>
    </row>
    <row r="159" spans="1:8" x14ac:dyDescent="0.25">
      <c r="A159" s="2" t="s">
        <v>275</v>
      </c>
      <c r="B159" s="3" t="s">
        <v>50</v>
      </c>
      <c r="C159" s="3" t="s">
        <v>276</v>
      </c>
      <c r="D159" s="97" t="s">
        <v>277</v>
      </c>
      <c r="E159" s="97"/>
      <c r="F159" s="3" t="s">
        <v>80</v>
      </c>
      <c r="G159" s="30">
        <v>29.8</v>
      </c>
      <c r="H159" s="64">
        <v>0</v>
      </c>
    </row>
    <row r="160" spans="1:8" x14ac:dyDescent="0.25">
      <c r="A160" s="60"/>
      <c r="D160" s="61" t="s">
        <v>860</v>
      </c>
      <c r="E160" s="140" t="s">
        <v>919</v>
      </c>
      <c r="F160" s="140"/>
      <c r="G160" s="62">
        <v>29.8</v>
      </c>
      <c r="H160" s="63"/>
    </row>
    <row r="161" spans="1:8" x14ac:dyDescent="0.25">
      <c r="A161" s="2" t="s">
        <v>278</v>
      </c>
      <c r="B161" s="3" t="s">
        <v>50</v>
      </c>
      <c r="C161" s="3" t="s">
        <v>279</v>
      </c>
      <c r="D161" s="97" t="s">
        <v>280</v>
      </c>
      <c r="E161" s="97"/>
      <c r="F161" s="3" t="s">
        <v>90</v>
      </c>
      <c r="G161" s="30">
        <v>0.10738</v>
      </c>
      <c r="H161" s="64">
        <v>0</v>
      </c>
    </row>
    <row r="162" spans="1:8" x14ac:dyDescent="0.25">
      <c r="A162" s="2" t="s">
        <v>283</v>
      </c>
      <c r="B162" s="3" t="s">
        <v>50</v>
      </c>
      <c r="C162" s="3" t="s">
        <v>284</v>
      </c>
      <c r="D162" s="97" t="s">
        <v>285</v>
      </c>
      <c r="E162" s="97"/>
      <c r="F162" s="3" t="s">
        <v>80</v>
      </c>
      <c r="G162" s="30">
        <v>20.5</v>
      </c>
      <c r="H162" s="64">
        <v>0</v>
      </c>
    </row>
    <row r="163" spans="1:8" x14ac:dyDescent="0.25">
      <c r="A163" s="60"/>
      <c r="D163" s="61" t="s">
        <v>920</v>
      </c>
      <c r="E163" s="140" t="s">
        <v>856</v>
      </c>
      <c r="F163" s="140"/>
      <c r="G163" s="62">
        <v>20.5</v>
      </c>
      <c r="H163" s="63"/>
    </row>
    <row r="164" spans="1:8" x14ac:dyDescent="0.25">
      <c r="A164" s="2" t="s">
        <v>287</v>
      </c>
      <c r="B164" s="3" t="s">
        <v>50</v>
      </c>
      <c r="C164" s="3" t="s">
        <v>288</v>
      </c>
      <c r="D164" s="97" t="s">
        <v>289</v>
      </c>
      <c r="E164" s="97"/>
      <c r="F164" s="3" t="s">
        <v>80</v>
      </c>
      <c r="G164" s="30">
        <v>7.5</v>
      </c>
      <c r="H164" s="64">
        <v>0</v>
      </c>
    </row>
    <row r="165" spans="1:8" x14ac:dyDescent="0.25">
      <c r="A165" s="60"/>
      <c r="D165" s="61" t="s">
        <v>921</v>
      </c>
      <c r="E165" s="140" t="s">
        <v>922</v>
      </c>
      <c r="F165" s="140"/>
      <c r="G165" s="62">
        <v>7.5</v>
      </c>
      <c r="H165" s="63"/>
    </row>
    <row r="166" spans="1:8" x14ac:dyDescent="0.25">
      <c r="A166" s="2" t="s">
        <v>290</v>
      </c>
      <c r="B166" s="3" t="s">
        <v>50</v>
      </c>
      <c r="C166" s="3" t="s">
        <v>291</v>
      </c>
      <c r="D166" s="97" t="s">
        <v>292</v>
      </c>
      <c r="E166" s="97"/>
      <c r="F166" s="3" t="s">
        <v>56</v>
      </c>
      <c r="G166" s="30">
        <v>1</v>
      </c>
      <c r="H166" s="64">
        <v>0</v>
      </c>
    </row>
    <row r="167" spans="1:8" x14ac:dyDescent="0.25">
      <c r="A167" s="60"/>
      <c r="D167" s="61" t="s">
        <v>53</v>
      </c>
      <c r="E167" s="140" t="s">
        <v>50</v>
      </c>
      <c r="F167" s="140"/>
      <c r="G167" s="62">
        <v>1</v>
      </c>
      <c r="H167" s="63"/>
    </row>
    <row r="168" spans="1:8" x14ac:dyDescent="0.25">
      <c r="A168" s="2" t="s">
        <v>293</v>
      </c>
      <c r="B168" s="3" t="s">
        <v>50</v>
      </c>
      <c r="C168" s="3" t="s">
        <v>294</v>
      </c>
      <c r="D168" s="97" t="s">
        <v>295</v>
      </c>
      <c r="E168" s="97"/>
      <c r="F168" s="3" t="s">
        <v>80</v>
      </c>
      <c r="G168" s="30">
        <v>7.5</v>
      </c>
      <c r="H168" s="64">
        <v>0</v>
      </c>
    </row>
    <row r="169" spans="1:8" x14ac:dyDescent="0.25">
      <c r="A169" s="60"/>
      <c r="D169" s="61" t="s">
        <v>921</v>
      </c>
      <c r="E169" s="140" t="s">
        <v>922</v>
      </c>
      <c r="F169" s="140"/>
      <c r="G169" s="62">
        <v>7.5</v>
      </c>
      <c r="H169" s="63"/>
    </row>
    <row r="170" spans="1:8" x14ac:dyDescent="0.25">
      <c r="A170" s="2" t="s">
        <v>296</v>
      </c>
      <c r="B170" s="3" t="s">
        <v>50</v>
      </c>
      <c r="C170" s="3" t="s">
        <v>297</v>
      </c>
      <c r="D170" s="97" t="s">
        <v>298</v>
      </c>
      <c r="E170" s="97"/>
      <c r="F170" s="3" t="s">
        <v>56</v>
      </c>
      <c r="G170" s="30">
        <v>1</v>
      </c>
      <c r="H170" s="64">
        <v>0</v>
      </c>
    </row>
    <row r="171" spans="1:8" x14ac:dyDescent="0.25">
      <c r="A171" s="60"/>
      <c r="D171" s="61" t="s">
        <v>53</v>
      </c>
      <c r="E171" s="140" t="s">
        <v>923</v>
      </c>
      <c r="F171" s="140"/>
      <c r="G171" s="62">
        <v>1</v>
      </c>
      <c r="H171" s="63"/>
    </row>
    <row r="172" spans="1:8" x14ac:dyDescent="0.25">
      <c r="A172" s="2" t="s">
        <v>299</v>
      </c>
      <c r="B172" s="3" t="s">
        <v>50</v>
      </c>
      <c r="C172" s="3" t="s">
        <v>300</v>
      </c>
      <c r="D172" s="97" t="s">
        <v>301</v>
      </c>
      <c r="E172" s="97"/>
      <c r="F172" s="3" t="s">
        <v>90</v>
      </c>
      <c r="G172" s="30">
        <v>9.3960000000000002E-2</v>
      </c>
      <c r="H172" s="64">
        <v>0</v>
      </c>
    </row>
    <row r="173" spans="1:8" x14ac:dyDescent="0.25">
      <c r="A173" s="2" t="s">
        <v>304</v>
      </c>
      <c r="B173" s="3" t="s">
        <v>50</v>
      </c>
      <c r="C173" s="3" t="s">
        <v>305</v>
      </c>
      <c r="D173" s="97" t="s">
        <v>306</v>
      </c>
      <c r="E173" s="97"/>
      <c r="F173" s="3" t="s">
        <v>307</v>
      </c>
      <c r="G173" s="30">
        <v>1</v>
      </c>
      <c r="H173" s="64">
        <v>0</v>
      </c>
    </row>
    <row r="174" spans="1:8" x14ac:dyDescent="0.25">
      <c r="A174" s="60"/>
      <c r="D174" s="61" t="s">
        <v>53</v>
      </c>
      <c r="E174" s="140" t="s">
        <v>50</v>
      </c>
      <c r="F174" s="140"/>
      <c r="G174" s="62">
        <v>1</v>
      </c>
      <c r="H174" s="63"/>
    </row>
    <row r="175" spans="1:8" x14ac:dyDescent="0.25">
      <c r="A175" s="2" t="s">
        <v>309</v>
      </c>
      <c r="B175" s="3" t="s">
        <v>50</v>
      </c>
      <c r="C175" s="3" t="s">
        <v>310</v>
      </c>
      <c r="D175" s="97" t="s">
        <v>311</v>
      </c>
      <c r="E175" s="97"/>
      <c r="F175" s="3" t="s">
        <v>307</v>
      </c>
      <c r="G175" s="30">
        <v>2</v>
      </c>
      <c r="H175" s="64">
        <v>0</v>
      </c>
    </row>
    <row r="176" spans="1:8" x14ac:dyDescent="0.25">
      <c r="A176" s="60"/>
      <c r="D176" s="61" t="s">
        <v>61</v>
      </c>
      <c r="E176" s="140" t="s">
        <v>50</v>
      </c>
      <c r="F176" s="140"/>
      <c r="G176" s="62">
        <v>2</v>
      </c>
      <c r="H176" s="63"/>
    </row>
    <row r="177" spans="1:8" x14ac:dyDescent="0.25">
      <c r="A177" s="2" t="s">
        <v>312</v>
      </c>
      <c r="B177" s="3" t="s">
        <v>50</v>
      </c>
      <c r="C177" s="3" t="s">
        <v>313</v>
      </c>
      <c r="D177" s="97" t="s">
        <v>314</v>
      </c>
      <c r="E177" s="97"/>
      <c r="F177" s="3" t="s">
        <v>307</v>
      </c>
      <c r="G177" s="30">
        <v>1</v>
      </c>
      <c r="H177" s="64">
        <v>0</v>
      </c>
    </row>
    <row r="178" spans="1:8" x14ac:dyDescent="0.25">
      <c r="A178" s="60"/>
      <c r="D178" s="61" t="s">
        <v>53</v>
      </c>
      <c r="E178" s="140" t="s">
        <v>50</v>
      </c>
      <c r="F178" s="140"/>
      <c r="G178" s="62">
        <v>1</v>
      </c>
      <c r="H178" s="63"/>
    </row>
    <row r="179" spans="1:8" x14ac:dyDescent="0.25">
      <c r="A179" s="2" t="s">
        <v>315</v>
      </c>
      <c r="B179" s="3" t="s">
        <v>50</v>
      </c>
      <c r="C179" s="3" t="s">
        <v>316</v>
      </c>
      <c r="D179" s="97" t="s">
        <v>317</v>
      </c>
      <c r="E179" s="97"/>
      <c r="F179" s="3" t="s">
        <v>56</v>
      </c>
      <c r="G179" s="30">
        <v>1</v>
      </c>
      <c r="H179" s="64">
        <v>0</v>
      </c>
    </row>
    <row r="180" spans="1:8" x14ac:dyDescent="0.25">
      <c r="A180" s="60"/>
      <c r="D180" s="61" t="s">
        <v>53</v>
      </c>
      <c r="E180" s="140" t="s">
        <v>924</v>
      </c>
      <c r="F180" s="140"/>
      <c r="G180" s="62">
        <v>1</v>
      </c>
      <c r="H180" s="63"/>
    </row>
    <row r="181" spans="1:8" x14ac:dyDescent="0.25">
      <c r="A181" s="2" t="s">
        <v>318</v>
      </c>
      <c r="B181" s="3" t="s">
        <v>50</v>
      </c>
      <c r="C181" s="3" t="s">
        <v>319</v>
      </c>
      <c r="D181" s="97" t="s">
        <v>320</v>
      </c>
      <c r="E181" s="97"/>
      <c r="F181" s="3" t="s">
        <v>56</v>
      </c>
      <c r="G181" s="30">
        <v>2</v>
      </c>
      <c r="H181" s="64">
        <v>0</v>
      </c>
    </row>
    <row r="182" spans="1:8" x14ac:dyDescent="0.25">
      <c r="A182" s="60"/>
      <c r="D182" s="61" t="s">
        <v>53</v>
      </c>
      <c r="E182" s="140" t="s">
        <v>925</v>
      </c>
      <c r="F182" s="140"/>
      <c r="G182" s="62">
        <v>1</v>
      </c>
      <c r="H182" s="63"/>
    </row>
    <row r="183" spans="1:8" x14ac:dyDescent="0.25">
      <c r="A183" s="2" t="s">
        <v>50</v>
      </c>
      <c r="B183" s="3" t="s">
        <v>50</v>
      </c>
      <c r="C183" s="3" t="s">
        <v>50</v>
      </c>
      <c r="D183" s="61" t="s">
        <v>53</v>
      </c>
      <c r="E183" s="140" t="s">
        <v>926</v>
      </c>
      <c r="F183" s="140"/>
      <c r="G183" s="62">
        <v>1</v>
      </c>
      <c r="H183" s="65" t="s">
        <v>50</v>
      </c>
    </row>
    <row r="184" spans="1:8" x14ac:dyDescent="0.25">
      <c r="A184" s="2" t="s">
        <v>322</v>
      </c>
      <c r="B184" s="3" t="s">
        <v>50</v>
      </c>
      <c r="C184" s="3" t="s">
        <v>323</v>
      </c>
      <c r="D184" s="97" t="s">
        <v>324</v>
      </c>
      <c r="E184" s="97"/>
      <c r="F184" s="3" t="s">
        <v>56</v>
      </c>
      <c r="G184" s="30">
        <v>1</v>
      </c>
      <c r="H184" s="64">
        <v>0</v>
      </c>
    </row>
    <row r="185" spans="1:8" x14ac:dyDescent="0.25">
      <c r="A185" s="60"/>
      <c r="D185" s="61" t="s">
        <v>53</v>
      </c>
      <c r="E185" s="140" t="s">
        <v>924</v>
      </c>
      <c r="F185" s="140"/>
      <c r="G185" s="62">
        <v>1</v>
      </c>
      <c r="H185" s="63"/>
    </row>
    <row r="186" spans="1:8" x14ac:dyDescent="0.25">
      <c r="A186" s="2" t="s">
        <v>325</v>
      </c>
      <c r="B186" s="3" t="s">
        <v>50</v>
      </c>
      <c r="C186" s="3" t="s">
        <v>326</v>
      </c>
      <c r="D186" s="97" t="s">
        <v>327</v>
      </c>
      <c r="E186" s="97"/>
      <c r="F186" s="3" t="s">
        <v>56</v>
      </c>
      <c r="G186" s="30">
        <v>1</v>
      </c>
      <c r="H186" s="64">
        <v>0</v>
      </c>
    </row>
    <row r="187" spans="1:8" x14ac:dyDescent="0.25">
      <c r="A187" s="60"/>
      <c r="D187" s="61" t="s">
        <v>53</v>
      </c>
      <c r="E187" s="140" t="s">
        <v>924</v>
      </c>
      <c r="F187" s="140"/>
      <c r="G187" s="62">
        <v>1</v>
      </c>
      <c r="H187" s="63"/>
    </row>
    <row r="188" spans="1:8" x14ac:dyDescent="0.25">
      <c r="A188" s="2" t="s">
        <v>328</v>
      </c>
      <c r="B188" s="3" t="s">
        <v>50</v>
      </c>
      <c r="C188" s="3" t="s">
        <v>329</v>
      </c>
      <c r="D188" s="97" t="s">
        <v>330</v>
      </c>
      <c r="E188" s="97"/>
      <c r="F188" s="3" t="s">
        <v>56</v>
      </c>
      <c r="G188" s="30">
        <v>1</v>
      </c>
      <c r="H188" s="64">
        <v>0</v>
      </c>
    </row>
    <row r="189" spans="1:8" x14ac:dyDescent="0.25">
      <c r="A189" s="60"/>
      <c r="D189" s="61" t="s">
        <v>53</v>
      </c>
      <c r="E189" s="140" t="s">
        <v>927</v>
      </c>
      <c r="F189" s="140"/>
      <c r="G189" s="62">
        <v>1</v>
      </c>
      <c r="H189" s="63"/>
    </row>
    <row r="190" spans="1:8" x14ac:dyDescent="0.25">
      <c r="A190" s="2" t="s">
        <v>331</v>
      </c>
      <c r="B190" s="3" t="s">
        <v>50</v>
      </c>
      <c r="C190" s="3" t="s">
        <v>332</v>
      </c>
      <c r="D190" s="97" t="s">
        <v>333</v>
      </c>
      <c r="E190" s="97"/>
      <c r="F190" s="3" t="s">
        <v>307</v>
      </c>
      <c r="G190" s="30">
        <v>1</v>
      </c>
      <c r="H190" s="64">
        <v>0</v>
      </c>
    </row>
    <row r="191" spans="1:8" x14ac:dyDescent="0.25">
      <c r="A191" s="60"/>
      <c r="D191" s="61" t="s">
        <v>53</v>
      </c>
      <c r="E191" s="140" t="s">
        <v>50</v>
      </c>
      <c r="F191" s="140"/>
      <c r="G191" s="62">
        <v>1</v>
      </c>
      <c r="H191" s="63"/>
    </row>
    <row r="192" spans="1:8" x14ac:dyDescent="0.25">
      <c r="A192" s="2" t="s">
        <v>334</v>
      </c>
      <c r="B192" s="3" t="s">
        <v>50</v>
      </c>
      <c r="C192" s="3" t="s">
        <v>335</v>
      </c>
      <c r="D192" s="97" t="s">
        <v>336</v>
      </c>
      <c r="E192" s="97"/>
      <c r="F192" s="3" t="s">
        <v>56</v>
      </c>
      <c r="G192" s="30">
        <v>1</v>
      </c>
      <c r="H192" s="64">
        <v>0</v>
      </c>
    </row>
    <row r="193" spans="1:8" x14ac:dyDescent="0.25">
      <c r="A193" s="60"/>
      <c r="D193" s="61" t="s">
        <v>53</v>
      </c>
      <c r="E193" s="140" t="s">
        <v>50</v>
      </c>
      <c r="F193" s="140"/>
      <c r="G193" s="62">
        <v>1</v>
      </c>
      <c r="H193" s="63"/>
    </row>
    <row r="194" spans="1:8" x14ac:dyDescent="0.25">
      <c r="A194" s="2" t="s">
        <v>337</v>
      </c>
      <c r="B194" s="3" t="s">
        <v>50</v>
      </c>
      <c r="C194" s="3" t="s">
        <v>338</v>
      </c>
      <c r="D194" s="97" t="s">
        <v>339</v>
      </c>
      <c r="E194" s="97"/>
      <c r="F194" s="3" t="s">
        <v>56</v>
      </c>
      <c r="G194" s="30">
        <v>1</v>
      </c>
      <c r="H194" s="64">
        <v>0</v>
      </c>
    </row>
    <row r="195" spans="1:8" x14ac:dyDescent="0.25">
      <c r="A195" s="60"/>
      <c r="D195" s="61" t="s">
        <v>53</v>
      </c>
      <c r="E195" s="140" t="s">
        <v>928</v>
      </c>
      <c r="F195" s="140"/>
      <c r="G195" s="62">
        <v>1</v>
      </c>
      <c r="H195" s="63"/>
    </row>
    <row r="196" spans="1:8" x14ac:dyDescent="0.25">
      <c r="A196" s="2" t="s">
        <v>340</v>
      </c>
      <c r="B196" s="3" t="s">
        <v>50</v>
      </c>
      <c r="C196" s="3" t="s">
        <v>341</v>
      </c>
      <c r="D196" s="97" t="s">
        <v>342</v>
      </c>
      <c r="E196" s="97"/>
      <c r="F196" s="3" t="s">
        <v>307</v>
      </c>
      <c r="G196" s="30">
        <v>1</v>
      </c>
      <c r="H196" s="64">
        <v>0</v>
      </c>
    </row>
    <row r="197" spans="1:8" x14ac:dyDescent="0.25">
      <c r="A197" s="60"/>
      <c r="D197" s="61" t="s">
        <v>53</v>
      </c>
      <c r="E197" s="140" t="s">
        <v>929</v>
      </c>
      <c r="F197" s="140"/>
      <c r="G197" s="62">
        <v>1</v>
      </c>
      <c r="H197" s="63"/>
    </row>
    <row r="198" spans="1:8" x14ac:dyDescent="0.25">
      <c r="A198" s="2" t="s">
        <v>343</v>
      </c>
      <c r="B198" s="3" t="s">
        <v>50</v>
      </c>
      <c r="C198" s="3" t="s">
        <v>344</v>
      </c>
      <c r="D198" s="97" t="s">
        <v>345</v>
      </c>
      <c r="E198" s="97"/>
      <c r="F198" s="3" t="s">
        <v>307</v>
      </c>
      <c r="G198" s="30">
        <v>1</v>
      </c>
      <c r="H198" s="64">
        <v>0</v>
      </c>
    </row>
    <row r="199" spans="1:8" x14ac:dyDescent="0.25">
      <c r="A199" s="60"/>
      <c r="D199" s="61" t="s">
        <v>53</v>
      </c>
      <c r="E199" s="140" t="s">
        <v>50</v>
      </c>
      <c r="F199" s="140"/>
      <c r="G199" s="62">
        <v>1</v>
      </c>
      <c r="H199" s="63"/>
    </row>
    <row r="200" spans="1:8" x14ac:dyDescent="0.25">
      <c r="A200" s="2" t="s">
        <v>346</v>
      </c>
      <c r="B200" s="3" t="s">
        <v>50</v>
      </c>
      <c r="C200" s="3" t="s">
        <v>347</v>
      </c>
      <c r="D200" s="97" t="s">
        <v>348</v>
      </c>
      <c r="E200" s="97"/>
      <c r="F200" s="3" t="s">
        <v>56</v>
      </c>
      <c r="G200" s="30">
        <v>1</v>
      </c>
      <c r="H200" s="64">
        <v>0</v>
      </c>
    </row>
    <row r="201" spans="1:8" x14ac:dyDescent="0.25">
      <c r="A201" s="60"/>
      <c r="D201" s="61" t="s">
        <v>53</v>
      </c>
      <c r="E201" s="140" t="s">
        <v>50</v>
      </c>
      <c r="F201" s="140"/>
      <c r="G201" s="62">
        <v>1</v>
      </c>
      <c r="H201" s="63"/>
    </row>
    <row r="202" spans="1:8" x14ac:dyDescent="0.25">
      <c r="A202" s="2" t="s">
        <v>349</v>
      </c>
      <c r="B202" s="3" t="s">
        <v>50</v>
      </c>
      <c r="C202" s="3" t="s">
        <v>350</v>
      </c>
      <c r="D202" s="97" t="s">
        <v>351</v>
      </c>
      <c r="E202" s="97"/>
      <c r="F202" s="3" t="s">
        <v>56</v>
      </c>
      <c r="G202" s="30">
        <v>1</v>
      </c>
      <c r="H202" s="64">
        <v>0</v>
      </c>
    </row>
    <row r="203" spans="1:8" x14ac:dyDescent="0.25">
      <c r="A203" s="60"/>
      <c r="D203" s="61" t="s">
        <v>53</v>
      </c>
      <c r="E203" s="140" t="s">
        <v>929</v>
      </c>
      <c r="F203" s="140"/>
      <c r="G203" s="62">
        <v>1</v>
      </c>
      <c r="H203" s="63"/>
    </row>
    <row r="204" spans="1:8" x14ac:dyDescent="0.25">
      <c r="A204" s="2" t="s">
        <v>352</v>
      </c>
      <c r="B204" s="3" t="s">
        <v>50</v>
      </c>
      <c r="C204" s="3" t="s">
        <v>353</v>
      </c>
      <c r="D204" s="97" t="s">
        <v>354</v>
      </c>
      <c r="E204" s="97"/>
      <c r="F204" s="3" t="s">
        <v>56</v>
      </c>
      <c r="G204" s="30">
        <v>1</v>
      </c>
      <c r="H204" s="64">
        <v>0</v>
      </c>
    </row>
    <row r="205" spans="1:8" x14ac:dyDescent="0.25">
      <c r="A205" s="60"/>
      <c r="D205" s="61" t="s">
        <v>53</v>
      </c>
      <c r="E205" s="140" t="s">
        <v>925</v>
      </c>
      <c r="F205" s="140"/>
      <c r="G205" s="62">
        <v>1</v>
      </c>
      <c r="H205" s="63"/>
    </row>
    <row r="206" spans="1:8" x14ac:dyDescent="0.25">
      <c r="A206" s="2" t="s">
        <v>355</v>
      </c>
      <c r="B206" s="3" t="s">
        <v>50</v>
      </c>
      <c r="C206" s="3" t="s">
        <v>356</v>
      </c>
      <c r="D206" s="97" t="s">
        <v>357</v>
      </c>
      <c r="E206" s="97"/>
      <c r="F206" s="3" t="s">
        <v>56</v>
      </c>
      <c r="G206" s="30">
        <v>1</v>
      </c>
      <c r="H206" s="64">
        <v>0</v>
      </c>
    </row>
    <row r="207" spans="1:8" x14ac:dyDescent="0.25">
      <c r="A207" s="60"/>
      <c r="D207" s="61" t="s">
        <v>53</v>
      </c>
      <c r="E207" s="140" t="s">
        <v>929</v>
      </c>
      <c r="F207" s="140"/>
      <c r="G207" s="62">
        <v>1</v>
      </c>
      <c r="H207" s="63"/>
    </row>
    <row r="208" spans="1:8" x14ac:dyDescent="0.25">
      <c r="A208" s="2" t="s">
        <v>358</v>
      </c>
      <c r="B208" s="3" t="s">
        <v>50</v>
      </c>
      <c r="C208" s="3" t="s">
        <v>359</v>
      </c>
      <c r="D208" s="97" t="s">
        <v>360</v>
      </c>
      <c r="E208" s="97"/>
      <c r="F208" s="3" t="s">
        <v>56</v>
      </c>
      <c r="G208" s="30">
        <v>1</v>
      </c>
      <c r="H208" s="64">
        <v>0</v>
      </c>
    </row>
    <row r="209" spans="1:8" x14ac:dyDescent="0.25">
      <c r="A209" s="60"/>
      <c r="D209" s="61" t="s">
        <v>53</v>
      </c>
      <c r="E209" s="140" t="s">
        <v>929</v>
      </c>
      <c r="F209" s="140"/>
      <c r="G209" s="62">
        <v>1</v>
      </c>
      <c r="H209" s="63"/>
    </row>
    <row r="210" spans="1:8" x14ac:dyDescent="0.25">
      <c r="A210" s="2" t="s">
        <v>361</v>
      </c>
      <c r="B210" s="3" t="s">
        <v>50</v>
      </c>
      <c r="C210" s="3" t="s">
        <v>362</v>
      </c>
      <c r="D210" s="97" t="s">
        <v>363</v>
      </c>
      <c r="E210" s="97"/>
      <c r="F210" s="3" t="s">
        <v>56</v>
      </c>
      <c r="G210" s="30">
        <v>1</v>
      </c>
      <c r="H210" s="64">
        <v>0</v>
      </c>
    </row>
    <row r="211" spans="1:8" x14ac:dyDescent="0.25">
      <c r="A211" s="60"/>
      <c r="D211" s="61" t="s">
        <v>53</v>
      </c>
      <c r="E211" s="140" t="s">
        <v>929</v>
      </c>
      <c r="F211" s="140"/>
      <c r="G211" s="62">
        <v>1</v>
      </c>
      <c r="H211" s="63"/>
    </row>
    <row r="212" spans="1:8" x14ac:dyDescent="0.25">
      <c r="A212" s="2" t="s">
        <v>364</v>
      </c>
      <c r="B212" s="3" t="s">
        <v>50</v>
      </c>
      <c r="C212" s="3" t="s">
        <v>365</v>
      </c>
      <c r="D212" s="97" t="s">
        <v>366</v>
      </c>
      <c r="E212" s="97"/>
      <c r="F212" s="3" t="s">
        <v>56</v>
      </c>
      <c r="G212" s="30">
        <v>1</v>
      </c>
      <c r="H212" s="64">
        <v>0</v>
      </c>
    </row>
    <row r="213" spans="1:8" x14ac:dyDescent="0.25">
      <c r="A213" s="60"/>
      <c r="D213" s="61" t="s">
        <v>53</v>
      </c>
      <c r="E213" s="140" t="s">
        <v>929</v>
      </c>
      <c r="F213" s="140"/>
      <c r="G213" s="62">
        <v>1</v>
      </c>
      <c r="H213" s="63"/>
    </row>
    <row r="214" spans="1:8" x14ac:dyDescent="0.25">
      <c r="A214" s="2" t="s">
        <v>367</v>
      </c>
      <c r="B214" s="3" t="s">
        <v>50</v>
      </c>
      <c r="C214" s="3" t="s">
        <v>368</v>
      </c>
      <c r="D214" s="97" t="s">
        <v>369</v>
      </c>
      <c r="E214" s="97"/>
      <c r="F214" s="3" t="s">
        <v>307</v>
      </c>
      <c r="G214" s="30">
        <v>1</v>
      </c>
      <c r="H214" s="64">
        <v>0</v>
      </c>
    </row>
    <row r="215" spans="1:8" x14ac:dyDescent="0.25">
      <c r="A215" s="60"/>
      <c r="D215" s="61" t="s">
        <v>53</v>
      </c>
      <c r="E215" s="140" t="s">
        <v>926</v>
      </c>
      <c r="F215" s="140"/>
      <c r="G215" s="62">
        <v>1</v>
      </c>
      <c r="H215" s="63"/>
    </row>
    <row r="216" spans="1:8" x14ac:dyDescent="0.25">
      <c r="A216" s="2" t="s">
        <v>370</v>
      </c>
      <c r="B216" s="3" t="s">
        <v>50</v>
      </c>
      <c r="C216" s="3" t="s">
        <v>371</v>
      </c>
      <c r="D216" s="97" t="s">
        <v>372</v>
      </c>
      <c r="E216" s="97"/>
      <c r="F216" s="3" t="s">
        <v>56</v>
      </c>
      <c r="G216" s="30">
        <v>1</v>
      </c>
      <c r="H216" s="64">
        <v>0</v>
      </c>
    </row>
    <row r="217" spans="1:8" x14ac:dyDescent="0.25">
      <c r="A217" s="60"/>
      <c r="D217" s="61" t="s">
        <v>53</v>
      </c>
      <c r="E217" s="140" t="s">
        <v>926</v>
      </c>
      <c r="F217" s="140"/>
      <c r="G217" s="62">
        <v>1</v>
      </c>
      <c r="H217" s="63"/>
    </row>
    <row r="218" spans="1:8" x14ac:dyDescent="0.25">
      <c r="A218" s="2" t="s">
        <v>373</v>
      </c>
      <c r="B218" s="3" t="s">
        <v>50</v>
      </c>
      <c r="C218" s="3" t="s">
        <v>374</v>
      </c>
      <c r="D218" s="97" t="s">
        <v>375</v>
      </c>
      <c r="E218" s="97"/>
      <c r="F218" s="3" t="s">
        <v>56</v>
      </c>
      <c r="G218" s="30">
        <v>1</v>
      </c>
      <c r="H218" s="64">
        <v>0</v>
      </c>
    </row>
    <row r="219" spans="1:8" x14ac:dyDescent="0.25">
      <c r="A219" s="60"/>
      <c r="D219" s="61" t="s">
        <v>53</v>
      </c>
      <c r="E219" s="140" t="s">
        <v>926</v>
      </c>
      <c r="F219" s="140"/>
      <c r="G219" s="62">
        <v>1</v>
      </c>
      <c r="H219" s="63"/>
    </row>
    <row r="220" spans="1:8" x14ac:dyDescent="0.25">
      <c r="A220" s="2" t="s">
        <v>376</v>
      </c>
      <c r="B220" s="3" t="s">
        <v>50</v>
      </c>
      <c r="C220" s="3" t="s">
        <v>377</v>
      </c>
      <c r="D220" s="97" t="s">
        <v>378</v>
      </c>
      <c r="E220" s="97"/>
      <c r="F220" s="3" t="s">
        <v>307</v>
      </c>
      <c r="G220" s="30">
        <v>1</v>
      </c>
      <c r="H220" s="64">
        <v>0</v>
      </c>
    </row>
    <row r="221" spans="1:8" x14ac:dyDescent="0.25">
      <c r="A221" s="60"/>
      <c r="D221" s="61" t="s">
        <v>53</v>
      </c>
      <c r="E221" s="140" t="s">
        <v>926</v>
      </c>
      <c r="F221" s="140"/>
      <c r="G221" s="62">
        <v>1</v>
      </c>
      <c r="H221" s="63"/>
    </row>
    <row r="222" spans="1:8" x14ac:dyDescent="0.25">
      <c r="A222" s="2" t="s">
        <v>379</v>
      </c>
      <c r="B222" s="3" t="s">
        <v>50</v>
      </c>
      <c r="C222" s="3" t="s">
        <v>380</v>
      </c>
      <c r="D222" s="97" t="s">
        <v>381</v>
      </c>
      <c r="E222" s="97"/>
      <c r="F222" s="3" t="s">
        <v>64</v>
      </c>
      <c r="G222" s="30">
        <v>1</v>
      </c>
      <c r="H222" s="64">
        <v>0</v>
      </c>
    </row>
    <row r="223" spans="1:8" x14ac:dyDescent="0.25">
      <c r="A223" s="60"/>
      <c r="D223" s="61" t="s">
        <v>53</v>
      </c>
      <c r="E223" s="140" t="s">
        <v>930</v>
      </c>
      <c r="F223" s="140"/>
      <c r="G223" s="62">
        <v>1</v>
      </c>
      <c r="H223" s="63"/>
    </row>
    <row r="224" spans="1:8" x14ac:dyDescent="0.25">
      <c r="A224" s="2" t="s">
        <v>382</v>
      </c>
      <c r="B224" s="3" t="s">
        <v>50</v>
      </c>
      <c r="C224" s="3" t="s">
        <v>383</v>
      </c>
      <c r="D224" s="97" t="s">
        <v>384</v>
      </c>
      <c r="E224" s="97"/>
      <c r="F224" s="3" t="s">
        <v>56</v>
      </c>
      <c r="G224" s="30">
        <v>1</v>
      </c>
      <c r="H224" s="64">
        <v>0</v>
      </c>
    </row>
    <row r="225" spans="1:8" x14ac:dyDescent="0.25">
      <c r="A225" s="60"/>
      <c r="D225" s="61" t="s">
        <v>53</v>
      </c>
      <c r="E225" s="140" t="s">
        <v>931</v>
      </c>
      <c r="F225" s="140"/>
      <c r="G225" s="62">
        <v>1</v>
      </c>
      <c r="H225" s="63"/>
    </row>
    <row r="226" spans="1:8" x14ac:dyDescent="0.25">
      <c r="A226" s="2" t="s">
        <v>385</v>
      </c>
      <c r="B226" s="3" t="s">
        <v>50</v>
      </c>
      <c r="C226" s="3" t="s">
        <v>386</v>
      </c>
      <c r="D226" s="97" t="s">
        <v>387</v>
      </c>
      <c r="E226" s="97"/>
      <c r="F226" s="3" t="s">
        <v>56</v>
      </c>
      <c r="G226" s="30">
        <v>1</v>
      </c>
      <c r="H226" s="64">
        <v>0</v>
      </c>
    </row>
    <row r="227" spans="1:8" x14ac:dyDescent="0.25">
      <c r="A227" s="60"/>
      <c r="D227" s="61" t="s">
        <v>53</v>
      </c>
      <c r="E227" s="140" t="s">
        <v>932</v>
      </c>
      <c r="F227" s="140"/>
      <c r="G227" s="62">
        <v>1</v>
      </c>
      <c r="H227" s="63"/>
    </row>
    <row r="228" spans="1:8" x14ac:dyDescent="0.25">
      <c r="A228" s="2" t="s">
        <v>388</v>
      </c>
      <c r="B228" s="3" t="s">
        <v>50</v>
      </c>
      <c r="C228" s="3" t="s">
        <v>389</v>
      </c>
      <c r="D228" s="97" t="s">
        <v>390</v>
      </c>
      <c r="E228" s="97"/>
      <c r="F228" s="3" t="s">
        <v>56</v>
      </c>
      <c r="G228" s="30">
        <v>1</v>
      </c>
      <c r="H228" s="64">
        <v>0</v>
      </c>
    </row>
    <row r="229" spans="1:8" x14ac:dyDescent="0.25">
      <c r="A229" s="60"/>
      <c r="D229" s="61" t="s">
        <v>53</v>
      </c>
      <c r="E229" s="140" t="s">
        <v>933</v>
      </c>
      <c r="F229" s="140"/>
      <c r="G229" s="62">
        <v>1</v>
      </c>
      <c r="H229" s="63"/>
    </row>
    <row r="230" spans="1:8" x14ac:dyDescent="0.25">
      <c r="A230" s="2" t="s">
        <v>392</v>
      </c>
      <c r="B230" s="3" t="s">
        <v>50</v>
      </c>
      <c r="C230" s="3" t="s">
        <v>393</v>
      </c>
      <c r="D230" s="97" t="s">
        <v>394</v>
      </c>
      <c r="E230" s="97"/>
      <c r="F230" s="3" t="s">
        <v>56</v>
      </c>
      <c r="G230" s="30">
        <v>2</v>
      </c>
      <c r="H230" s="64">
        <v>0</v>
      </c>
    </row>
    <row r="231" spans="1:8" x14ac:dyDescent="0.25">
      <c r="A231" s="60"/>
      <c r="D231" s="61" t="s">
        <v>61</v>
      </c>
      <c r="E231" s="140" t="s">
        <v>925</v>
      </c>
      <c r="F231" s="140"/>
      <c r="G231" s="62">
        <v>2</v>
      </c>
      <c r="H231" s="63"/>
    </row>
    <row r="232" spans="1:8" x14ac:dyDescent="0.25">
      <c r="A232" s="2" t="s">
        <v>395</v>
      </c>
      <c r="B232" s="3" t="s">
        <v>50</v>
      </c>
      <c r="C232" s="3" t="s">
        <v>396</v>
      </c>
      <c r="D232" s="97" t="s">
        <v>397</v>
      </c>
      <c r="E232" s="97"/>
      <c r="F232" s="3" t="s">
        <v>90</v>
      </c>
      <c r="G232" s="30">
        <v>0.39912999999999998</v>
      </c>
      <c r="H232" s="64">
        <v>0</v>
      </c>
    </row>
    <row r="233" spans="1:8" x14ac:dyDescent="0.25">
      <c r="A233" s="2" t="s">
        <v>400</v>
      </c>
      <c r="B233" s="3" t="s">
        <v>50</v>
      </c>
      <c r="C233" s="3" t="s">
        <v>401</v>
      </c>
      <c r="D233" s="97" t="s">
        <v>402</v>
      </c>
      <c r="E233" s="97"/>
      <c r="F233" s="3" t="s">
        <v>56</v>
      </c>
      <c r="G233" s="30">
        <v>1</v>
      </c>
      <c r="H233" s="64">
        <v>0</v>
      </c>
    </row>
    <row r="234" spans="1:8" x14ac:dyDescent="0.25">
      <c r="A234" s="60"/>
      <c r="D234" s="61" t="s">
        <v>53</v>
      </c>
      <c r="E234" s="140" t="s">
        <v>934</v>
      </c>
      <c r="F234" s="140"/>
      <c r="G234" s="62">
        <v>1</v>
      </c>
      <c r="H234" s="63"/>
    </row>
    <row r="235" spans="1:8" x14ac:dyDescent="0.25">
      <c r="A235" s="2" t="s">
        <v>404</v>
      </c>
      <c r="B235" s="3" t="s">
        <v>50</v>
      </c>
      <c r="C235" s="3" t="s">
        <v>201</v>
      </c>
      <c r="D235" s="97" t="s">
        <v>405</v>
      </c>
      <c r="E235" s="97"/>
      <c r="F235" s="3" t="s">
        <v>80</v>
      </c>
      <c r="G235" s="30">
        <v>4</v>
      </c>
      <c r="H235" s="64">
        <v>0</v>
      </c>
    </row>
    <row r="236" spans="1:8" x14ac:dyDescent="0.25">
      <c r="A236" s="60"/>
      <c r="D236" s="61" t="s">
        <v>935</v>
      </c>
      <c r="E236" s="140" t="s">
        <v>936</v>
      </c>
      <c r="F236" s="140"/>
      <c r="G236" s="62">
        <v>2.5</v>
      </c>
      <c r="H236" s="63"/>
    </row>
    <row r="237" spans="1:8" x14ac:dyDescent="0.25">
      <c r="A237" s="2" t="s">
        <v>50</v>
      </c>
      <c r="B237" s="3" t="s">
        <v>50</v>
      </c>
      <c r="C237" s="3" t="s">
        <v>50</v>
      </c>
      <c r="D237" s="61" t="s">
        <v>937</v>
      </c>
      <c r="E237" s="140" t="s">
        <v>938</v>
      </c>
      <c r="F237" s="140"/>
      <c r="G237" s="62">
        <v>1.5</v>
      </c>
      <c r="H237" s="65" t="s">
        <v>50</v>
      </c>
    </row>
    <row r="238" spans="1:8" x14ac:dyDescent="0.25">
      <c r="A238" s="2" t="s">
        <v>406</v>
      </c>
      <c r="B238" s="3" t="s">
        <v>50</v>
      </c>
      <c r="C238" s="3" t="s">
        <v>407</v>
      </c>
      <c r="D238" s="97" t="s">
        <v>408</v>
      </c>
      <c r="E238" s="97"/>
      <c r="F238" s="3" t="s">
        <v>80</v>
      </c>
      <c r="G238" s="30">
        <v>1.75</v>
      </c>
      <c r="H238" s="64">
        <v>0</v>
      </c>
    </row>
    <row r="239" spans="1:8" x14ac:dyDescent="0.25">
      <c r="A239" s="60"/>
      <c r="D239" s="61" t="s">
        <v>939</v>
      </c>
      <c r="E239" s="140" t="s">
        <v>940</v>
      </c>
      <c r="F239" s="140"/>
      <c r="G239" s="62">
        <v>1.75</v>
      </c>
      <c r="H239" s="63"/>
    </row>
    <row r="240" spans="1:8" x14ac:dyDescent="0.25">
      <c r="A240" s="2" t="s">
        <v>409</v>
      </c>
      <c r="B240" s="3" t="s">
        <v>50</v>
      </c>
      <c r="C240" s="3" t="s">
        <v>213</v>
      </c>
      <c r="D240" s="97" t="s">
        <v>214</v>
      </c>
      <c r="E240" s="97"/>
      <c r="F240" s="3" t="s">
        <v>56</v>
      </c>
      <c r="G240" s="30">
        <v>1</v>
      </c>
      <c r="H240" s="64">
        <v>0</v>
      </c>
    </row>
    <row r="241" spans="1:8" x14ac:dyDescent="0.25">
      <c r="A241" s="60"/>
      <c r="D241" s="61" t="s">
        <v>53</v>
      </c>
      <c r="E241" s="140" t="s">
        <v>940</v>
      </c>
      <c r="F241" s="140"/>
      <c r="G241" s="62">
        <v>1</v>
      </c>
      <c r="H241" s="63"/>
    </row>
    <row r="242" spans="1:8" x14ac:dyDescent="0.25">
      <c r="A242" s="2" t="s">
        <v>410</v>
      </c>
      <c r="B242" s="3" t="s">
        <v>50</v>
      </c>
      <c r="C242" s="3" t="s">
        <v>411</v>
      </c>
      <c r="D242" s="97" t="s">
        <v>412</v>
      </c>
      <c r="E242" s="97"/>
      <c r="F242" s="3" t="s">
        <v>56</v>
      </c>
      <c r="G242" s="30">
        <v>1</v>
      </c>
      <c r="H242" s="64">
        <v>0</v>
      </c>
    </row>
    <row r="243" spans="1:8" x14ac:dyDescent="0.25">
      <c r="A243" s="60"/>
      <c r="D243" s="61" t="s">
        <v>53</v>
      </c>
      <c r="E243" s="140" t="s">
        <v>941</v>
      </c>
      <c r="F243" s="140"/>
      <c r="G243" s="62">
        <v>1</v>
      </c>
      <c r="H243" s="63"/>
    </row>
    <row r="244" spans="1:8" x14ac:dyDescent="0.25">
      <c r="A244" s="2" t="s">
        <v>413</v>
      </c>
      <c r="B244" s="3" t="s">
        <v>50</v>
      </c>
      <c r="C244" s="3" t="s">
        <v>414</v>
      </c>
      <c r="D244" s="97" t="s">
        <v>415</v>
      </c>
      <c r="E244" s="97"/>
      <c r="F244" s="3" t="s">
        <v>56</v>
      </c>
      <c r="G244" s="30">
        <v>1</v>
      </c>
      <c r="H244" s="64">
        <v>0</v>
      </c>
    </row>
    <row r="245" spans="1:8" x14ac:dyDescent="0.25">
      <c r="A245" s="60"/>
      <c r="D245" s="61" t="s">
        <v>53</v>
      </c>
      <c r="E245" s="140" t="s">
        <v>941</v>
      </c>
      <c r="F245" s="140"/>
      <c r="G245" s="62">
        <v>1</v>
      </c>
      <c r="H245" s="63"/>
    </row>
    <row r="246" spans="1:8" x14ac:dyDescent="0.25">
      <c r="A246" s="2" t="s">
        <v>416</v>
      </c>
      <c r="B246" s="3" t="s">
        <v>50</v>
      </c>
      <c r="C246" s="3" t="s">
        <v>417</v>
      </c>
      <c r="D246" s="97" t="s">
        <v>418</v>
      </c>
      <c r="E246" s="97"/>
      <c r="F246" s="3" t="s">
        <v>56</v>
      </c>
      <c r="G246" s="30">
        <v>1</v>
      </c>
      <c r="H246" s="64">
        <v>0</v>
      </c>
    </row>
    <row r="247" spans="1:8" x14ac:dyDescent="0.25">
      <c r="A247" s="60"/>
      <c r="D247" s="61" t="s">
        <v>53</v>
      </c>
      <c r="E247" s="140" t="s">
        <v>942</v>
      </c>
      <c r="F247" s="140"/>
      <c r="G247" s="62">
        <v>1</v>
      </c>
      <c r="H247" s="63"/>
    </row>
    <row r="248" spans="1:8" x14ac:dyDescent="0.25">
      <c r="A248" s="2" t="s">
        <v>419</v>
      </c>
      <c r="B248" s="3" t="s">
        <v>50</v>
      </c>
      <c r="C248" s="3" t="s">
        <v>420</v>
      </c>
      <c r="D248" s="97" t="s">
        <v>421</v>
      </c>
      <c r="E248" s="97"/>
      <c r="F248" s="3" t="s">
        <v>56</v>
      </c>
      <c r="G248" s="30">
        <v>1</v>
      </c>
      <c r="H248" s="64">
        <v>0</v>
      </c>
    </row>
    <row r="249" spans="1:8" x14ac:dyDescent="0.25">
      <c r="A249" s="60"/>
      <c r="D249" s="61" t="s">
        <v>53</v>
      </c>
      <c r="E249" s="140" t="s">
        <v>942</v>
      </c>
      <c r="F249" s="140"/>
      <c r="G249" s="62">
        <v>1</v>
      </c>
      <c r="H249" s="63"/>
    </row>
    <row r="250" spans="1:8" x14ac:dyDescent="0.25">
      <c r="A250" s="2" t="s">
        <v>422</v>
      </c>
      <c r="B250" s="3" t="s">
        <v>50</v>
      </c>
      <c r="C250" s="3" t="s">
        <v>423</v>
      </c>
      <c r="D250" s="97" t="s">
        <v>424</v>
      </c>
      <c r="E250" s="97"/>
      <c r="F250" s="3" t="s">
        <v>56</v>
      </c>
      <c r="G250" s="30">
        <v>2</v>
      </c>
      <c r="H250" s="64">
        <v>0</v>
      </c>
    </row>
    <row r="251" spans="1:8" x14ac:dyDescent="0.25">
      <c r="A251" s="60"/>
      <c r="D251" s="61" t="s">
        <v>61</v>
      </c>
      <c r="E251" s="140" t="s">
        <v>943</v>
      </c>
      <c r="F251" s="140"/>
      <c r="G251" s="62">
        <v>2</v>
      </c>
      <c r="H251" s="63"/>
    </row>
    <row r="252" spans="1:8" x14ac:dyDescent="0.25">
      <c r="A252" s="2" t="s">
        <v>425</v>
      </c>
      <c r="B252" s="3" t="s">
        <v>50</v>
      </c>
      <c r="C252" s="3" t="s">
        <v>426</v>
      </c>
      <c r="D252" s="97" t="s">
        <v>427</v>
      </c>
      <c r="E252" s="97"/>
      <c r="F252" s="3" t="s">
        <v>56</v>
      </c>
      <c r="G252" s="30">
        <v>2</v>
      </c>
      <c r="H252" s="64">
        <v>0</v>
      </c>
    </row>
    <row r="253" spans="1:8" x14ac:dyDescent="0.25">
      <c r="A253" s="60"/>
      <c r="D253" s="61" t="s">
        <v>61</v>
      </c>
      <c r="E253" s="140" t="s">
        <v>943</v>
      </c>
      <c r="F253" s="140"/>
      <c r="G253" s="62">
        <v>2</v>
      </c>
      <c r="H253" s="63"/>
    </row>
    <row r="254" spans="1:8" x14ac:dyDescent="0.25">
      <c r="A254" s="2" t="s">
        <v>428</v>
      </c>
      <c r="B254" s="3" t="s">
        <v>50</v>
      </c>
      <c r="C254" s="3" t="s">
        <v>429</v>
      </c>
      <c r="D254" s="97" t="s">
        <v>430</v>
      </c>
      <c r="E254" s="97"/>
      <c r="F254" s="3" t="s">
        <v>90</v>
      </c>
      <c r="G254" s="30">
        <v>8.43E-3</v>
      </c>
      <c r="H254" s="64">
        <v>0</v>
      </c>
    </row>
    <row r="255" spans="1:8" x14ac:dyDescent="0.25">
      <c r="A255" s="2" t="s">
        <v>433</v>
      </c>
      <c r="B255" s="3" t="s">
        <v>50</v>
      </c>
      <c r="C255" s="3" t="s">
        <v>434</v>
      </c>
      <c r="D255" s="97" t="s">
        <v>435</v>
      </c>
      <c r="E255" s="97"/>
      <c r="F255" s="3" t="s">
        <v>307</v>
      </c>
      <c r="G255" s="30">
        <v>1</v>
      </c>
      <c r="H255" s="64">
        <v>0</v>
      </c>
    </row>
    <row r="256" spans="1:8" x14ac:dyDescent="0.25">
      <c r="A256" s="60"/>
      <c r="D256" s="61" t="s">
        <v>53</v>
      </c>
      <c r="E256" s="140" t="s">
        <v>944</v>
      </c>
      <c r="F256" s="140"/>
      <c r="G256" s="62">
        <v>1</v>
      </c>
      <c r="H256" s="63"/>
    </row>
    <row r="257" spans="1:8" x14ac:dyDescent="0.25">
      <c r="A257" s="2" t="s">
        <v>438</v>
      </c>
      <c r="B257" s="3" t="s">
        <v>50</v>
      </c>
      <c r="C257" s="3" t="s">
        <v>439</v>
      </c>
      <c r="D257" s="97" t="s">
        <v>440</v>
      </c>
      <c r="E257" s="97"/>
      <c r="F257" s="3" t="s">
        <v>56</v>
      </c>
      <c r="G257" s="30">
        <v>1</v>
      </c>
      <c r="H257" s="64">
        <v>0</v>
      </c>
    </row>
    <row r="258" spans="1:8" x14ac:dyDescent="0.25">
      <c r="A258" s="60"/>
      <c r="D258" s="61" t="s">
        <v>53</v>
      </c>
      <c r="E258" s="140" t="s">
        <v>50</v>
      </c>
      <c r="F258" s="140"/>
      <c r="G258" s="62">
        <v>1</v>
      </c>
      <c r="H258" s="63"/>
    </row>
    <row r="259" spans="1:8" x14ac:dyDescent="0.25">
      <c r="A259" s="2" t="s">
        <v>441</v>
      </c>
      <c r="B259" s="3" t="s">
        <v>50</v>
      </c>
      <c r="C259" s="3" t="s">
        <v>442</v>
      </c>
      <c r="D259" s="97" t="s">
        <v>443</v>
      </c>
      <c r="E259" s="97"/>
      <c r="F259" s="3" t="s">
        <v>56</v>
      </c>
      <c r="G259" s="30">
        <v>1</v>
      </c>
      <c r="H259" s="64">
        <v>0</v>
      </c>
    </row>
    <row r="260" spans="1:8" x14ac:dyDescent="0.25">
      <c r="A260" s="60"/>
      <c r="D260" s="61" t="s">
        <v>53</v>
      </c>
      <c r="E260" s="140" t="s">
        <v>944</v>
      </c>
      <c r="F260" s="140"/>
      <c r="G260" s="62">
        <v>1</v>
      </c>
      <c r="H260" s="63"/>
    </row>
    <row r="261" spans="1:8" x14ac:dyDescent="0.25">
      <c r="A261" s="2" t="s">
        <v>444</v>
      </c>
      <c r="B261" s="3" t="s">
        <v>50</v>
      </c>
      <c r="C261" s="3" t="s">
        <v>445</v>
      </c>
      <c r="D261" s="97" t="s">
        <v>446</v>
      </c>
      <c r="E261" s="97"/>
      <c r="F261" s="3" t="s">
        <v>56</v>
      </c>
      <c r="G261" s="30">
        <v>1</v>
      </c>
      <c r="H261" s="64">
        <v>0</v>
      </c>
    </row>
    <row r="262" spans="1:8" x14ac:dyDescent="0.25">
      <c r="A262" s="60"/>
      <c r="D262" s="61" t="s">
        <v>53</v>
      </c>
      <c r="E262" s="140" t="s">
        <v>944</v>
      </c>
      <c r="F262" s="140"/>
      <c r="G262" s="62">
        <v>1</v>
      </c>
      <c r="H262" s="63"/>
    </row>
    <row r="263" spans="1:8" x14ac:dyDescent="0.25">
      <c r="A263" s="2" t="s">
        <v>447</v>
      </c>
      <c r="B263" s="3" t="s">
        <v>50</v>
      </c>
      <c r="C263" s="3" t="s">
        <v>448</v>
      </c>
      <c r="D263" s="97" t="s">
        <v>449</v>
      </c>
      <c r="E263" s="97"/>
      <c r="F263" s="3" t="s">
        <v>450</v>
      </c>
      <c r="G263" s="30">
        <v>1</v>
      </c>
      <c r="H263" s="64">
        <v>0</v>
      </c>
    </row>
    <row r="264" spans="1:8" x14ac:dyDescent="0.25">
      <c r="A264" s="60"/>
      <c r="D264" s="61" t="s">
        <v>53</v>
      </c>
      <c r="E264" s="140" t="s">
        <v>944</v>
      </c>
      <c r="F264" s="140"/>
      <c r="G264" s="62">
        <v>1</v>
      </c>
      <c r="H264" s="63"/>
    </row>
    <row r="265" spans="1:8" x14ac:dyDescent="0.25">
      <c r="A265" s="2" t="s">
        <v>451</v>
      </c>
      <c r="B265" s="3" t="s">
        <v>50</v>
      </c>
      <c r="C265" s="3" t="s">
        <v>452</v>
      </c>
      <c r="D265" s="97" t="s">
        <v>453</v>
      </c>
      <c r="E265" s="97"/>
      <c r="F265" s="3" t="s">
        <v>450</v>
      </c>
      <c r="G265" s="30">
        <v>1</v>
      </c>
      <c r="H265" s="64">
        <v>0</v>
      </c>
    </row>
    <row r="266" spans="1:8" x14ac:dyDescent="0.25">
      <c r="A266" s="60"/>
      <c r="D266" s="61" t="s">
        <v>53</v>
      </c>
      <c r="E266" s="140" t="s">
        <v>944</v>
      </c>
      <c r="F266" s="140"/>
      <c r="G266" s="62">
        <v>1</v>
      </c>
      <c r="H266" s="63"/>
    </row>
    <row r="267" spans="1:8" x14ac:dyDescent="0.25">
      <c r="A267" s="2" t="s">
        <v>454</v>
      </c>
      <c r="B267" s="3" t="s">
        <v>50</v>
      </c>
      <c r="C267" s="3" t="s">
        <v>455</v>
      </c>
      <c r="D267" s="97" t="s">
        <v>456</v>
      </c>
      <c r="E267" s="97"/>
      <c r="F267" s="3" t="s">
        <v>56</v>
      </c>
      <c r="G267" s="30">
        <v>4</v>
      </c>
      <c r="H267" s="64">
        <v>0</v>
      </c>
    </row>
    <row r="268" spans="1:8" x14ac:dyDescent="0.25">
      <c r="A268" s="60"/>
      <c r="D268" s="61" t="s">
        <v>70</v>
      </c>
      <c r="E268" s="140" t="s">
        <v>944</v>
      </c>
      <c r="F268" s="140"/>
      <c r="G268" s="62">
        <v>4</v>
      </c>
      <c r="H268" s="63"/>
    </row>
    <row r="269" spans="1:8" x14ac:dyDescent="0.25">
      <c r="A269" s="2" t="s">
        <v>457</v>
      </c>
      <c r="B269" s="3" t="s">
        <v>50</v>
      </c>
      <c r="C269" s="3" t="s">
        <v>458</v>
      </c>
      <c r="D269" s="97" t="s">
        <v>459</v>
      </c>
      <c r="E269" s="97"/>
      <c r="F269" s="3" t="s">
        <v>90</v>
      </c>
      <c r="G269" s="30">
        <v>6.5740000000000007E-2</v>
      </c>
      <c r="H269" s="64">
        <v>0</v>
      </c>
    </row>
    <row r="270" spans="1:8" x14ac:dyDescent="0.25">
      <c r="A270" s="2" t="s">
        <v>462</v>
      </c>
      <c r="B270" s="3" t="s">
        <v>50</v>
      </c>
      <c r="C270" s="3" t="s">
        <v>463</v>
      </c>
      <c r="D270" s="97" t="s">
        <v>464</v>
      </c>
      <c r="E270" s="97"/>
      <c r="F270" s="3" t="s">
        <v>307</v>
      </c>
      <c r="G270" s="30">
        <v>1</v>
      </c>
      <c r="H270" s="64">
        <v>0</v>
      </c>
    </row>
    <row r="271" spans="1:8" x14ac:dyDescent="0.25">
      <c r="A271" s="60"/>
      <c r="D271" s="61" t="s">
        <v>53</v>
      </c>
      <c r="E271" s="140" t="s">
        <v>944</v>
      </c>
      <c r="F271" s="140"/>
      <c r="G271" s="62">
        <v>1</v>
      </c>
      <c r="H271" s="63"/>
    </row>
    <row r="272" spans="1:8" x14ac:dyDescent="0.25">
      <c r="A272" s="2" t="s">
        <v>468</v>
      </c>
      <c r="B272" s="3" t="s">
        <v>50</v>
      </c>
      <c r="C272" s="3" t="s">
        <v>469</v>
      </c>
      <c r="D272" s="97" t="s">
        <v>470</v>
      </c>
      <c r="E272" s="97"/>
      <c r="F272" s="3" t="s">
        <v>80</v>
      </c>
      <c r="G272" s="30">
        <v>15</v>
      </c>
      <c r="H272" s="64">
        <v>0</v>
      </c>
    </row>
    <row r="273" spans="1:8" x14ac:dyDescent="0.25">
      <c r="A273" s="60"/>
      <c r="D273" s="61" t="s">
        <v>945</v>
      </c>
      <c r="E273" s="140" t="s">
        <v>946</v>
      </c>
      <c r="F273" s="140"/>
      <c r="G273" s="62">
        <v>15</v>
      </c>
      <c r="H273" s="63"/>
    </row>
    <row r="274" spans="1:8" x14ac:dyDescent="0.25">
      <c r="A274" s="2" t="s">
        <v>472</v>
      </c>
      <c r="B274" s="3" t="s">
        <v>50</v>
      </c>
      <c r="C274" s="3" t="s">
        <v>473</v>
      </c>
      <c r="D274" s="97" t="s">
        <v>474</v>
      </c>
      <c r="E274" s="97"/>
      <c r="F274" s="3" t="s">
        <v>80</v>
      </c>
      <c r="G274" s="30">
        <v>19</v>
      </c>
      <c r="H274" s="64">
        <v>0</v>
      </c>
    </row>
    <row r="275" spans="1:8" x14ac:dyDescent="0.25">
      <c r="A275" s="60"/>
      <c r="D275" s="61" t="s">
        <v>947</v>
      </c>
      <c r="E275" s="140" t="s">
        <v>946</v>
      </c>
      <c r="F275" s="140"/>
      <c r="G275" s="62">
        <v>19</v>
      </c>
      <c r="H275" s="63"/>
    </row>
    <row r="276" spans="1:8" x14ac:dyDescent="0.25">
      <c r="A276" s="2" t="s">
        <v>475</v>
      </c>
      <c r="B276" s="3" t="s">
        <v>50</v>
      </c>
      <c r="C276" s="3" t="s">
        <v>476</v>
      </c>
      <c r="D276" s="97" t="s">
        <v>477</v>
      </c>
      <c r="E276" s="97"/>
      <c r="F276" s="3" t="s">
        <v>80</v>
      </c>
      <c r="G276" s="30">
        <v>15</v>
      </c>
      <c r="H276" s="64">
        <v>0</v>
      </c>
    </row>
    <row r="277" spans="1:8" x14ac:dyDescent="0.25">
      <c r="A277" s="60"/>
      <c r="D277" s="61" t="s">
        <v>108</v>
      </c>
      <c r="E277" s="140" t="s">
        <v>50</v>
      </c>
      <c r="F277" s="140"/>
      <c r="G277" s="62">
        <v>15</v>
      </c>
      <c r="H277" s="63"/>
    </row>
    <row r="278" spans="1:8" x14ac:dyDescent="0.25">
      <c r="A278" s="2" t="s">
        <v>479</v>
      </c>
      <c r="B278" s="3" t="s">
        <v>50</v>
      </c>
      <c r="C278" s="3" t="s">
        <v>480</v>
      </c>
      <c r="D278" s="97" t="s">
        <v>477</v>
      </c>
      <c r="E278" s="97"/>
      <c r="F278" s="3" t="s">
        <v>80</v>
      </c>
      <c r="G278" s="30">
        <v>19</v>
      </c>
      <c r="H278" s="64">
        <v>0</v>
      </c>
    </row>
    <row r="279" spans="1:8" x14ac:dyDescent="0.25">
      <c r="A279" s="60"/>
      <c r="D279" s="61" t="s">
        <v>125</v>
      </c>
      <c r="E279" s="140" t="s">
        <v>50</v>
      </c>
      <c r="F279" s="140"/>
      <c r="G279" s="62">
        <v>19</v>
      </c>
      <c r="H279" s="63"/>
    </row>
    <row r="280" spans="1:8" x14ac:dyDescent="0.25">
      <c r="A280" s="2" t="s">
        <v>482</v>
      </c>
      <c r="B280" s="3" t="s">
        <v>50</v>
      </c>
      <c r="C280" s="3" t="s">
        <v>483</v>
      </c>
      <c r="D280" s="97" t="s">
        <v>484</v>
      </c>
      <c r="E280" s="97"/>
      <c r="F280" s="3" t="s">
        <v>80</v>
      </c>
      <c r="G280" s="30">
        <v>34</v>
      </c>
      <c r="H280" s="64">
        <v>0</v>
      </c>
    </row>
    <row r="281" spans="1:8" x14ac:dyDescent="0.25">
      <c r="A281" s="60"/>
      <c r="D281" s="61" t="s">
        <v>862</v>
      </c>
      <c r="E281" s="140" t="s">
        <v>50</v>
      </c>
      <c r="F281" s="140"/>
      <c r="G281" s="62">
        <v>34</v>
      </c>
      <c r="H281" s="63"/>
    </row>
    <row r="282" spans="1:8" x14ac:dyDescent="0.25">
      <c r="A282" s="2" t="s">
        <v>485</v>
      </c>
      <c r="B282" s="3" t="s">
        <v>50</v>
      </c>
      <c r="C282" s="3" t="s">
        <v>486</v>
      </c>
      <c r="D282" s="97" t="s">
        <v>487</v>
      </c>
      <c r="E282" s="97"/>
      <c r="F282" s="3" t="s">
        <v>90</v>
      </c>
      <c r="G282" s="30">
        <v>2.8799999999999999E-2</v>
      </c>
      <c r="H282" s="64">
        <v>0</v>
      </c>
    </row>
    <row r="283" spans="1:8" x14ac:dyDescent="0.25">
      <c r="A283" s="2" t="s">
        <v>490</v>
      </c>
      <c r="B283" s="3" t="s">
        <v>50</v>
      </c>
      <c r="C283" s="3" t="s">
        <v>491</v>
      </c>
      <c r="D283" s="97" t="s">
        <v>492</v>
      </c>
      <c r="E283" s="97"/>
      <c r="F283" s="3" t="s">
        <v>56</v>
      </c>
      <c r="G283" s="30">
        <v>3</v>
      </c>
      <c r="H283" s="64">
        <v>0</v>
      </c>
    </row>
    <row r="284" spans="1:8" x14ac:dyDescent="0.25">
      <c r="A284" s="60"/>
      <c r="D284" s="61" t="s">
        <v>65</v>
      </c>
      <c r="E284" s="140" t="s">
        <v>948</v>
      </c>
      <c r="F284" s="140"/>
      <c r="G284" s="62">
        <v>3</v>
      </c>
      <c r="H284" s="63"/>
    </row>
    <row r="285" spans="1:8" x14ac:dyDescent="0.25">
      <c r="A285" s="2" t="s">
        <v>495</v>
      </c>
      <c r="B285" s="3" t="s">
        <v>50</v>
      </c>
      <c r="C285" s="3" t="s">
        <v>496</v>
      </c>
      <c r="D285" s="97" t="s">
        <v>497</v>
      </c>
      <c r="E285" s="97"/>
      <c r="F285" s="3" t="s">
        <v>56</v>
      </c>
      <c r="G285" s="30">
        <v>3</v>
      </c>
      <c r="H285" s="64">
        <v>0</v>
      </c>
    </row>
    <row r="286" spans="1:8" x14ac:dyDescent="0.25">
      <c r="A286" s="60"/>
      <c r="D286" s="61" t="s">
        <v>65</v>
      </c>
      <c r="E286" s="140" t="s">
        <v>948</v>
      </c>
      <c r="F286" s="140"/>
      <c r="G286" s="62">
        <v>3</v>
      </c>
      <c r="H286" s="63"/>
    </row>
    <row r="287" spans="1:8" x14ac:dyDescent="0.25">
      <c r="A287" s="2" t="s">
        <v>498</v>
      </c>
      <c r="B287" s="3" t="s">
        <v>50</v>
      </c>
      <c r="C287" s="3" t="s">
        <v>499</v>
      </c>
      <c r="D287" s="97" t="s">
        <v>500</v>
      </c>
      <c r="E287" s="97"/>
      <c r="F287" s="3" t="s">
        <v>56</v>
      </c>
      <c r="G287" s="30">
        <v>1</v>
      </c>
      <c r="H287" s="64">
        <v>0</v>
      </c>
    </row>
    <row r="288" spans="1:8" x14ac:dyDescent="0.25">
      <c r="A288" s="60"/>
      <c r="D288" s="61" t="s">
        <v>53</v>
      </c>
      <c r="E288" s="140" t="s">
        <v>50</v>
      </c>
      <c r="F288" s="140"/>
      <c r="G288" s="62">
        <v>1</v>
      </c>
      <c r="H288" s="63"/>
    </row>
    <row r="289" spans="1:8" x14ac:dyDescent="0.25">
      <c r="A289" s="2" t="s">
        <v>501</v>
      </c>
      <c r="B289" s="3" t="s">
        <v>50</v>
      </c>
      <c r="C289" s="3" t="s">
        <v>502</v>
      </c>
      <c r="D289" s="97" t="s">
        <v>503</v>
      </c>
      <c r="E289" s="97"/>
      <c r="F289" s="3" t="s">
        <v>56</v>
      </c>
      <c r="G289" s="30">
        <v>2</v>
      </c>
      <c r="H289" s="64">
        <v>0</v>
      </c>
    </row>
    <row r="290" spans="1:8" x14ac:dyDescent="0.25">
      <c r="A290" s="60"/>
      <c r="D290" s="61" t="s">
        <v>61</v>
      </c>
      <c r="E290" s="140" t="s">
        <v>50</v>
      </c>
      <c r="F290" s="140"/>
      <c r="G290" s="62">
        <v>2</v>
      </c>
      <c r="H290" s="63"/>
    </row>
    <row r="291" spans="1:8" x14ac:dyDescent="0.25">
      <c r="A291" s="2" t="s">
        <v>504</v>
      </c>
      <c r="B291" s="3" t="s">
        <v>50</v>
      </c>
      <c r="C291" s="3" t="s">
        <v>505</v>
      </c>
      <c r="D291" s="97" t="s">
        <v>506</v>
      </c>
      <c r="E291" s="97"/>
      <c r="F291" s="3" t="s">
        <v>56</v>
      </c>
      <c r="G291" s="30">
        <v>1</v>
      </c>
      <c r="H291" s="64">
        <v>0</v>
      </c>
    </row>
    <row r="292" spans="1:8" x14ac:dyDescent="0.25">
      <c r="A292" s="60"/>
      <c r="D292" s="61" t="s">
        <v>53</v>
      </c>
      <c r="E292" s="140" t="s">
        <v>50</v>
      </c>
      <c r="F292" s="140"/>
      <c r="G292" s="62">
        <v>1</v>
      </c>
      <c r="H292" s="63"/>
    </row>
    <row r="293" spans="1:8" x14ac:dyDescent="0.25">
      <c r="A293" s="2" t="s">
        <v>507</v>
      </c>
      <c r="B293" s="3" t="s">
        <v>50</v>
      </c>
      <c r="C293" s="3" t="s">
        <v>508</v>
      </c>
      <c r="D293" s="97" t="s">
        <v>509</v>
      </c>
      <c r="E293" s="97"/>
      <c r="F293" s="3" t="s">
        <v>56</v>
      </c>
      <c r="G293" s="30">
        <v>1</v>
      </c>
      <c r="H293" s="64">
        <v>0</v>
      </c>
    </row>
    <row r="294" spans="1:8" x14ac:dyDescent="0.25">
      <c r="A294" s="60"/>
      <c r="D294" s="61" t="s">
        <v>53</v>
      </c>
      <c r="E294" s="140" t="s">
        <v>944</v>
      </c>
      <c r="F294" s="140"/>
      <c r="G294" s="62">
        <v>1</v>
      </c>
      <c r="H294" s="63"/>
    </row>
    <row r="295" spans="1:8" x14ac:dyDescent="0.25">
      <c r="A295" s="2" t="s">
        <v>510</v>
      </c>
      <c r="B295" s="3" t="s">
        <v>50</v>
      </c>
      <c r="C295" s="3" t="s">
        <v>511</v>
      </c>
      <c r="D295" s="97" t="s">
        <v>512</v>
      </c>
      <c r="E295" s="97"/>
      <c r="F295" s="3" t="s">
        <v>56</v>
      </c>
      <c r="G295" s="30">
        <v>3</v>
      </c>
      <c r="H295" s="64">
        <v>0</v>
      </c>
    </row>
    <row r="296" spans="1:8" x14ac:dyDescent="0.25">
      <c r="A296" s="60"/>
      <c r="D296" s="61" t="s">
        <v>65</v>
      </c>
      <c r="E296" s="140" t="s">
        <v>944</v>
      </c>
      <c r="F296" s="140"/>
      <c r="G296" s="62">
        <v>3</v>
      </c>
      <c r="H296" s="63"/>
    </row>
    <row r="297" spans="1:8" x14ac:dyDescent="0.25">
      <c r="A297" s="2" t="s">
        <v>513</v>
      </c>
      <c r="B297" s="3" t="s">
        <v>50</v>
      </c>
      <c r="C297" s="3" t="s">
        <v>514</v>
      </c>
      <c r="D297" s="97" t="s">
        <v>515</v>
      </c>
      <c r="E297" s="97"/>
      <c r="F297" s="3" t="s">
        <v>90</v>
      </c>
      <c r="G297" s="30">
        <v>4.3699999999999998E-3</v>
      </c>
      <c r="H297" s="64">
        <v>0</v>
      </c>
    </row>
    <row r="298" spans="1:8" x14ac:dyDescent="0.25">
      <c r="A298" s="2" t="s">
        <v>518</v>
      </c>
      <c r="B298" s="3" t="s">
        <v>50</v>
      </c>
      <c r="C298" s="3" t="s">
        <v>519</v>
      </c>
      <c r="D298" s="97" t="s">
        <v>520</v>
      </c>
      <c r="E298" s="97"/>
      <c r="F298" s="3" t="s">
        <v>56</v>
      </c>
      <c r="G298" s="30">
        <v>1</v>
      </c>
      <c r="H298" s="64">
        <v>0</v>
      </c>
    </row>
    <row r="299" spans="1:8" x14ac:dyDescent="0.25">
      <c r="A299" s="60"/>
      <c r="D299" s="61" t="s">
        <v>53</v>
      </c>
      <c r="E299" s="140" t="s">
        <v>949</v>
      </c>
      <c r="F299" s="140"/>
      <c r="G299" s="62">
        <v>1</v>
      </c>
      <c r="H299" s="63"/>
    </row>
    <row r="300" spans="1:8" x14ac:dyDescent="0.25">
      <c r="A300" s="2" t="s">
        <v>523</v>
      </c>
      <c r="B300" s="3" t="s">
        <v>50</v>
      </c>
      <c r="C300" s="3" t="s">
        <v>524</v>
      </c>
      <c r="D300" s="97" t="s">
        <v>525</v>
      </c>
      <c r="E300" s="97"/>
      <c r="F300" s="3" t="s">
        <v>56</v>
      </c>
      <c r="G300" s="30">
        <v>2</v>
      </c>
      <c r="H300" s="64">
        <v>0</v>
      </c>
    </row>
    <row r="301" spans="1:8" x14ac:dyDescent="0.25">
      <c r="A301" s="60"/>
      <c r="D301" s="61" t="s">
        <v>61</v>
      </c>
      <c r="E301" s="140" t="s">
        <v>948</v>
      </c>
      <c r="F301" s="140"/>
      <c r="G301" s="62">
        <v>2</v>
      </c>
      <c r="H301" s="63"/>
    </row>
    <row r="302" spans="1:8" x14ac:dyDescent="0.25">
      <c r="A302" s="2" t="s">
        <v>526</v>
      </c>
      <c r="B302" s="3" t="s">
        <v>50</v>
      </c>
      <c r="C302" s="3" t="s">
        <v>527</v>
      </c>
      <c r="D302" s="97" t="s">
        <v>528</v>
      </c>
      <c r="E302" s="97"/>
      <c r="F302" s="3" t="s">
        <v>90</v>
      </c>
      <c r="G302" s="30">
        <v>1.6920000000000001E-2</v>
      </c>
      <c r="H302" s="64">
        <v>0</v>
      </c>
    </row>
    <row r="303" spans="1:8" x14ac:dyDescent="0.25">
      <c r="A303" s="2" t="s">
        <v>531</v>
      </c>
      <c r="B303" s="3" t="s">
        <v>50</v>
      </c>
      <c r="C303" s="3" t="s">
        <v>532</v>
      </c>
      <c r="D303" s="97" t="s">
        <v>533</v>
      </c>
      <c r="E303" s="97"/>
      <c r="F303" s="3" t="s">
        <v>64</v>
      </c>
      <c r="G303" s="30">
        <v>3.25</v>
      </c>
      <c r="H303" s="64">
        <v>0</v>
      </c>
    </row>
    <row r="304" spans="1:8" x14ac:dyDescent="0.25">
      <c r="A304" s="60"/>
      <c r="D304" s="61" t="s">
        <v>950</v>
      </c>
      <c r="E304" s="140" t="s">
        <v>951</v>
      </c>
      <c r="F304" s="140"/>
      <c r="G304" s="62">
        <v>3.25</v>
      </c>
      <c r="H304" s="63"/>
    </row>
    <row r="305" spans="1:8" x14ac:dyDescent="0.25">
      <c r="A305" s="2" t="s">
        <v>536</v>
      </c>
      <c r="B305" s="3" t="s">
        <v>50</v>
      </c>
      <c r="C305" s="3" t="s">
        <v>537</v>
      </c>
      <c r="D305" s="97" t="s">
        <v>538</v>
      </c>
      <c r="E305" s="97"/>
      <c r="F305" s="3" t="s">
        <v>64</v>
      </c>
      <c r="G305" s="30">
        <v>3.25</v>
      </c>
      <c r="H305" s="64">
        <v>0</v>
      </c>
    </row>
    <row r="306" spans="1:8" x14ac:dyDescent="0.25">
      <c r="A306" s="60"/>
      <c r="D306" s="61" t="s">
        <v>950</v>
      </c>
      <c r="E306" s="140" t="s">
        <v>951</v>
      </c>
      <c r="F306" s="140"/>
      <c r="G306" s="62">
        <v>3.25</v>
      </c>
      <c r="H306" s="63"/>
    </row>
    <row r="307" spans="1:8" x14ac:dyDescent="0.25">
      <c r="A307" s="2" t="s">
        <v>540</v>
      </c>
      <c r="B307" s="3" t="s">
        <v>50</v>
      </c>
      <c r="C307" s="3" t="s">
        <v>541</v>
      </c>
      <c r="D307" s="97" t="s">
        <v>542</v>
      </c>
      <c r="E307" s="97"/>
      <c r="F307" s="3" t="s">
        <v>90</v>
      </c>
      <c r="G307" s="30">
        <v>9.1850000000000001E-2</v>
      </c>
      <c r="H307" s="64">
        <v>0</v>
      </c>
    </row>
    <row r="308" spans="1:8" x14ac:dyDescent="0.25">
      <c r="A308" s="2" t="s">
        <v>545</v>
      </c>
      <c r="B308" s="3" t="s">
        <v>50</v>
      </c>
      <c r="C308" s="3" t="s">
        <v>546</v>
      </c>
      <c r="D308" s="97" t="s">
        <v>547</v>
      </c>
      <c r="E308" s="97"/>
      <c r="F308" s="3" t="s">
        <v>56</v>
      </c>
      <c r="G308" s="30">
        <v>1</v>
      </c>
      <c r="H308" s="64">
        <v>0</v>
      </c>
    </row>
    <row r="309" spans="1:8" x14ac:dyDescent="0.25">
      <c r="A309" s="60"/>
      <c r="D309" s="61" t="s">
        <v>53</v>
      </c>
      <c r="E309" s="140" t="s">
        <v>952</v>
      </c>
      <c r="F309" s="140"/>
      <c r="G309" s="62">
        <v>1</v>
      </c>
      <c r="H309" s="63"/>
    </row>
    <row r="310" spans="1:8" x14ac:dyDescent="0.25">
      <c r="A310" s="2" t="s">
        <v>549</v>
      </c>
      <c r="B310" s="3" t="s">
        <v>50</v>
      </c>
      <c r="C310" s="3" t="s">
        <v>550</v>
      </c>
      <c r="D310" s="97" t="s">
        <v>551</v>
      </c>
      <c r="E310" s="97"/>
      <c r="F310" s="3" t="s">
        <v>56</v>
      </c>
      <c r="G310" s="30">
        <v>1</v>
      </c>
      <c r="H310" s="64">
        <v>0</v>
      </c>
    </row>
    <row r="311" spans="1:8" x14ac:dyDescent="0.25">
      <c r="A311" s="60"/>
      <c r="D311" s="61" t="s">
        <v>53</v>
      </c>
      <c r="E311" s="140" t="s">
        <v>953</v>
      </c>
      <c r="F311" s="140"/>
      <c r="G311" s="62">
        <v>1</v>
      </c>
      <c r="H311" s="63"/>
    </row>
    <row r="312" spans="1:8" x14ac:dyDescent="0.25">
      <c r="A312" s="2" t="s">
        <v>553</v>
      </c>
      <c r="B312" s="3" t="s">
        <v>50</v>
      </c>
      <c r="C312" s="3" t="s">
        <v>554</v>
      </c>
      <c r="D312" s="97" t="s">
        <v>555</v>
      </c>
      <c r="E312" s="97"/>
      <c r="F312" s="3" t="s">
        <v>56</v>
      </c>
      <c r="G312" s="30">
        <v>1</v>
      </c>
      <c r="H312" s="64">
        <v>0</v>
      </c>
    </row>
    <row r="313" spans="1:8" x14ac:dyDescent="0.25">
      <c r="A313" s="60"/>
      <c r="D313" s="61" t="s">
        <v>53</v>
      </c>
      <c r="E313" s="140" t="s">
        <v>954</v>
      </c>
      <c r="F313" s="140"/>
      <c r="G313" s="62">
        <v>1</v>
      </c>
      <c r="H313" s="63"/>
    </row>
    <row r="314" spans="1:8" x14ac:dyDescent="0.25">
      <c r="A314" s="2" t="s">
        <v>556</v>
      </c>
      <c r="B314" s="3" t="s">
        <v>50</v>
      </c>
      <c r="C314" s="3" t="s">
        <v>557</v>
      </c>
      <c r="D314" s="97" t="s">
        <v>558</v>
      </c>
      <c r="E314" s="97"/>
      <c r="F314" s="3" t="s">
        <v>56</v>
      </c>
      <c r="G314" s="30">
        <v>1</v>
      </c>
      <c r="H314" s="64">
        <v>0</v>
      </c>
    </row>
    <row r="315" spans="1:8" x14ac:dyDescent="0.25">
      <c r="A315" s="60"/>
      <c r="D315" s="61" t="s">
        <v>53</v>
      </c>
      <c r="E315" s="140" t="s">
        <v>50</v>
      </c>
      <c r="F315" s="140"/>
      <c r="G315" s="62">
        <v>1</v>
      </c>
      <c r="H315" s="63"/>
    </row>
    <row r="316" spans="1:8" x14ac:dyDescent="0.25">
      <c r="A316" s="2" t="s">
        <v>559</v>
      </c>
      <c r="B316" s="3" t="s">
        <v>50</v>
      </c>
      <c r="C316" s="3" t="s">
        <v>560</v>
      </c>
      <c r="D316" s="97" t="s">
        <v>561</v>
      </c>
      <c r="E316" s="97"/>
      <c r="F316" s="3" t="s">
        <v>56</v>
      </c>
      <c r="G316" s="30">
        <v>1</v>
      </c>
      <c r="H316" s="64">
        <v>0</v>
      </c>
    </row>
    <row r="317" spans="1:8" x14ac:dyDescent="0.25">
      <c r="A317" s="60"/>
      <c r="D317" s="61" t="s">
        <v>53</v>
      </c>
      <c r="E317" s="140" t="s">
        <v>50</v>
      </c>
      <c r="F317" s="140"/>
      <c r="G317" s="62">
        <v>1</v>
      </c>
      <c r="H317" s="63"/>
    </row>
    <row r="318" spans="1:8" x14ac:dyDescent="0.25">
      <c r="A318" s="2" t="s">
        <v>562</v>
      </c>
      <c r="B318" s="3" t="s">
        <v>50</v>
      </c>
      <c r="C318" s="3" t="s">
        <v>563</v>
      </c>
      <c r="D318" s="97" t="s">
        <v>564</v>
      </c>
      <c r="E318" s="97"/>
      <c r="F318" s="3" t="s">
        <v>90</v>
      </c>
      <c r="G318" s="30">
        <v>0.21038999999999999</v>
      </c>
      <c r="H318" s="64">
        <v>0</v>
      </c>
    </row>
    <row r="319" spans="1:8" x14ac:dyDescent="0.25">
      <c r="A319" s="2" t="s">
        <v>567</v>
      </c>
      <c r="B319" s="3" t="s">
        <v>50</v>
      </c>
      <c r="C319" s="3" t="s">
        <v>568</v>
      </c>
      <c r="D319" s="97" t="s">
        <v>569</v>
      </c>
      <c r="E319" s="97"/>
      <c r="F319" s="3" t="s">
        <v>111</v>
      </c>
      <c r="G319" s="30">
        <v>0.40949999999999998</v>
      </c>
      <c r="H319" s="64">
        <v>0</v>
      </c>
    </row>
    <row r="320" spans="1:8" x14ac:dyDescent="0.25">
      <c r="A320" s="60"/>
      <c r="D320" s="61" t="s">
        <v>955</v>
      </c>
      <c r="E320" s="140" t="s">
        <v>956</v>
      </c>
      <c r="F320" s="140"/>
      <c r="G320" s="62">
        <v>0.40949999999999998</v>
      </c>
      <c r="H320" s="63"/>
    </row>
    <row r="321" spans="1:8" x14ac:dyDescent="0.25">
      <c r="A321" s="2" t="s">
        <v>572</v>
      </c>
      <c r="B321" s="3" t="s">
        <v>50</v>
      </c>
      <c r="C321" s="3" t="s">
        <v>573</v>
      </c>
      <c r="D321" s="97" t="s">
        <v>574</v>
      </c>
      <c r="E321" s="97"/>
      <c r="F321" s="3" t="s">
        <v>64</v>
      </c>
      <c r="G321" s="30">
        <v>2.73</v>
      </c>
      <c r="H321" s="64">
        <v>0</v>
      </c>
    </row>
    <row r="322" spans="1:8" x14ac:dyDescent="0.25">
      <c r="A322" s="60"/>
      <c r="D322" s="61" t="s">
        <v>957</v>
      </c>
      <c r="E322" s="140" t="s">
        <v>958</v>
      </c>
      <c r="F322" s="140"/>
      <c r="G322" s="62">
        <v>2.73</v>
      </c>
      <c r="H322" s="63"/>
    </row>
    <row r="323" spans="1:8" x14ac:dyDescent="0.25">
      <c r="A323" s="2" t="s">
        <v>575</v>
      </c>
      <c r="B323" s="3" t="s">
        <v>50</v>
      </c>
      <c r="C323" s="3" t="s">
        <v>88</v>
      </c>
      <c r="D323" s="97" t="s">
        <v>89</v>
      </c>
      <c r="E323" s="97"/>
      <c r="F323" s="3" t="s">
        <v>90</v>
      </c>
      <c r="G323" s="30">
        <v>1.0783499999999999</v>
      </c>
      <c r="H323" s="64">
        <v>0</v>
      </c>
    </row>
    <row r="324" spans="1:8" x14ac:dyDescent="0.25">
      <c r="A324" s="2" t="s">
        <v>576</v>
      </c>
      <c r="B324" s="3" t="s">
        <v>50</v>
      </c>
      <c r="C324" s="3" t="s">
        <v>92</v>
      </c>
      <c r="D324" s="97" t="s">
        <v>93</v>
      </c>
      <c r="E324" s="97"/>
      <c r="F324" s="3" t="s">
        <v>90</v>
      </c>
      <c r="G324" s="30">
        <v>1.0783499999999999</v>
      </c>
      <c r="H324" s="64">
        <v>0</v>
      </c>
    </row>
    <row r="325" spans="1:8" x14ac:dyDescent="0.25">
      <c r="A325" s="2" t="s">
        <v>577</v>
      </c>
      <c r="B325" s="3" t="s">
        <v>50</v>
      </c>
      <c r="C325" s="3" t="s">
        <v>128</v>
      </c>
      <c r="D325" s="97" t="s">
        <v>129</v>
      </c>
      <c r="E325" s="97"/>
      <c r="F325" s="3" t="s">
        <v>90</v>
      </c>
      <c r="G325" s="30">
        <v>1.0783499999999999</v>
      </c>
      <c r="H325" s="64">
        <v>0</v>
      </c>
    </row>
    <row r="326" spans="1:8" x14ac:dyDescent="0.25">
      <c r="A326" s="60"/>
      <c r="D326" s="61" t="s">
        <v>959</v>
      </c>
      <c r="E326" s="140" t="s">
        <v>50</v>
      </c>
      <c r="F326" s="140"/>
      <c r="G326" s="62">
        <v>1.0783499999999999</v>
      </c>
      <c r="H326" s="63"/>
    </row>
    <row r="327" spans="1:8" x14ac:dyDescent="0.25">
      <c r="A327" s="2" t="s">
        <v>578</v>
      </c>
      <c r="B327" s="3" t="s">
        <v>50</v>
      </c>
      <c r="C327" s="3" t="s">
        <v>579</v>
      </c>
      <c r="D327" s="97" t="s">
        <v>580</v>
      </c>
      <c r="E327" s="97"/>
      <c r="F327" s="3" t="s">
        <v>64</v>
      </c>
      <c r="G327" s="30">
        <v>13.71612</v>
      </c>
      <c r="H327" s="64">
        <v>0</v>
      </c>
    </row>
    <row r="328" spans="1:8" x14ac:dyDescent="0.25">
      <c r="A328" s="60"/>
      <c r="D328" s="61" t="s">
        <v>960</v>
      </c>
      <c r="E328" s="140" t="s">
        <v>961</v>
      </c>
      <c r="F328" s="140"/>
      <c r="G328" s="62">
        <v>13.71612</v>
      </c>
      <c r="H328" s="63"/>
    </row>
    <row r="329" spans="1:8" x14ac:dyDescent="0.25">
      <c r="A329" s="2" t="s">
        <v>582</v>
      </c>
      <c r="B329" s="3" t="s">
        <v>50</v>
      </c>
      <c r="C329" s="3" t="s">
        <v>583</v>
      </c>
      <c r="D329" s="97" t="s">
        <v>584</v>
      </c>
      <c r="E329" s="97"/>
      <c r="F329" s="3" t="s">
        <v>111</v>
      </c>
      <c r="G329" s="30">
        <v>0.82296999999999998</v>
      </c>
      <c r="H329" s="64">
        <v>0</v>
      </c>
    </row>
    <row r="330" spans="1:8" x14ac:dyDescent="0.25">
      <c r="A330" s="60"/>
      <c r="D330" s="61" t="s">
        <v>962</v>
      </c>
      <c r="E330" s="140" t="s">
        <v>961</v>
      </c>
      <c r="F330" s="140"/>
      <c r="G330" s="62">
        <v>0.82296999999999998</v>
      </c>
      <c r="H330" s="63"/>
    </row>
    <row r="331" spans="1:8" x14ac:dyDescent="0.25">
      <c r="A331" s="2" t="s">
        <v>585</v>
      </c>
      <c r="B331" s="3" t="s">
        <v>50</v>
      </c>
      <c r="C331" s="3" t="s">
        <v>586</v>
      </c>
      <c r="D331" s="97" t="s">
        <v>587</v>
      </c>
      <c r="E331" s="97"/>
      <c r="F331" s="3" t="s">
        <v>64</v>
      </c>
      <c r="G331" s="30">
        <v>13.71612</v>
      </c>
      <c r="H331" s="64">
        <v>0</v>
      </c>
    </row>
    <row r="332" spans="1:8" x14ac:dyDescent="0.25">
      <c r="A332" s="60"/>
      <c r="D332" s="61" t="s">
        <v>960</v>
      </c>
      <c r="E332" s="140" t="s">
        <v>961</v>
      </c>
      <c r="F332" s="140"/>
      <c r="G332" s="62">
        <v>13.71612</v>
      </c>
      <c r="H332" s="63"/>
    </row>
    <row r="333" spans="1:8" x14ac:dyDescent="0.25">
      <c r="A333" s="2" t="s">
        <v>588</v>
      </c>
      <c r="B333" s="3" t="s">
        <v>50</v>
      </c>
      <c r="C333" s="3" t="s">
        <v>589</v>
      </c>
      <c r="D333" s="97" t="s">
        <v>590</v>
      </c>
      <c r="E333" s="97"/>
      <c r="F333" s="3" t="s">
        <v>64</v>
      </c>
      <c r="G333" s="30">
        <v>15.087730000000001</v>
      </c>
      <c r="H333" s="64">
        <v>0</v>
      </c>
    </row>
    <row r="334" spans="1:8" x14ac:dyDescent="0.25">
      <c r="A334" s="60"/>
      <c r="D334" s="61" t="s">
        <v>960</v>
      </c>
      <c r="E334" s="140" t="s">
        <v>961</v>
      </c>
      <c r="F334" s="140"/>
      <c r="G334" s="62">
        <v>13.71612</v>
      </c>
      <c r="H334" s="63"/>
    </row>
    <row r="335" spans="1:8" x14ac:dyDescent="0.25">
      <c r="A335" s="2" t="s">
        <v>50</v>
      </c>
      <c r="B335" s="3" t="s">
        <v>50</v>
      </c>
      <c r="C335" s="3" t="s">
        <v>50</v>
      </c>
      <c r="D335" s="61" t="s">
        <v>963</v>
      </c>
      <c r="E335" s="140" t="s">
        <v>50</v>
      </c>
      <c r="F335" s="140"/>
      <c r="G335" s="62">
        <v>1.37161</v>
      </c>
      <c r="H335" s="65" t="s">
        <v>50</v>
      </c>
    </row>
    <row r="336" spans="1:8" x14ac:dyDescent="0.25">
      <c r="A336" s="2" t="s">
        <v>591</v>
      </c>
      <c r="B336" s="3" t="s">
        <v>50</v>
      </c>
      <c r="C336" s="3" t="s">
        <v>592</v>
      </c>
      <c r="D336" s="97" t="s">
        <v>593</v>
      </c>
      <c r="E336" s="97"/>
      <c r="F336" s="3" t="s">
        <v>64</v>
      </c>
      <c r="G336" s="30">
        <v>13.71612</v>
      </c>
      <c r="H336" s="64">
        <v>0</v>
      </c>
    </row>
    <row r="337" spans="1:8" x14ac:dyDescent="0.25">
      <c r="A337" s="60"/>
      <c r="D337" s="61" t="s">
        <v>960</v>
      </c>
      <c r="E337" s="140" t="s">
        <v>961</v>
      </c>
      <c r="F337" s="140"/>
      <c r="G337" s="62">
        <v>13.71612</v>
      </c>
      <c r="H337" s="63"/>
    </row>
    <row r="338" spans="1:8" x14ac:dyDescent="0.25">
      <c r="A338" s="2" t="s">
        <v>595</v>
      </c>
      <c r="B338" s="3" t="s">
        <v>50</v>
      </c>
      <c r="C338" s="3" t="s">
        <v>596</v>
      </c>
      <c r="D338" s="97" t="s">
        <v>597</v>
      </c>
      <c r="E338" s="97"/>
      <c r="F338" s="3" t="s">
        <v>64</v>
      </c>
      <c r="G338" s="30">
        <v>15.087730000000001</v>
      </c>
      <c r="H338" s="64">
        <v>0</v>
      </c>
    </row>
    <row r="339" spans="1:8" x14ac:dyDescent="0.25">
      <c r="A339" s="60"/>
      <c r="D339" s="61" t="s">
        <v>960</v>
      </c>
      <c r="E339" s="140" t="s">
        <v>961</v>
      </c>
      <c r="F339" s="140"/>
      <c r="G339" s="62">
        <v>13.71612</v>
      </c>
      <c r="H339" s="63"/>
    </row>
    <row r="340" spans="1:8" x14ac:dyDescent="0.25">
      <c r="A340" s="2" t="s">
        <v>50</v>
      </c>
      <c r="B340" s="3" t="s">
        <v>50</v>
      </c>
      <c r="C340" s="3" t="s">
        <v>50</v>
      </c>
      <c r="D340" s="61" t="s">
        <v>963</v>
      </c>
      <c r="E340" s="140" t="s">
        <v>50</v>
      </c>
      <c r="F340" s="140"/>
      <c r="G340" s="62">
        <v>1.37161</v>
      </c>
      <c r="H340" s="65" t="s">
        <v>50</v>
      </c>
    </row>
    <row r="341" spans="1:8" x14ac:dyDescent="0.25">
      <c r="A341" s="2" t="s">
        <v>598</v>
      </c>
      <c r="B341" s="3" t="s">
        <v>50</v>
      </c>
      <c r="C341" s="3" t="s">
        <v>599</v>
      </c>
      <c r="D341" s="97" t="s">
        <v>600</v>
      </c>
      <c r="E341" s="97"/>
      <c r="F341" s="3" t="s">
        <v>64</v>
      </c>
      <c r="G341" s="30">
        <v>9.9761199999999999</v>
      </c>
      <c r="H341" s="64">
        <v>0</v>
      </c>
    </row>
    <row r="342" spans="1:8" x14ac:dyDescent="0.25">
      <c r="A342" s="60"/>
      <c r="D342" s="61" t="s">
        <v>964</v>
      </c>
      <c r="E342" s="140" t="s">
        <v>965</v>
      </c>
      <c r="F342" s="140"/>
      <c r="G342" s="62">
        <v>9.9761199999999999</v>
      </c>
      <c r="H342" s="63"/>
    </row>
    <row r="343" spans="1:8" x14ac:dyDescent="0.25">
      <c r="A343" s="2" t="s">
        <v>601</v>
      </c>
      <c r="B343" s="3" t="s">
        <v>50</v>
      </c>
      <c r="C343" s="3" t="s">
        <v>602</v>
      </c>
      <c r="D343" s="97" t="s">
        <v>603</v>
      </c>
      <c r="E343" s="97"/>
      <c r="F343" s="3" t="s">
        <v>64</v>
      </c>
      <c r="G343" s="30">
        <v>3.74</v>
      </c>
      <c r="H343" s="64">
        <v>0</v>
      </c>
    </row>
    <row r="344" spans="1:8" x14ac:dyDescent="0.25">
      <c r="A344" s="60"/>
      <c r="D344" s="61" t="s">
        <v>868</v>
      </c>
      <c r="E344" s="140" t="s">
        <v>867</v>
      </c>
      <c r="F344" s="140"/>
      <c r="G344" s="62">
        <v>3.74</v>
      </c>
      <c r="H344" s="63"/>
    </row>
    <row r="345" spans="1:8" x14ac:dyDescent="0.25">
      <c r="A345" s="2" t="s">
        <v>604</v>
      </c>
      <c r="B345" s="3" t="s">
        <v>50</v>
      </c>
      <c r="C345" s="3" t="s">
        <v>605</v>
      </c>
      <c r="D345" s="97" t="s">
        <v>606</v>
      </c>
      <c r="E345" s="97"/>
      <c r="F345" s="3" t="s">
        <v>64</v>
      </c>
      <c r="G345" s="30">
        <v>13.71612</v>
      </c>
      <c r="H345" s="64">
        <v>0</v>
      </c>
    </row>
    <row r="346" spans="1:8" x14ac:dyDescent="0.25">
      <c r="A346" s="60"/>
      <c r="D346" s="61" t="s">
        <v>960</v>
      </c>
      <c r="E346" s="140" t="s">
        <v>961</v>
      </c>
      <c r="F346" s="140"/>
      <c r="G346" s="62">
        <v>13.71612</v>
      </c>
      <c r="H346" s="63"/>
    </row>
    <row r="347" spans="1:8" x14ac:dyDescent="0.25">
      <c r="A347" s="2" t="s">
        <v>607</v>
      </c>
      <c r="B347" s="3" t="s">
        <v>50</v>
      </c>
      <c r="C347" s="3" t="s">
        <v>608</v>
      </c>
      <c r="D347" s="97" t="s">
        <v>609</v>
      </c>
      <c r="E347" s="97"/>
      <c r="F347" s="3" t="s">
        <v>64</v>
      </c>
      <c r="G347" s="30">
        <v>3.74</v>
      </c>
      <c r="H347" s="64">
        <v>0</v>
      </c>
    </row>
    <row r="348" spans="1:8" x14ac:dyDescent="0.25">
      <c r="A348" s="60"/>
      <c r="D348" s="61" t="s">
        <v>868</v>
      </c>
      <c r="E348" s="140" t="s">
        <v>867</v>
      </c>
      <c r="F348" s="140"/>
      <c r="G348" s="62">
        <v>3.74</v>
      </c>
      <c r="H348" s="63"/>
    </row>
    <row r="349" spans="1:8" x14ac:dyDescent="0.25">
      <c r="A349" s="2" t="s">
        <v>610</v>
      </c>
      <c r="B349" s="3" t="s">
        <v>50</v>
      </c>
      <c r="C349" s="3" t="s">
        <v>611</v>
      </c>
      <c r="D349" s="97" t="s">
        <v>612</v>
      </c>
      <c r="E349" s="97"/>
      <c r="F349" s="3" t="s">
        <v>80</v>
      </c>
      <c r="G349" s="30">
        <v>9.0500000000000007</v>
      </c>
      <c r="H349" s="64">
        <v>0</v>
      </c>
    </row>
    <row r="350" spans="1:8" x14ac:dyDescent="0.25">
      <c r="A350" s="60"/>
      <c r="D350" s="61" t="s">
        <v>966</v>
      </c>
      <c r="E350" s="140" t="s">
        <v>867</v>
      </c>
      <c r="F350" s="140"/>
      <c r="G350" s="62">
        <v>9.0500000000000007</v>
      </c>
      <c r="H350" s="63"/>
    </row>
    <row r="351" spans="1:8" x14ac:dyDescent="0.25">
      <c r="A351" s="2" t="s">
        <v>613</v>
      </c>
      <c r="B351" s="3" t="s">
        <v>50</v>
      </c>
      <c r="C351" s="3" t="s">
        <v>614</v>
      </c>
      <c r="D351" s="97" t="s">
        <v>615</v>
      </c>
      <c r="E351" s="97"/>
      <c r="F351" s="3" t="s">
        <v>56</v>
      </c>
      <c r="G351" s="30">
        <v>1</v>
      </c>
      <c r="H351" s="64">
        <v>0</v>
      </c>
    </row>
    <row r="352" spans="1:8" x14ac:dyDescent="0.25">
      <c r="A352" s="60"/>
      <c r="D352" s="61" t="s">
        <v>53</v>
      </c>
      <c r="E352" s="140" t="s">
        <v>867</v>
      </c>
      <c r="F352" s="140"/>
      <c r="G352" s="62">
        <v>1</v>
      </c>
      <c r="H352" s="63"/>
    </row>
    <row r="353" spans="1:8" x14ac:dyDescent="0.25">
      <c r="A353" s="2" t="s">
        <v>616</v>
      </c>
      <c r="B353" s="3" t="s">
        <v>50</v>
      </c>
      <c r="C353" s="3" t="s">
        <v>617</v>
      </c>
      <c r="D353" s="97" t="s">
        <v>618</v>
      </c>
      <c r="E353" s="97"/>
      <c r="F353" s="3" t="s">
        <v>64</v>
      </c>
      <c r="G353" s="30">
        <v>13.71612</v>
      </c>
      <c r="H353" s="64">
        <v>0</v>
      </c>
    </row>
    <row r="354" spans="1:8" x14ac:dyDescent="0.25">
      <c r="A354" s="60"/>
      <c r="D354" s="61" t="s">
        <v>960</v>
      </c>
      <c r="E354" s="140" t="s">
        <v>961</v>
      </c>
      <c r="F354" s="140"/>
      <c r="G354" s="62">
        <v>13.71612</v>
      </c>
      <c r="H354" s="63"/>
    </row>
    <row r="355" spans="1:8" x14ac:dyDescent="0.25">
      <c r="A355" s="2" t="s">
        <v>619</v>
      </c>
      <c r="B355" s="3" t="s">
        <v>50</v>
      </c>
      <c r="C355" s="3" t="s">
        <v>620</v>
      </c>
      <c r="D355" s="97" t="s">
        <v>621</v>
      </c>
      <c r="E355" s="97"/>
      <c r="F355" s="3" t="s">
        <v>80</v>
      </c>
      <c r="G355" s="30">
        <v>13.605</v>
      </c>
      <c r="H355" s="64">
        <v>0</v>
      </c>
    </row>
    <row r="356" spans="1:8" x14ac:dyDescent="0.25">
      <c r="A356" s="60"/>
      <c r="D356" s="61" t="s">
        <v>967</v>
      </c>
      <c r="E356" s="140" t="s">
        <v>968</v>
      </c>
      <c r="F356" s="140"/>
      <c r="G356" s="62">
        <v>13.605</v>
      </c>
      <c r="H356" s="63"/>
    </row>
    <row r="357" spans="1:8" x14ac:dyDescent="0.25">
      <c r="A357" s="2" t="s">
        <v>622</v>
      </c>
      <c r="B357" s="3" t="s">
        <v>50</v>
      </c>
      <c r="C357" s="3" t="s">
        <v>623</v>
      </c>
      <c r="D357" s="97" t="s">
        <v>624</v>
      </c>
      <c r="E357" s="97"/>
      <c r="F357" s="3" t="s">
        <v>90</v>
      </c>
      <c r="G357" s="30">
        <v>2.1538499999999998</v>
      </c>
      <c r="H357" s="64">
        <v>0</v>
      </c>
    </row>
    <row r="358" spans="1:8" x14ac:dyDescent="0.25">
      <c r="A358" s="2" t="s">
        <v>627</v>
      </c>
      <c r="B358" s="3" t="s">
        <v>50</v>
      </c>
      <c r="C358" s="3" t="s">
        <v>628</v>
      </c>
      <c r="D358" s="97" t="s">
        <v>629</v>
      </c>
      <c r="E358" s="97"/>
      <c r="F358" s="3" t="s">
        <v>64</v>
      </c>
      <c r="G358" s="30">
        <v>9.9761199999999999</v>
      </c>
      <c r="H358" s="64">
        <v>0</v>
      </c>
    </row>
    <row r="359" spans="1:8" x14ac:dyDescent="0.25">
      <c r="A359" s="60"/>
      <c r="D359" s="61" t="s">
        <v>964</v>
      </c>
      <c r="E359" s="140" t="s">
        <v>965</v>
      </c>
      <c r="F359" s="140"/>
      <c r="G359" s="62">
        <v>9.9761199999999999</v>
      </c>
      <c r="H359" s="63"/>
    </row>
    <row r="360" spans="1:8" x14ac:dyDescent="0.25">
      <c r="A360" s="2" t="s">
        <v>631</v>
      </c>
      <c r="B360" s="3" t="s">
        <v>50</v>
      </c>
      <c r="C360" s="3" t="s">
        <v>632</v>
      </c>
      <c r="D360" s="97" t="s">
        <v>633</v>
      </c>
      <c r="E360" s="97"/>
      <c r="F360" s="3" t="s">
        <v>64</v>
      </c>
      <c r="G360" s="30">
        <v>9.9761199999999999</v>
      </c>
      <c r="H360" s="64">
        <v>0</v>
      </c>
    </row>
    <row r="361" spans="1:8" x14ac:dyDescent="0.25">
      <c r="A361" s="60"/>
      <c r="D361" s="61" t="s">
        <v>964</v>
      </c>
      <c r="E361" s="140" t="s">
        <v>965</v>
      </c>
      <c r="F361" s="140"/>
      <c r="G361" s="62">
        <v>9.9761199999999999</v>
      </c>
      <c r="H361" s="63"/>
    </row>
    <row r="362" spans="1:8" x14ac:dyDescent="0.25">
      <c r="A362" s="2" t="s">
        <v>635</v>
      </c>
      <c r="B362" s="3" t="s">
        <v>50</v>
      </c>
      <c r="C362" s="3" t="s">
        <v>636</v>
      </c>
      <c r="D362" s="97" t="s">
        <v>637</v>
      </c>
      <c r="E362" s="97"/>
      <c r="F362" s="3" t="s">
        <v>64</v>
      </c>
      <c r="G362" s="30">
        <v>9.9761199999999999</v>
      </c>
      <c r="H362" s="64">
        <v>0</v>
      </c>
    </row>
    <row r="363" spans="1:8" x14ac:dyDescent="0.25">
      <c r="A363" s="60"/>
      <c r="D363" s="61" t="s">
        <v>964</v>
      </c>
      <c r="E363" s="140" t="s">
        <v>965</v>
      </c>
      <c r="F363" s="140"/>
      <c r="G363" s="62">
        <v>9.9761199999999999</v>
      </c>
      <c r="H363" s="63"/>
    </row>
    <row r="364" spans="1:8" x14ac:dyDescent="0.25">
      <c r="A364" s="2" t="s">
        <v>638</v>
      </c>
      <c r="B364" s="3" t="s">
        <v>50</v>
      </c>
      <c r="C364" s="3" t="s">
        <v>92</v>
      </c>
      <c r="D364" s="97" t="s">
        <v>93</v>
      </c>
      <c r="E364" s="97"/>
      <c r="F364" s="3" t="s">
        <v>90</v>
      </c>
      <c r="G364" s="30">
        <v>2.0241500000000001</v>
      </c>
      <c r="H364" s="64">
        <v>0</v>
      </c>
    </row>
    <row r="365" spans="1:8" x14ac:dyDescent="0.25">
      <c r="A365" s="2" t="s">
        <v>639</v>
      </c>
      <c r="B365" s="3" t="s">
        <v>50</v>
      </c>
      <c r="C365" s="3" t="s">
        <v>640</v>
      </c>
      <c r="D365" s="97" t="s">
        <v>641</v>
      </c>
      <c r="E365" s="97"/>
      <c r="F365" s="3" t="s">
        <v>90</v>
      </c>
      <c r="G365" s="30">
        <v>1.57124</v>
      </c>
      <c r="H365" s="64">
        <v>0</v>
      </c>
    </row>
    <row r="366" spans="1:8" x14ac:dyDescent="0.25">
      <c r="A366" s="2" t="s">
        <v>642</v>
      </c>
      <c r="B366" s="3" t="s">
        <v>50</v>
      </c>
      <c r="C366" s="3" t="s">
        <v>643</v>
      </c>
      <c r="D366" s="97" t="s">
        <v>644</v>
      </c>
      <c r="E366" s="97"/>
      <c r="F366" s="3" t="s">
        <v>56</v>
      </c>
      <c r="G366" s="30">
        <v>1.7925</v>
      </c>
      <c r="H366" s="64">
        <v>0</v>
      </c>
    </row>
    <row r="367" spans="1:8" x14ac:dyDescent="0.25">
      <c r="A367" s="60"/>
      <c r="D367" s="61" t="s">
        <v>969</v>
      </c>
      <c r="E367" s="140" t="s">
        <v>888</v>
      </c>
      <c r="F367" s="140"/>
      <c r="G367" s="62">
        <v>1.2424999999999999</v>
      </c>
      <c r="H367" s="63"/>
    </row>
    <row r="368" spans="1:8" x14ac:dyDescent="0.25">
      <c r="A368" s="2" t="s">
        <v>50</v>
      </c>
      <c r="B368" s="3" t="s">
        <v>50</v>
      </c>
      <c r="C368" s="3" t="s">
        <v>50</v>
      </c>
      <c r="D368" s="61" t="s">
        <v>970</v>
      </c>
      <c r="E368" s="140" t="s">
        <v>890</v>
      </c>
      <c r="F368" s="140"/>
      <c r="G368" s="62">
        <v>0.55000000000000004</v>
      </c>
      <c r="H368" s="65" t="s">
        <v>50</v>
      </c>
    </row>
    <row r="369" spans="1:8" x14ac:dyDescent="0.25">
      <c r="A369" s="2" t="s">
        <v>645</v>
      </c>
      <c r="B369" s="3" t="s">
        <v>50</v>
      </c>
      <c r="C369" s="3" t="s">
        <v>646</v>
      </c>
      <c r="D369" s="97" t="s">
        <v>647</v>
      </c>
      <c r="E369" s="97"/>
      <c r="F369" s="3" t="s">
        <v>64</v>
      </c>
      <c r="G369" s="30">
        <v>24.66947</v>
      </c>
      <c r="H369" s="64">
        <v>0</v>
      </c>
    </row>
    <row r="370" spans="1:8" x14ac:dyDescent="0.25">
      <c r="A370" s="60"/>
      <c r="D370" s="61" t="s">
        <v>971</v>
      </c>
      <c r="E370" s="140" t="s">
        <v>972</v>
      </c>
      <c r="F370" s="140"/>
      <c r="G370" s="62">
        <v>24.66947</v>
      </c>
      <c r="H370" s="63"/>
    </row>
    <row r="371" spans="1:8" x14ac:dyDescent="0.25">
      <c r="A371" s="2" t="s">
        <v>648</v>
      </c>
      <c r="B371" s="3" t="s">
        <v>50</v>
      </c>
      <c r="C371" s="3" t="s">
        <v>649</v>
      </c>
      <c r="D371" s="97" t="s">
        <v>650</v>
      </c>
      <c r="E371" s="97"/>
      <c r="F371" s="3" t="s">
        <v>64</v>
      </c>
      <c r="G371" s="30">
        <v>24.66947</v>
      </c>
      <c r="H371" s="64">
        <v>0</v>
      </c>
    </row>
    <row r="372" spans="1:8" x14ac:dyDescent="0.25">
      <c r="A372" s="60"/>
      <c r="D372" s="61" t="s">
        <v>971</v>
      </c>
      <c r="E372" s="140" t="s">
        <v>972</v>
      </c>
      <c r="F372" s="140"/>
      <c r="G372" s="62">
        <v>24.66947</v>
      </c>
      <c r="H372" s="63"/>
    </row>
    <row r="373" spans="1:8" x14ac:dyDescent="0.25">
      <c r="A373" s="2" t="s">
        <v>651</v>
      </c>
      <c r="B373" s="3" t="s">
        <v>50</v>
      </c>
      <c r="C373" s="3" t="s">
        <v>652</v>
      </c>
      <c r="D373" s="97" t="s">
        <v>653</v>
      </c>
      <c r="E373" s="97"/>
      <c r="F373" s="3" t="s">
        <v>80</v>
      </c>
      <c r="G373" s="30">
        <v>23.065000000000001</v>
      </c>
      <c r="H373" s="64">
        <v>0</v>
      </c>
    </row>
    <row r="374" spans="1:8" x14ac:dyDescent="0.25">
      <c r="A374" s="60"/>
      <c r="D374" s="61" t="s">
        <v>973</v>
      </c>
      <c r="E374" s="140" t="s">
        <v>972</v>
      </c>
      <c r="F374" s="140"/>
      <c r="G374" s="62">
        <v>23.065000000000001</v>
      </c>
      <c r="H374" s="63"/>
    </row>
    <row r="375" spans="1:8" x14ac:dyDescent="0.25">
      <c r="A375" s="2" t="s">
        <v>654</v>
      </c>
      <c r="B375" s="3" t="s">
        <v>50</v>
      </c>
      <c r="C375" s="3" t="s">
        <v>655</v>
      </c>
      <c r="D375" s="97" t="s">
        <v>656</v>
      </c>
      <c r="E375" s="97"/>
      <c r="F375" s="3" t="s">
        <v>80</v>
      </c>
      <c r="G375" s="30">
        <v>2.4849999999999999</v>
      </c>
      <c r="H375" s="64">
        <v>0</v>
      </c>
    </row>
    <row r="376" spans="1:8" x14ac:dyDescent="0.25">
      <c r="A376" s="60"/>
      <c r="D376" s="61" t="s">
        <v>974</v>
      </c>
      <c r="E376" s="140" t="s">
        <v>888</v>
      </c>
      <c r="F376" s="140"/>
      <c r="G376" s="62">
        <v>2.4849999999999999</v>
      </c>
      <c r="H376" s="63"/>
    </row>
    <row r="377" spans="1:8" x14ac:dyDescent="0.25">
      <c r="A377" s="2" t="s">
        <v>657</v>
      </c>
      <c r="B377" s="3" t="s">
        <v>50</v>
      </c>
      <c r="C377" s="3" t="s">
        <v>658</v>
      </c>
      <c r="D377" s="97" t="s">
        <v>659</v>
      </c>
      <c r="E377" s="97"/>
      <c r="F377" s="3" t="s">
        <v>90</v>
      </c>
      <c r="G377" s="30">
        <v>2.14696</v>
      </c>
      <c r="H377" s="64">
        <v>0</v>
      </c>
    </row>
    <row r="378" spans="1:8" x14ac:dyDescent="0.25">
      <c r="A378" s="2" t="s">
        <v>662</v>
      </c>
      <c r="B378" s="3" t="s">
        <v>50</v>
      </c>
      <c r="C378" s="3" t="s">
        <v>663</v>
      </c>
      <c r="D378" s="97" t="s">
        <v>664</v>
      </c>
      <c r="E378" s="97"/>
      <c r="F378" s="3" t="s">
        <v>64</v>
      </c>
      <c r="G378" s="30">
        <v>30.6</v>
      </c>
      <c r="H378" s="64">
        <v>0</v>
      </c>
    </row>
    <row r="379" spans="1:8" x14ac:dyDescent="0.25">
      <c r="A379" s="60"/>
      <c r="D379" s="61" t="s">
        <v>975</v>
      </c>
      <c r="E379" s="140" t="s">
        <v>976</v>
      </c>
      <c r="F379" s="140"/>
      <c r="G379" s="62">
        <v>17.399999999999999</v>
      </c>
      <c r="H379" s="63"/>
    </row>
    <row r="380" spans="1:8" x14ac:dyDescent="0.25">
      <c r="A380" s="2" t="s">
        <v>50</v>
      </c>
      <c r="B380" s="3" t="s">
        <v>50</v>
      </c>
      <c r="C380" s="3" t="s">
        <v>50</v>
      </c>
      <c r="D380" s="61" t="s">
        <v>977</v>
      </c>
      <c r="E380" s="140" t="s">
        <v>978</v>
      </c>
      <c r="F380" s="140"/>
      <c r="G380" s="62">
        <v>13.2</v>
      </c>
      <c r="H380" s="65" t="s">
        <v>50</v>
      </c>
    </row>
    <row r="381" spans="1:8" x14ac:dyDescent="0.25">
      <c r="A381" s="2" t="s">
        <v>668</v>
      </c>
      <c r="B381" s="3" t="s">
        <v>50</v>
      </c>
      <c r="C381" s="3" t="s">
        <v>669</v>
      </c>
      <c r="D381" s="97" t="s">
        <v>670</v>
      </c>
      <c r="E381" s="97"/>
      <c r="F381" s="3" t="s">
        <v>64</v>
      </c>
      <c r="G381" s="30">
        <v>30.6</v>
      </c>
      <c r="H381" s="64">
        <v>0</v>
      </c>
    </row>
    <row r="382" spans="1:8" x14ac:dyDescent="0.25">
      <c r="A382" s="60"/>
      <c r="D382" s="61" t="s">
        <v>975</v>
      </c>
      <c r="E382" s="140" t="s">
        <v>976</v>
      </c>
      <c r="F382" s="140"/>
      <c r="G382" s="62">
        <v>17.399999999999999</v>
      </c>
      <c r="H382" s="63"/>
    </row>
    <row r="383" spans="1:8" x14ac:dyDescent="0.25">
      <c r="A383" s="2" t="s">
        <v>50</v>
      </c>
      <c r="B383" s="3" t="s">
        <v>50</v>
      </c>
      <c r="C383" s="3" t="s">
        <v>50</v>
      </c>
      <c r="D383" s="61" t="s">
        <v>977</v>
      </c>
      <c r="E383" s="140" t="s">
        <v>978</v>
      </c>
      <c r="F383" s="140"/>
      <c r="G383" s="62">
        <v>13.2</v>
      </c>
      <c r="H383" s="65" t="s">
        <v>50</v>
      </c>
    </row>
    <row r="384" spans="1:8" x14ac:dyDescent="0.25">
      <c r="A384" s="2" t="s">
        <v>671</v>
      </c>
      <c r="B384" s="3" t="s">
        <v>50</v>
      </c>
      <c r="C384" s="3" t="s">
        <v>672</v>
      </c>
      <c r="D384" s="97" t="s">
        <v>673</v>
      </c>
      <c r="E384" s="97"/>
      <c r="F384" s="3" t="s">
        <v>64</v>
      </c>
      <c r="G384" s="30">
        <v>1.75</v>
      </c>
      <c r="H384" s="64">
        <v>0</v>
      </c>
    </row>
    <row r="385" spans="1:8" x14ac:dyDescent="0.25">
      <c r="A385" s="60"/>
      <c r="D385" s="61" t="s">
        <v>979</v>
      </c>
      <c r="E385" s="140" t="s">
        <v>980</v>
      </c>
      <c r="F385" s="140"/>
      <c r="G385" s="62">
        <v>1.75</v>
      </c>
      <c r="H385" s="63"/>
    </row>
    <row r="386" spans="1:8" x14ac:dyDescent="0.25">
      <c r="A386" s="2" t="s">
        <v>675</v>
      </c>
      <c r="B386" s="3" t="s">
        <v>50</v>
      </c>
      <c r="C386" s="3" t="s">
        <v>676</v>
      </c>
      <c r="D386" s="97" t="s">
        <v>677</v>
      </c>
      <c r="E386" s="97"/>
      <c r="F386" s="3" t="s">
        <v>80</v>
      </c>
      <c r="G386" s="30">
        <v>7.5</v>
      </c>
      <c r="H386" s="64">
        <v>0</v>
      </c>
    </row>
    <row r="387" spans="1:8" x14ac:dyDescent="0.25">
      <c r="A387" s="60"/>
      <c r="D387" s="61" t="s">
        <v>921</v>
      </c>
      <c r="E387" s="140" t="s">
        <v>922</v>
      </c>
      <c r="F387" s="140"/>
      <c r="G387" s="62">
        <v>7.5</v>
      </c>
      <c r="H387" s="63"/>
    </row>
    <row r="388" spans="1:8" x14ac:dyDescent="0.25">
      <c r="A388" s="2" t="s">
        <v>680</v>
      </c>
      <c r="B388" s="3" t="s">
        <v>50</v>
      </c>
      <c r="C388" s="3" t="s">
        <v>681</v>
      </c>
      <c r="D388" s="97" t="s">
        <v>682</v>
      </c>
      <c r="E388" s="97"/>
      <c r="F388" s="3" t="s">
        <v>64</v>
      </c>
      <c r="G388" s="30">
        <v>126.04795</v>
      </c>
      <c r="H388" s="64">
        <v>0</v>
      </c>
    </row>
    <row r="389" spans="1:8" x14ac:dyDescent="0.25">
      <c r="A389" s="60"/>
      <c r="D389" s="61" t="s">
        <v>981</v>
      </c>
      <c r="E389" s="140" t="s">
        <v>885</v>
      </c>
      <c r="F389" s="140"/>
      <c r="G389" s="62">
        <v>10.7796</v>
      </c>
      <c r="H389" s="63"/>
    </row>
    <row r="390" spans="1:8" x14ac:dyDescent="0.25">
      <c r="A390" s="2" t="s">
        <v>50</v>
      </c>
      <c r="B390" s="3" t="s">
        <v>50</v>
      </c>
      <c r="C390" s="3" t="s">
        <v>50</v>
      </c>
      <c r="D390" s="61" t="s">
        <v>982</v>
      </c>
      <c r="E390" s="140" t="s">
        <v>867</v>
      </c>
      <c r="F390" s="140"/>
      <c r="G390" s="62">
        <v>3.0284</v>
      </c>
      <c r="H390" s="65" t="s">
        <v>50</v>
      </c>
    </row>
    <row r="391" spans="1:8" x14ac:dyDescent="0.25">
      <c r="A391" s="2" t="s">
        <v>50</v>
      </c>
      <c r="B391" s="3" t="s">
        <v>50</v>
      </c>
      <c r="C391" s="3" t="s">
        <v>50</v>
      </c>
      <c r="D391" s="61" t="s">
        <v>983</v>
      </c>
      <c r="E391" s="140" t="s">
        <v>984</v>
      </c>
      <c r="F391" s="140"/>
      <c r="G391" s="62">
        <v>6.8637499999999996</v>
      </c>
      <c r="H391" s="65" t="s">
        <v>50</v>
      </c>
    </row>
    <row r="392" spans="1:8" x14ac:dyDescent="0.25">
      <c r="A392" s="2" t="s">
        <v>50</v>
      </c>
      <c r="B392" s="3" t="s">
        <v>50</v>
      </c>
      <c r="C392" s="3" t="s">
        <v>50</v>
      </c>
      <c r="D392" s="61" t="s">
        <v>985</v>
      </c>
      <c r="E392" s="140" t="s">
        <v>888</v>
      </c>
      <c r="F392" s="140"/>
      <c r="G392" s="62">
        <v>27.652999999999999</v>
      </c>
      <c r="H392" s="65" t="s">
        <v>50</v>
      </c>
    </row>
    <row r="393" spans="1:8" x14ac:dyDescent="0.25">
      <c r="A393" s="2" t="s">
        <v>50</v>
      </c>
      <c r="B393" s="3" t="s">
        <v>50</v>
      </c>
      <c r="C393" s="3" t="s">
        <v>50</v>
      </c>
      <c r="D393" s="61" t="s">
        <v>986</v>
      </c>
      <c r="E393" s="140" t="s">
        <v>890</v>
      </c>
      <c r="F393" s="140"/>
      <c r="G393" s="62">
        <v>40.663200000000003</v>
      </c>
      <c r="H393" s="65" t="s">
        <v>50</v>
      </c>
    </row>
    <row r="394" spans="1:8" x14ac:dyDescent="0.25">
      <c r="A394" s="2" t="s">
        <v>50</v>
      </c>
      <c r="B394" s="3" t="s">
        <v>50</v>
      </c>
      <c r="C394" s="3" t="s">
        <v>50</v>
      </c>
      <c r="D394" s="61" t="s">
        <v>987</v>
      </c>
      <c r="E394" s="140" t="s">
        <v>892</v>
      </c>
      <c r="F394" s="140"/>
      <c r="G394" s="62">
        <v>37.06</v>
      </c>
      <c r="H394" s="65" t="s">
        <v>50</v>
      </c>
    </row>
    <row r="395" spans="1:8" x14ac:dyDescent="0.25">
      <c r="A395" s="2" t="s">
        <v>685</v>
      </c>
      <c r="B395" s="3" t="s">
        <v>50</v>
      </c>
      <c r="C395" s="3" t="s">
        <v>686</v>
      </c>
      <c r="D395" s="97" t="s">
        <v>687</v>
      </c>
      <c r="E395" s="97"/>
      <c r="F395" s="3" t="s">
        <v>64</v>
      </c>
      <c r="G395" s="30">
        <v>140.97476</v>
      </c>
      <c r="H395" s="64">
        <v>0</v>
      </c>
    </row>
    <row r="396" spans="1:8" x14ac:dyDescent="0.25">
      <c r="A396" s="60"/>
      <c r="D396" s="61" t="s">
        <v>884</v>
      </c>
      <c r="E396" s="140" t="s">
        <v>885</v>
      </c>
      <c r="F396" s="140"/>
      <c r="G396" s="62">
        <v>17.599599999999999</v>
      </c>
      <c r="H396" s="63"/>
    </row>
    <row r="397" spans="1:8" x14ac:dyDescent="0.25">
      <c r="A397" s="2" t="s">
        <v>50</v>
      </c>
      <c r="B397" s="3" t="s">
        <v>50</v>
      </c>
      <c r="C397" s="3" t="s">
        <v>50</v>
      </c>
      <c r="D397" s="61" t="s">
        <v>897</v>
      </c>
      <c r="E397" s="140" t="s">
        <v>867</v>
      </c>
      <c r="F397" s="140"/>
      <c r="G397" s="62">
        <v>4.5015000000000001</v>
      </c>
      <c r="H397" s="65" t="s">
        <v>50</v>
      </c>
    </row>
    <row r="398" spans="1:8" x14ac:dyDescent="0.25">
      <c r="A398" s="2" t="s">
        <v>50</v>
      </c>
      <c r="B398" s="3" t="s">
        <v>50</v>
      </c>
      <c r="C398" s="3" t="s">
        <v>50</v>
      </c>
      <c r="D398" s="61" t="s">
        <v>887</v>
      </c>
      <c r="E398" s="140" t="s">
        <v>888</v>
      </c>
      <c r="F398" s="140"/>
      <c r="G398" s="62">
        <v>40.293500000000002</v>
      </c>
      <c r="H398" s="65" t="s">
        <v>50</v>
      </c>
    </row>
    <row r="399" spans="1:8" x14ac:dyDescent="0.25">
      <c r="A399" s="2" t="s">
        <v>50</v>
      </c>
      <c r="B399" s="3" t="s">
        <v>50</v>
      </c>
      <c r="C399" s="3" t="s">
        <v>50</v>
      </c>
      <c r="D399" s="61" t="s">
        <v>889</v>
      </c>
      <c r="E399" s="140" t="s">
        <v>890</v>
      </c>
      <c r="F399" s="140"/>
      <c r="G399" s="62">
        <v>41.480159999999998</v>
      </c>
      <c r="H399" s="65" t="s">
        <v>50</v>
      </c>
    </row>
    <row r="400" spans="1:8" x14ac:dyDescent="0.25">
      <c r="A400" s="2" t="s">
        <v>50</v>
      </c>
      <c r="B400" s="3" t="s">
        <v>50</v>
      </c>
      <c r="C400" s="3" t="s">
        <v>50</v>
      </c>
      <c r="D400" s="61" t="s">
        <v>891</v>
      </c>
      <c r="E400" s="140" t="s">
        <v>892</v>
      </c>
      <c r="F400" s="140"/>
      <c r="G400" s="62">
        <v>37.1</v>
      </c>
      <c r="H400" s="65" t="s">
        <v>50</v>
      </c>
    </row>
    <row r="401" spans="1:8" x14ac:dyDescent="0.25">
      <c r="A401" s="2" t="s">
        <v>689</v>
      </c>
      <c r="B401" s="3" t="s">
        <v>50</v>
      </c>
      <c r="C401" s="3" t="s">
        <v>690</v>
      </c>
      <c r="D401" s="97" t="s">
        <v>691</v>
      </c>
      <c r="E401" s="97"/>
      <c r="F401" s="3" t="s">
        <v>56</v>
      </c>
      <c r="G401" s="30">
        <v>1</v>
      </c>
      <c r="H401" s="64">
        <v>0</v>
      </c>
    </row>
    <row r="402" spans="1:8" x14ac:dyDescent="0.25">
      <c r="A402" s="60"/>
      <c r="D402" s="61" t="s">
        <v>53</v>
      </c>
      <c r="E402" s="140" t="s">
        <v>988</v>
      </c>
      <c r="F402" s="140"/>
      <c r="G402" s="62">
        <v>1</v>
      </c>
      <c r="H402" s="63"/>
    </row>
    <row r="403" spans="1:8" x14ac:dyDescent="0.25">
      <c r="A403" s="2" t="s">
        <v>694</v>
      </c>
      <c r="B403" s="3" t="s">
        <v>50</v>
      </c>
      <c r="C403" s="3" t="s">
        <v>695</v>
      </c>
      <c r="D403" s="97" t="s">
        <v>696</v>
      </c>
      <c r="E403" s="97"/>
      <c r="F403" s="3" t="s">
        <v>56</v>
      </c>
      <c r="G403" s="30">
        <v>1</v>
      </c>
      <c r="H403" s="64">
        <v>0</v>
      </c>
    </row>
    <row r="404" spans="1:8" x14ac:dyDescent="0.25">
      <c r="A404" s="60"/>
      <c r="D404" s="61" t="s">
        <v>53</v>
      </c>
      <c r="E404" s="140" t="s">
        <v>988</v>
      </c>
      <c r="F404" s="140"/>
      <c r="G404" s="62">
        <v>1</v>
      </c>
      <c r="H404" s="63"/>
    </row>
    <row r="405" spans="1:8" x14ac:dyDescent="0.25">
      <c r="A405" s="2" t="s">
        <v>697</v>
      </c>
      <c r="B405" s="3" t="s">
        <v>50</v>
      </c>
      <c r="C405" s="3" t="s">
        <v>698</v>
      </c>
      <c r="D405" s="97" t="s">
        <v>699</v>
      </c>
      <c r="E405" s="97"/>
      <c r="F405" s="3" t="s">
        <v>56</v>
      </c>
      <c r="G405" s="30">
        <v>1</v>
      </c>
      <c r="H405" s="64">
        <v>0</v>
      </c>
    </row>
    <row r="406" spans="1:8" x14ac:dyDescent="0.25">
      <c r="A406" s="60"/>
      <c r="D406" s="61" t="s">
        <v>53</v>
      </c>
      <c r="E406" s="140" t="s">
        <v>988</v>
      </c>
      <c r="F406" s="140"/>
      <c r="G406" s="62">
        <v>1</v>
      </c>
      <c r="H406" s="63"/>
    </row>
    <row r="407" spans="1:8" x14ac:dyDescent="0.25">
      <c r="A407" s="2" t="s">
        <v>700</v>
      </c>
      <c r="B407" s="3" t="s">
        <v>50</v>
      </c>
      <c r="C407" s="3" t="s">
        <v>701</v>
      </c>
      <c r="D407" s="97" t="s">
        <v>702</v>
      </c>
      <c r="E407" s="97"/>
      <c r="F407" s="3" t="s">
        <v>56</v>
      </c>
      <c r="G407" s="30">
        <v>1</v>
      </c>
      <c r="H407" s="64">
        <v>0</v>
      </c>
    </row>
    <row r="408" spans="1:8" x14ac:dyDescent="0.25">
      <c r="A408" s="60"/>
      <c r="D408" s="61" t="s">
        <v>53</v>
      </c>
      <c r="E408" s="140" t="s">
        <v>989</v>
      </c>
      <c r="F408" s="140"/>
      <c r="G408" s="62">
        <v>1</v>
      </c>
      <c r="H408" s="63"/>
    </row>
    <row r="409" spans="1:8" x14ac:dyDescent="0.25">
      <c r="A409" s="2" t="s">
        <v>705</v>
      </c>
      <c r="B409" s="3" t="s">
        <v>50</v>
      </c>
      <c r="C409" s="3" t="s">
        <v>706</v>
      </c>
      <c r="D409" s="97" t="s">
        <v>707</v>
      </c>
      <c r="E409" s="97"/>
      <c r="F409" s="3" t="s">
        <v>708</v>
      </c>
      <c r="G409" s="30">
        <v>1</v>
      </c>
      <c r="H409" s="64">
        <v>0</v>
      </c>
    </row>
    <row r="410" spans="1:8" x14ac:dyDescent="0.25">
      <c r="A410" s="60"/>
      <c r="D410" s="61" t="s">
        <v>53</v>
      </c>
      <c r="E410" s="140" t="s">
        <v>50</v>
      </c>
      <c r="F410" s="140"/>
      <c r="G410" s="62">
        <v>1</v>
      </c>
      <c r="H410" s="63"/>
    </row>
    <row r="411" spans="1:8" x14ac:dyDescent="0.25">
      <c r="A411" s="2" t="s">
        <v>710</v>
      </c>
      <c r="B411" s="3" t="s">
        <v>50</v>
      </c>
      <c r="C411" s="3" t="s">
        <v>711</v>
      </c>
      <c r="D411" s="97" t="s">
        <v>712</v>
      </c>
      <c r="E411" s="97"/>
      <c r="F411" s="3" t="s">
        <v>56</v>
      </c>
      <c r="G411" s="30">
        <v>1</v>
      </c>
      <c r="H411" s="64">
        <v>0</v>
      </c>
    </row>
    <row r="412" spans="1:8" x14ac:dyDescent="0.25">
      <c r="A412" s="60"/>
      <c r="D412" s="61" t="s">
        <v>53</v>
      </c>
      <c r="E412" s="140" t="s">
        <v>990</v>
      </c>
      <c r="F412" s="140"/>
      <c r="G412" s="62">
        <v>1</v>
      </c>
      <c r="H412" s="63"/>
    </row>
    <row r="413" spans="1:8" x14ac:dyDescent="0.25">
      <c r="A413" s="2" t="s">
        <v>713</v>
      </c>
      <c r="B413" s="3" t="s">
        <v>50</v>
      </c>
      <c r="C413" s="3" t="s">
        <v>714</v>
      </c>
      <c r="D413" s="97" t="s">
        <v>715</v>
      </c>
      <c r="E413" s="97"/>
      <c r="F413" s="3" t="s">
        <v>56</v>
      </c>
      <c r="G413" s="30">
        <v>1</v>
      </c>
      <c r="H413" s="64">
        <v>0</v>
      </c>
    </row>
    <row r="414" spans="1:8" x14ac:dyDescent="0.25">
      <c r="A414" s="60"/>
      <c r="D414" s="61" t="s">
        <v>53</v>
      </c>
      <c r="E414" s="140" t="s">
        <v>990</v>
      </c>
      <c r="F414" s="140"/>
      <c r="G414" s="62">
        <v>1</v>
      </c>
      <c r="H414" s="63"/>
    </row>
    <row r="415" spans="1:8" x14ac:dyDescent="0.25">
      <c r="A415" s="2" t="s">
        <v>716</v>
      </c>
      <c r="B415" s="3" t="s">
        <v>50</v>
      </c>
      <c r="C415" s="3" t="s">
        <v>717</v>
      </c>
      <c r="D415" s="97" t="s">
        <v>718</v>
      </c>
      <c r="E415" s="97"/>
      <c r="F415" s="3" t="s">
        <v>56</v>
      </c>
      <c r="G415" s="30">
        <v>1</v>
      </c>
      <c r="H415" s="64">
        <v>0</v>
      </c>
    </row>
    <row r="416" spans="1:8" x14ac:dyDescent="0.25">
      <c r="A416" s="60"/>
      <c r="D416" s="61" t="s">
        <v>53</v>
      </c>
      <c r="E416" s="140" t="s">
        <v>990</v>
      </c>
      <c r="F416" s="140"/>
      <c r="G416" s="62">
        <v>1</v>
      </c>
      <c r="H416" s="63"/>
    </row>
    <row r="417" spans="1:8" x14ac:dyDescent="0.25">
      <c r="A417" s="2" t="s">
        <v>719</v>
      </c>
      <c r="B417" s="3" t="s">
        <v>50</v>
      </c>
      <c r="C417" s="3" t="s">
        <v>720</v>
      </c>
      <c r="D417" s="97" t="s">
        <v>721</v>
      </c>
      <c r="E417" s="97"/>
      <c r="F417" s="3" t="s">
        <v>56</v>
      </c>
      <c r="G417" s="30">
        <v>1</v>
      </c>
      <c r="H417" s="64">
        <v>0</v>
      </c>
    </row>
    <row r="418" spans="1:8" x14ac:dyDescent="0.25">
      <c r="A418" s="60"/>
      <c r="D418" s="61" t="s">
        <v>53</v>
      </c>
      <c r="E418" s="140" t="s">
        <v>990</v>
      </c>
      <c r="F418" s="140"/>
      <c r="G418" s="62">
        <v>1</v>
      </c>
      <c r="H418" s="63"/>
    </row>
    <row r="419" spans="1:8" x14ac:dyDescent="0.25">
      <c r="A419" s="2" t="s">
        <v>722</v>
      </c>
      <c r="B419" s="3" t="s">
        <v>50</v>
      </c>
      <c r="C419" s="3" t="s">
        <v>723</v>
      </c>
      <c r="D419" s="97" t="s">
        <v>724</v>
      </c>
      <c r="E419" s="97"/>
      <c r="F419" s="3" t="s">
        <v>56</v>
      </c>
      <c r="G419" s="30">
        <v>1</v>
      </c>
      <c r="H419" s="64">
        <v>0</v>
      </c>
    </row>
    <row r="420" spans="1:8" x14ac:dyDescent="0.25">
      <c r="A420" s="60"/>
      <c r="D420" s="61" t="s">
        <v>53</v>
      </c>
      <c r="E420" s="140" t="s">
        <v>990</v>
      </c>
      <c r="F420" s="140"/>
      <c r="G420" s="62">
        <v>1</v>
      </c>
      <c r="H420" s="63"/>
    </row>
    <row r="421" spans="1:8" x14ac:dyDescent="0.25">
      <c r="A421" s="2" t="s">
        <v>725</v>
      </c>
      <c r="B421" s="3" t="s">
        <v>50</v>
      </c>
      <c r="C421" s="3" t="s">
        <v>726</v>
      </c>
      <c r="D421" s="97" t="s">
        <v>727</v>
      </c>
      <c r="E421" s="97"/>
      <c r="F421" s="3" t="s">
        <v>56</v>
      </c>
      <c r="G421" s="30">
        <v>1</v>
      </c>
      <c r="H421" s="64">
        <v>0</v>
      </c>
    </row>
    <row r="422" spans="1:8" x14ac:dyDescent="0.25">
      <c r="A422" s="60"/>
      <c r="D422" s="61" t="s">
        <v>53</v>
      </c>
      <c r="E422" s="140" t="s">
        <v>990</v>
      </c>
      <c r="F422" s="140"/>
      <c r="G422" s="62">
        <v>1</v>
      </c>
      <c r="H422" s="63"/>
    </row>
    <row r="423" spans="1:8" x14ac:dyDescent="0.25">
      <c r="A423" s="2" t="s">
        <v>728</v>
      </c>
      <c r="B423" s="3" t="s">
        <v>50</v>
      </c>
      <c r="C423" s="3" t="s">
        <v>729</v>
      </c>
      <c r="D423" s="97" t="s">
        <v>730</v>
      </c>
      <c r="E423" s="97"/>
      <c r="F423" s="3" t="s">
        <v>56</v>
      </c>
      <c r="G423" s="30">
        <v>9</v>
      </c>
      <c r="H423" s="64">
        <v>0</v>
      </c>
    </row>
    <row r="424" spans="1:8" x14ac:dyDescent="0.25">
      <c r="A424" s="60"/>
      <c r="D424" s="61" t="s">
        <v>991</v>
      </c>
      <c r="E424" s="140" t="s">
        <v>990</v>
      </c>
      <c r="F424" s="140"/>
      <c r="G424" s="62">
        <v>9</v>
      </c>
      <c r="H424" s="63"/>
    </row>
    <row r="425" spans="1:8" x14ac:dyDescent="0.25">
      <c r="A425" s="2" t="s">
        <v>731</v>
      </c>
      <c r="B425" s="3" t="s">
        <v>50</v>
      </c>
      <c r="C425" s="3" t="s">
        <v>732</v>
      </c>
      <c r="D425" s="97" t="s">
        <v>733</v>
      </c>
      <c r="E425" s="97"/>
      <c r="F425" s="3" t="s">
        <v>56</v>
      </c>
      <c r="G425" s="30">
        <v>2</v>
      </c>
      <c r="H425" s="64">
        <v>0</v>
      </c>
    </row>
    <row r="426" spans="1:8" x14ac:dyDescent="0.25">
      <c r="A426" s="60"/>
      <c r="D426" s="61" t="s">
        <v>61</v>
      </c>
      <c r="E426" s="140" t="s">
        <v>990</v>
      </c>
      <c r="F426" s="140"/>
      <c r="G426" s="62">
        <v>2</v>
      </c>
      <c r="H426" s="63"/>
    </row>
    <row r="427" spans="1:8" x14ac:dyDescent="0.25">
      <c r="A427" s="2" t="s">
        <v>734</v>
      </c>
      <c r="B427" s="3" t="s">
        <v>50</v>
      </c>
      <c r="C427" s="3" t="s">
        <v>735</v>
      </c>
      <c r="D427" s="97" t="s">
        <v>736</v>
      </c>
      <c r="E427" s="97"/>
      <c r="F427" s="3" t="s">
        <v>56</v>
      </c>
      <c r="G427" s="30">
        <v>1</v>
      </c>
      <c r="H427" s="64">
        <v>0</v>
      </c>
    </row>
    <row r="428" spans="1:8" x14ac:dyDescent="0.25">
      <c r="A428" s="60"/>
      <c r="D428" s="61" t="s">
        <v>53</v>
      </c>
      <c r="E428" s="140" t="s">
        <v>990</v>
      </c>
      <c r="F428" s="140"/>
      <c r="G428" s="62">
        <v>1</v>
      </c>
      <c r="H428" s="63"/>
    </row>
    <row r="429" spans="1:8" x14ac:dyDescent="0.25">
      <c r="A429" s="2" t="s">
        <v>737</v>
      </c>
      <c r="B429" s="3" t="s">
        <v>50</v>
      </c>
      <c r="C429" s="3" t="s">
        <v>738</v>
      </c>
      <c r="D429" s="97" t="s">
        <v>739</v>
      </c>
      <c r="E429" s="97"/>
      <c r="F429" s="3" t="s">
        <v>56</v>
      </c>
      <c r="G429" s="30">
        <v>6</v>
      </c>
      <c r="H429" s="64">
        <v>0</v>
      </c>
    </row>
    <row r="430" spans="1:8" x14ac:dyDescent="0.25">
      <c r="A430" s="60"/>
      <c r="D430" s="61" t="s">
        <v>77</v>
      </c>
      <c r="E430" s="140" t="s">
        <v>990</v>
      </c>
      <c r="F430" s="140"/>
      <c r="G430" s="62">
        <v>6</v>
      </c>
      <c r="H430" s="63"/>
    </row>
    <row r="431" spans="1:8" x14ac:dyDescent="0.25">
      <c r="A431" s="2" t="s">
        <v>740</v>
      </c>
      <c r="B431" s="3" t="s">
        <v>50</v>
      </c>
      <c r="C431" s="3" t="s">
        <v>741</v>
      </c>
      <c r="D431" s="97" t="s">
        <v>742</v>
      </c>
      <c r="E431" s="97"/>
      <c r="F431" s="3" t="s">
        <v>56</v>
      </c>
      <c r="G431" s="30">
        <v>21</v>
      </c>
      <c r="H431" s="64">
        <v>0</v>
      </c>
    </row>
    <row r="432" spans="1:8" x14ac:dyDescent="0.25">
      <c r="A432" s="60"/>
      <c r="D432" s="61" t="s">
        <v>127</v>
      </c>
      <c r="E432" s="140" t="s">
        <v>990</v>
      </c>
      <c r="F432" s="140"/>
      <c r="G432" s="62">
        <v>21</v>
      </c>
      <c r="H432" s="63"/>
    </row>
    <row r="433" spans="1:8" x14ac:dyDescent="0.25">
      <c r="A433" s="2" t="s">
        <v>744</v>
      </c>
      <c r="B433" s="3" t="s">
        <v>50</v>
      </c>
      <c r="C433" s="3" t="s">
        <v>745</v>
      </c>
      <c r="D433" s="97" t="s">
        <v>746</v>
      </c>
      <c r="E433" s="97"/>
      <c r="F433" s="3" t="s">
        <v>56</v>
      </c>
      <c r="G433" s="30">
        <v>3</v>
      </c>
      <c r="H433" s="64">
        <v>0</v>
      </c>
    </row>
    <row r="434" spans="1:8" x14ac:dyDescent="0.25">
      <c r="A434" s="60"/>
      <c r="D434" s="61" t="s">
        <v>65</v>
      </c>
      <c r="E434" s="140" t="s">
        <v>990</v>
      </c>
      <c r="F434" s="140"/>
      <c r="G434" s="62">
        <v>3</v>
      </c>
      <c r="H434" s="63"/>
    </row>
    <row r="435" spans="1:8" x14ac:dyDescent="0.25">
      <c r="A435" s="2" t="s">
        <v>748</v>
      </c>
      <c r="B435" s="3" t="s">
        <v>50</v>
      </c>
      <c r="C435" s="3" t="s">
        <v>749</v>
      </c>
      <c r="D435" s="97" t="s">
        <v>750</v>
      </c>
      <c r="E435" s="97"/>
      <c r="F435" s="3" t="s">
        <v>56</v>
      </c>
      <c r="G435" s="30">
        <v>2</v>
      </c>
      <c r="H435" s="64">
        <v>0</v>
      </c>
    </row>
    <row r="436" spans="1:8" x14ac:dyDescent="0.25">
      <c r="A436" s="60"/>
      <c r="D436" s="61" t="s">
        <v>61</v>
      </c>
      <c r="E436" s="140" t="s">
        <v>990</v>
      </c>
      <c r="F436" s="140"/>
      <c r="G436" s="62">
        <v>2</v>
      </c>
      <c r="H436" s="63"/>
    </row>
    <row r="437" spans="1:8" x14ac:dyDescent="0.25">
      <c r="A437" s="2" t="s">
        <v>751</v>
      </c>
      <c r="B437" s="3" t="s">
        <v>50</v>
      </c>
      <c r="C437" s="3" t="s">
        <v>752</v>
      </c>
      <c r="D437" s="97" t="s">
        <v>753</v>
      </c>
      <c r="E437" s="97"/>
      <c r="F437" s="3" t="s">
        <v>56</v>
      </c>
      <c r="G437" s="30">
        <v>1</v>
      </c>
      <c r="H437" s="64">
        <v>0</v>
      </c>
    </row>
    <row r="438" spans="1:8" x14ac:dyDescent="0.25">
      <c r="A438" s="60"/>
      <c r="D438" s="61" t="s">
        <v>53</v>
      </c>
      <c r="E438" s="140" t="s">
        <v>990</v>
      </c>
      <c r="F438" s="140"/>
      <c r="G438" s="62">
        <v>1</v>
      </c>
      <c r="H438" s="63"/>
    </row>
    <row r="439" spans="1:8" x14ac:dyDescent="0.25">
      <c r="A439" s="2" t="s">
        <v>754</v>
      </c>
      <c r="B439" s="3" t="s">
        <v>50</v>
      </c>
      <c r="C439" s="3" t="s">
        <v>755</v>
      </c>
      <c r="D439" s="97" t="s">
        <v>756</v>
      </c>
      <c r="E439" s="97"/>
      <c r="F439" s="3" t="s">
        <v>56</v>
      </c>
      <c r="G439" s="30">
        <v>1</v>
      </c>
      <c r="H439" s="64">
        <v>0</v>
      </c>
    </row>
    <row r="440" spans="1:8" x14ac:dyDescent="0.25">
      <c r="A440" s="60"/>
      <c r="D440" s="61" t="s">
        <v>53</v>
      </c>
      <c r="E440" s="140" t="s">
        <v>990</v>
      </c>
      <c r="F440" s="140"/>
      <c r="G440" s="62">
        <v>1</v>
      </c>
      <c r="H440" s="63"/>
    </row>
    <row r="441" spans="1:8" x14ac:dyDescent="0.25">
      <c r="A441" s="2" t="s">
        <v>757</v>
      </c>
      <c r="B441" s="3" t="s">
        <v>50</v>
      </c>
      <c r="C441" s="3" t="s">
        <v>758</v>
      </c>
      <c r="D441" s="97" t="s">
        <v>759</v>
      </c>
      <c r="E441" s="97"/>
      <c r="F441" s="3" t="s">
        <v>56</v>
      </c>
      <c r="G441" s="30">
        <v>1</v>
      </c>
      <c r="H441" s="64">
        <v>0</v>
      </c>
    </row>
    <row r="442" spans="1:8" x14ac:dyDescent="0.25">
      <c r="A442" s="60"/>
      <c r="D442" s="61" t="s">
        <v>53</v>
      </c>
      <c r="E442" s="140" t="s">
        <v>990</v>
      </c>
      <c r="F442" s="140"/>
      <c r="G442" s="62">
        <v>1</v>
      </c>
      <c r="H442" s="63"/>
    </row>
    <row r="443" spans="1:8" x14ac:dyDescent="0.25">
      <c r="A443" s="2" t="s">
        <v>760</v>
      </c>
      <c r="B443" s="3" t="s">
        <v>50</v>
      </c>
      <c r="C443" s="3" t="s">
        <v>761</v>
      </c>
      <c r="D443" s="97" t="s">
        <v>762</v>
      </c>
      <c r="E443" s="97"/>
      <c r="F443" s="3" t="s">
        <v>56</v>
      </c>
      <c r="G443" s="30">
        <v>3</v>
      </c>
      <c r="H443" s="64">
        <v>0</v>
      </c>
    </row>
    <row r="444" spans="1:8" x14ac:dyDescent="0.25">
      <c r="A444" s="60"/>
      <c r="D444" s="61" t="s">
        <v>65</v>
      </c>
      <c r="E444" s="140" t="s">
        <v>990</v>
      </c>
      <c r="F444" s="140"/>
      <c r="G444" s="62">
        <v>3</v>
      </c>
      <c r="H444" s="63"/>
    </row>
    <row r="445" spans="1:8" x14ac:dyDescent="0.25">
      <c r="A445" s="2" t="s">
        <v>763</v>
      </c>
      <c r="B445" s="3" t="s">
        <v>50</v>
      </c>
      <c r="C445" s="3" t="s">
        <v>764</v>
      </c>
      <c r="D445" s="97" t="s">
        <v>765</v>
      </c>
      <c r="E445" s="97"/>
      <c r="F445" s="3" t="s">
        <v>56</v>
      </c>
      <c r="G445" s="30">
        <v>1</v>
      </c>
      <c r="H445" s="64">
        <v>0</v>
      </c>
    </row>
    <row r="446" spans="1:8" x14ac:dyDescent="0.25">
      <c r="A446" s="60"/>
      <c r="D446" s="61" t="s">
        <v>53</v>
      </c>
      <c r="E446" s="140" t="s">
        <v>990</v>
      </c>
      <c r="F446" s="140"/>
      <c r="G446" s="62">
        <v>1</v>
      </c>
      <c r="H446" s="63"/>
    </row>
    <row r="447" spans="1:8" x14ac:dyDescent="0.25">
      <c r="A447" s="2" t="s">
        <v>766</v>
      </c>
      <c r="B447" s="3" t="s">
        <v>50</v>
      </c>
      <c r="C447" s="3" t="s">
        <v>767</v>
      </c>
      <c r="D447" s="97" t="s">
        <v>768</v>
      </c>
      <c r="E447" s="97"/>
      <c r="F447" s="3" t="s">
        <v>56</v>
      </c>
      <c r="G447" s="30">
        <v>2</v>
      </c>
      <c r="H447" s="64">
        <v>0</v>
      </c>
    </row>
    <row r="448" spans="1:8" x14ac:dyDescent="0.25">
      <c r="A448" s="60"/>
      <c r="D448" s="61" t="s">
        <v>61</v>
      </c>
      <c r="E448" s="140" t="s">
        <v>50</v>
      </c>
      <c r="F448" s="140"/>
      <c r="G448" s="62">
        <v>2</v>
      </c>
      <c r="H448" s="63"/>
    </row>
    <row r="449" spans="1:8" x14ac:dyDescent="0.25">
      <c r="A449" s="2" t="s">
        <v>769</v>
      </c>
      <c r="B449" s="3" t="s">
        <v>50</v>
      </c>
      <c r="C449" s="3" t="s">
        <v>770</v>
      </c>
      <c r="D449" s="97" t="s">
        <v>771</v>
      </c>
      <c r="E449" s="97"/>
      <c r="F449" s="3" t="s">
        <v>56</v>
      </c>
      <c r="G449" s="30">
        <v>15</v>
      </c>
      <c r="H449" s="64">
        <v>0</v>
      </c>
    </row>
    <row r="450" spans="1:8" x14ac:dyDescent="0.25">
      <c r="A450" s="60"/>
      <c r="D450" s="61" t="s">
        <v>108</v>
      </c>
      <c r="E450" s="140" t="s">
        <v>990</v>
      </c>
      <c r="F450" s="140"/>
      <c r="G450" s="62">
        <v>15</v>
      </c>
      <c r="H450" s="63"/>
    </row>
    <row r="451" spans="1:8" x14ac:dyDescent="0.25">
      <c r="A451" s="2" t="s">
        <v>772</v>
      </c>
      <c r="B451" s="3" t="s">
        <v>50</v>
      </c>
      <c r="C451" s="3" t="s">
        <v>773</v>
      </c>
      <c r="D451" s="97" t="s">
        <v>774</v>
      </c>
      <c r="E451" s="97"/>
      <c r="F451" s="3" t="s">
        <v>56</v>
      </c>
      <c r="G451" s="30">
        <v>5</v>
      </c>
      <c r="H451" s="64">
        <v>0</v>
      </c>
    </row>
    <row r="452" spans="1:8" x14ac:dyDescent="0.25">
      <c r="A452" s="60"/>
      <c r="D452" s="61" t="s">
        <v>74</v>
      </c>
      <c r="E452" s="140" t="s">
        <v>990</v>
      </c>
      <c r="F452" s="140"/>
      <c r="G452" s="62">
        <v>5</v>
      </c>
      <c r="H452" s="63"/>
    </row>
    <row r="453" spans="1:8" x14ac:dyDescent="0.25">
      <c r="A453" s="2" t="s">
        <v>775</v>
      </c>
      <c r="B453" s="3" t="s">
        <v>50</v>
      </c>
      <c r="C453" s="3" t="s">
        <v>776</v>
      </c>
      <c r="D453" s="97" t="s">
        <v>777</v>
      </c>
      <c r="E453" s="97"/>
      <c r="F453" s="3" t="s">
        <v>56</v>
      </c>
      <c r="G453" s="30">
        <v>1</v>
      </c>
      <c r="H453" s="64">
        <v>0</v>
      </c>
    </row>
    <row r="454" spans="1:8" x14ac:dyDescent="0.25">
      <c r="A454" s="60"/>
      <c r="D454" s="61" t="s">
        <v>53</v>
      </c>
      <c r="E454" s="140" t="s">
        <v>990</v>
      </c>
      <c r="F454" s="140"/>
      <c r="G454" s="62">
        <v>1</v>
      </c>
      <c r="H454" s="63"/>
    </row>
    <row r="455" spans="1:8" x14ac:dyDescent="0.25">
      <c r="A455" s="2" t="s">
        <v>778</v>
      </c>
      <c r="B455" s="3" t="s">
        <v>50</v>
      </c>
      <c r="C455" s="3" t="s">
        <v>779</v>
      </c>
      <c r="D455" s="97" t="s">
        <v>780</v>
      </c>
      <c r="E455" s="97"/>
      <c r="F455" s="3" t="s">
        <v>56</v>
      </c>
      <c r="G455" s="30">
        <v>1</v>
      </c>
      <c r="H455" s="64">
        <v>0</v>
      </c>
    </row>
    <row r="456" spans="1:8" x14ac:dyDescent="0.25">
      <c r="A456" s="60"/>
      <c r="D456" s="61" t="s">
        <v>53</v>
      </c>
      <c r="E456" s="140" t="s">
        <v>990</v>
      </c>
      <c r="F456" s="140"/>
      <c r="G456" s="62">
        <v>1</v>
      </c>
      <c r="H456" s="63"/>
    </row>
    <row r="457" spans="1:8" x14ac:dyDescent="0.25">
      <c r="A457" s="2" t="s">
        <v>781</v>
      </c>
      <c r="B457" s="3" t="s">
        <v>50</v>
      </c>
      <c r="C457" s="3" t="s">
        <v>782</v>
      </c>
      <c r="D457" s="97" t="s">
        <v>783</v>
      </c>
      <c r="E457" s="97"/>
      <c r="F457" s="3" t="s">
        <v>56</v>
      </c>
      <c r="G457" s="30">
        <v>1</v>
      </c>
      <c r="H457" s="64">
        <v>0</v>
      </c>
    </row>
    <row r="458" spans="1:8" x14ac:dyDescent="0.25">
      <c r="A458" s="60"/>
      <c r="D458" s="61" t="s">
        <v>53</v>
      </c>
      <c r="E458" s="140" t="s">
        <v>990</v>
      </c>
      <c r="F458" s="140"/>
      <c r="G458" s="62">
        <v>1</v>
      </c>
      <c r="H458" s="63"/>
    </row>
    <row r="459" spans="1:8" x14ac:dyDescent="0.25">
      <c r="A459" s="2" t="s">
        <v>784</v>
      </c>
      <c r="B459" s="3" t="s">
        <v>50</v>
      </c>
      <c r="C459" s="3" t="s">
        <v>785</v>
      </c>
      <c r="D459" s="97" t="s">
        <v>786</v>
      </c>
      <c r="E459" s="97"/>
      <c r="F459" s="3" t="s">
        <v>56</v>
      </c>
      <c r="G459" s="30">
        <v>2</v>
      </c>
      <c r="H459" s="64">
        <v>0</v>
      </c>
    </row>
    <row r="460" spans="1:8" x14ac:dyDescent="0.25">
      <c r="A460" s="60"/>
      <c r="D460" s="61" t="s">
        <v>61</v>
      </c>
      <c r="E460" s="140" t="s">
        <v>990</v>
      </c>
      <c r="F460" s="140"/>
      <c r="G460" s="62">
        <v>2</v>
      </c>
      <c r="H460" s="63"/>
    </row>
    <row r="461" spans="1:8" x14ac:dyDescent="0.25">
      <c r="A461" s="2" t="s">
        <v>787</v>
      </c>
      <c r="B461" s="3" t="s">
        <v>50</v>
      </c>
      <c r="C461" s="3" t="s">
        <v>788</v>
      </c>
      <c r="D461" s="97" t="s">
        <v>789</v>
      </c>
      <c r="E461" s="97"/>
      <c r="F461" s="3" t="s">
        <v>56</v>
      </c>
      <c r="G461" s="30">
        <v>1</v>
      </c>
      <c r="H461" s="64">
        <v>0</v>
      </c>
    </row>
    <row r="462" spans="1:8" x14ac:dyDescent="0.25">
      <c r="A462" s="60"/>
      <c r="D462" s="61" t="s">
        <v>53</v>
      </c>
      <c r="E462" s="140" t="s">
        <v>990</v>
      </c>
      <c r="F462" s="140"/>
      <c r="G462" s="62">
        <v>1</v>
      </c>
      <c r="H462" s="63"/>
    </row>
    <row r="463" spans="1:8" x14ac:dyDescent="0.25">
      <c r="A463" s="2" t="s">
        <v>790</v>
      </c>
      <c r="B463" s="3" t="s">
        <v>50</v>
      </c>
      <c r="C463" s="3" t="s">
        <v>720</v>
      </c>
      <c r="D463" s="97" t="s">
        <v>791</v>
      </c>
      <c r="E463" s="97"/>
      <c r="F463" s="3" t="s">
        <v>56</v>
      </c>
      <c r="G463" s="30">
        <v>1</v>
      </c>
      <c r="H463" s="64">
        <v>0</v>
      </c>
    </row>
    <row r="464" spans="1:8" x14ac:dyDescent="0.25">
      <c r="A464" s="60"/>
      <c r="D464" s="61" t="s">
        <v>53</v>
      </c>
      <c r="E464" s="140" t="s">
        <v>990</v>
      </c>
      <c r="F464" s="140"/>
      <c r="G464" s="62">
        <v>1</v>
      </c>
      <c r="H464" s="63"/>
    </row>
    <row r="465" spans="1:8" x14ac:dyDescent="0.25">
      <c r="A465" s="2" t="s">
        <v>792</v>
      </c>
      <c r="B465" s="3" t="s">
        <v>50</v>
      </c>
      <c r="C465" s="3" t="s">
        <v>793</v>
      </c>
      <c r="D465" s="97" t="s">
        <v>794</v>
      </c>
      <c r="E465" s="97"/>
      <c r="F465" s="3" t="s">
        <v>56</v>
      </c>
      <c r="G465" s="30">
        <v>1</v>
      </c>
      <c r="H465" s="64">
        <v>0</v>
      </c>
    </row>
    <row r="466" spans="1:8" x14ac:dyDescent="0.25">
      <c r="A466" s="60"/>
      <c r="D466" s="61" t="s">
        <v>53</v>
      </c>
      <c r="E466" s="140" t="s">
        <v>990</v>
      </c>
      <c r="F466" s="140"/>
      <c r="G466" s="62">
        <v>1</v>
      </c>
      <c r="H466" s="63"/>
    </row>
    <row r="467" spans="1:8" x14ac:dyDescent="0.25">
      <c r="A467" s="2" t="s">
        <v>795</v>
      </c>
      <c r="B467" s="3" t="s">
        <v>50</v>
      </c>
      <c r="C467" s="3" t="s">
        <v>796</v>
      </c>
      <c r="D467" s="97" t="s">
        <v>797</v>
      </c>
      <c r="E467" s="97"/>
      <c r="F467" s="3" t="s">
        <v>56</v>
      </c>
      <c r="G467" s="30">
        <v>1</v>
      </c>
      <c r="H467" s="64">
        <v>0</v>
      </c>
    </row>
    <row r="468" spans="1:8" x14ac:dyDescent="0.25">
      <c r="A468" s="60"/>
      <c r="D468" s="61" t="s">
        <v>53</v>
      </c>
      <c r="E468" s="140" t="s">
        <v>990</v>
      </c>
      <c r="F468" s="140"/>
      <c r="G468" s="62">
        <v>1</v>
      </c>
      <c r="H468" s="63"/>
    </row>
    <row r="469" spans="1:8" x14ac:dyDescent="0.25">
      <c r="A469" s="2" t="s">
        <v>798</v>
      </c>
      <c r="B469" s="3" t="s">
        <v>50</v>
      </c>
      <c r="C469" s="3" t="s">
        <v>799</v>
      </c>
      <c r="D469" s="97" t="s">
        <v>800</v>
      </c>
      <c r="E469" s="97"/>
      <c r="F469" s="3" t="s">
        <v>708</v>
      </c>
      <c r="G469" s="30">
        <v>1</v>
      </c>
      <c r="H469" s="64">
        <v>0</v>
      </c>
    </row>
    <row r="470" spans="1:8" x14ac:dyDescent="0.25">
      <c r="A470" s="60"/>
      <c r="D470" s="61" t="s">
        <v>53</v>
      </c>
      <c r="E470" s="140" t="s">
        <v>50</v>
      </c>
      <c r="F470" s="140"/>
      <c r="G470" s="62">
        <v>1</v>
      </c>
      <c r="H470" s="63"/>
    </row>
    <row r="471" spans="1:8" x14ac:dyDescent="0.25">
      <c r="A471" s="2" t="s">
        <v>801</v>
      </c>
      <c r="B471" s="3" t="s">
        <v>50</v>
      </c>
      <c r="C471" s="3" t="s">
        <v>113</v>
      </c>
      <c r="D471" s="97" t="s">
        <v>114</v>
      </c>
      <c r="E471" s="97"/>
      <c r="F471" s="3" t="s">
        <v>90</v>
      </c>
      <c r="G471" s="30">
        <v>1.9550000000000001E-2</v>
      </c>
      <c r="H471" s="64">
        <v>0</v>
      </c>
    </row>
    <row r="472" spans="1:8" x14ac:dyDescent="0.25">
      <c r="A472" s="2" t="s">
        <v>804</v>
      </c>
      <c r="B472" s="3" t="s">
        <v>50</v>
      </c>
      <c r="C472" s="3" t="s">
        <v>805</v>
      </c>
      <c r="D472" s="97" t="s">
        <v>806</v>
      </c>
      <c r="E472" s="97"/>
      <c r="F472" s="3" t="s">
        <v>80</v>
      </c>
      <c r="G472" s="30">
        <v>20</v>
      </c>
      <c r="H472" s="64">
        <v>0</v>
      </c>
    </row>
    <row r="473" spans="1:8" x14ac:dyDescent="0.25">
      <c r="A473" s="60"/>
      <c r="D473" s="61" t="s">
        <v>126</v>
      </c>
      <c r="E473" s="140" t="s">
        <v>50</v>
      </c>
      <c r="F473" s="140"/>
      <c r="G473" s="62">
        <v>20</v>
      </c>
      <c r="H473" s="63"/>
    </row>
    <row r="474" spans="1:8" x14ac:dyDescent="0.25">
      <c r="A474" s="2" t="s">
        <v>809</v>
      </c>
      <c r="B474" s="3" t="s">
        <v>50</v>
      </c>
      <c r="C474" s="3" t="s">
        <v>810</v>
      </c>
      <c r="D474" s="97" t="s">
        <v>811</v>
      </c>
      <c r="E474" s="97"/>
      <c r="F474" s="3" t="s">
        <v>80</v>
      </c>
      <c r="G474" s="30">
        <v>15</v>
      </c>
      <c r="H474" s="64">
        <v>0</v>
      </c>
    </row>
    <row r="475" spans="1:8" x14ac:dyDescent="0.25">
      <c r="A475" s="60"/>
      <c r="D475" s="61" t="s">
        <v>108</v>
      </c>
      <c r="E475" s="140" t="s">
        <v>50</v>
      </c>
      <c r="F475" s="140"/>
      <c r="G475" s="62">
        <v>15</v>
      </c>
      <c r="H475" s="63"/>
    </row>
    <row r="476" spans="1:8" x14ac:dyDescent="0.25">
      <c r="A476" s="2" t="s">
        <v>813</v>
      </c>
      <c r="B476" s="3" t="s">
        <v>50</v>
      </c>
      <c r="C476" s="3" t="s">
        <v>814</v>
      </c>
      <c r="D476" s="97" t="s">
        <v>815</v>
      </c>
      <c r="E476" s="97"/>
      <c r="F476" s="3" t="s">
        <v>80</v>
      </c>
      <c r="G476" s="30">
        <v>200</v>
      </c>
      <c r="H476" s="64">
        <v>0</v>
      </c>
    </row>
    <row r="477" spans="1:8" x14ac:dyDescent="0.25">
      <c r="A477" s="60"/>
      <c r="D477" s="61" t="s">
        <v>734</v>
      </c>
      <c r="E477" s="140" t="s">
        <v>50</v>
      </c>
      <c r="F477" s="140"/>
      <c r="G477" s="62">
        <v>200</v>
      </c>
      <c r="H477" s="63"/>
    </row>
    <row r="478" spans="1:8" x14ac:dyDescent="0.25">
      <c r="A478" s="2" t="s">
        <v>817</v>
      </c>
      <c r="B478" s="3" t="s">
        <v>50</v>
      </c>
      <c r="C478" s="3" t="s">
        <v>818</v>
      </c>
      <c r="D478" s="97" t="s">
        <v>819</v>
      </c>
      <c r="E478" s="97"/>
      <c r="F478" s="3" t="s">
        <v>80</v>
      </c>
      <c r="G478" s="30">
        <v>150</v>
      </c>
      <c r="H478" s="64">
        <v>0</v>
      </c>
    </row>
    <row r="479" spans="1:8" x14ac:dyDescent="0.25">
      <c r="A479" s="60"/>
      <c r="D479" s="61" t="s">
        <v>567</v>
      </c>
      <c r="E479" s="140" t="s">
        <v>50</v>
      </c>
      <c r="F479" s="140"/>
      <c r="G479" s="62">
        <v>150</v>
      </c>
      <c r="H479" s="63"/>
    </row>
    <row r="480" spans="1:8" x14ac:dyDescent="0.25">
      <c r="A480" s="2" t="s">
        <v>821</v>
      </c>
      <c r="B480" s="3" t="s">
        <v>50</v>
      </c>
      <c r="C480" s="3" t="s">
        <v>822</v>
      </c>
      <c r="D480" s="97" t="s">
        <v>823</v>
      </c>
      <c r="E480" s="97"/>
      <c r="F480" s="3" t="s">
        <v>80</v>
      </c>
      <c r="G480" s="30">
        <v>50</v>
      </c>
      <c r="H480" s="64">
        <v>0</v>
      </c>
    </row>
    <row r="481" spans="1:8" x14ac:dyDescent="0.25">
      <c r="A481" s="60"/>
      <c r="D481" s="61" t="s">
        <v>227</v>
      </c>
      <c r="E481" s="140" t="s">
        <v>50</v>
      </c>
      <c r="F481" s="140"/>
      <c r="G481" s="62">
        <v>50</v>
      </c>
      <c r="H481" s="63"/>
    </row>
    <row r="482" spans="1:8" x14ac:dyDescent="0.25">
      <c r="A482" s="2" t="s">
        <v>825</v>
      </c>
      <c r="B482" s="3" t="s">
        <v>50</v>
      </c>
      <c r="C482" s="3" t="s">
        <v>826</v>
      </c>
      <c r="D482" s="97" t="s">
        <v>827</v>
      </c>
      <c r="E482" s="97"/>
      <c r="F482" s="3" t="s">
        <v>80</v>
      </c>
      <c r="G482" s="30">
        <v>25</v>
      </c>
      <c r="H482" s="64">
        <v>0</v>
      </c>
    </row>
    <row r="483" spans="1:8" x14ac:dyDescent="0.25">
      <c r="A483" s="60"/>
      <c r="D483" s="61" t="s">
        <v>141</v>
      </c>
      <c r="E483" s="140" t="s">
        <v>50</v>
      </c>
      <c r="F483" s="140"/>
      <c r="G483" s="62">
        <v>25</v>
      </c>
      <c r="H483" s="63"/>
    </row>
    <row r="484" spans="1:8" x14ac:dyDescent="0.25">
      <c r="A484" s="2" t="s">
        <v>829</v>
      </c>
      <c r="B484" s="3" t="s">
        <v>50</v>
      </c>
      <c r="C484" s="3" t="s">
        <v>830</v>
      </c>
      <c r="D484" s="97" t="s">
        <v>831</v>
      </c>
      <c r="E484" s="97"/>
      <c r="F484" s="3" t="s">
        <v>80</v>
      </c>
      <c r="G484" s="30">
        <v>2.5</v>
      </c>
      <c r="H484" s="64">
        <v>0</v>
      </c>
    </row>
    <row r="485" spans="1:8" x14ac:dyDescent="0.25">
      <c r="A485" s="60"/>
      <c r="D485" s="61" t="s">
        <v>992</v>
      </c>
      <c r="E485" s="140" t="s">
        <v>50</v>
      </c>
      <c r="F485" s="140"/>
      <c r="G485" s="62">
        <v>2.5</v>
      </c>
      <c r="H485" s="63"/>
    </row>
    <row r="486" spans="1:8" x14ac:dyDescent="0.25">
      <c r="A486" s="2" t="s">
        <v>833</v>
      </c>
      <c r="B486" s="3" t="s">
        <v>50</v>
      </c>
      <c r="C486" s="3" t="s">
        <v>834</v>
      </c>
      <c r="D486" s="97" t="s">
        <v>835</v>
      </c>
      <c r="E486" s="97"/>
      <c r="F486" s="3" t="s">
        <v>80</v>
      </c>
      <c r="G486" s="30">
        <v>30</v>
      </c>
      <c r="H486" s="64">
        <v>0</v>
      </c>
    </row>
    <row r="487" spans="1:8" x14ac:dyDescent="0.25">
      <c r="A487" s="60"/>
      <c r="D487" s="61" t="s">
        <v>158</v>
      </c>
      <c r="E487" s="140" t="s">
        <v>50</v>
      </c>
      <c r="F487" s="140"/>
      <c r="G487" s="62">
        <v>30</v>
      </c>
      <c r="H487" s="63"/>
    </row>
    <row r="488" spans="1:8" x14ac:dyDescent="0.25">
      <c r="A488" s="2" t="s">
        <v>837</v>
      </c>
      <c r="B488" s="3" t="s">
        <v>50</v>
      </c>
      <c r="C488" s="3" t="s">
        <v>838</v>
      </c>
      <c r="D488" s="97" t="s">
        <v>839</v>
      </c>
      <c r="E488" s="97"/>
      <c r="F488" s="3" t="s">
        <v>80</v>
      </c>
      <c r="G488" s="30">
        <v>50</v>
      </c>
      <c r="H488" s="64">
        <v>0</v>
      </c>
    </row>
    <row r="489" spans="1:8" x14ac:dyDescent="0.25">
      <c r="A489" s="60"/>
      <c r="D489" s="61" t="s">
        <v>227</v>
      </c>
      <c r="E489" s="140" t="s">
        <v>50</v>
      </c>
      <c r="F489" s="140"/>
      <c r="G489" s="62">
        <v>50</v>
      </c>
      <c r="H489" s="63"/>
    </row>
    <row r="490" spans="1:8" x14ac:dyDescent="0.25">
      <c r="A490" s="2" t="s">
        <v>841</v>
      </c>
      <c r="B490" s="3" t="s">
        <v>50</v>
      </c>
      <c r="C490" s="3" t="s">
        <v>842</v>
      </c>
      <c r="D490" s="97" t="s">
        <v>843</v>
      </c>
      <c r="E490" s="97"/>
      <c r="F490" s="3" t="s">
        <v>80</v>
      </c>
      <c r="G490" s="30">
        <v>10</v>
      </c>
      <c r="H490" s="64">
        <v>0</v>
      </c>
    </row>
    <row r="491" spans="1:8" x14ac:dyDescent="0.25">
      <c r="A491" s="60"/>
      <c r="D491" s="61" t="s">
        <v>91</v>
      </c>
      <c r="E491" s="140" t="s">
        <v>50</v>
      </c>
      <c r="F491" s="140"/>
      <c r="G491" s="62">
        <v>10</v>
      </c>
      <c r="H491" s="63"/>
    </row>
    <row r="492" spans="1:8" x14ac:dyDescent="0.25">
      <c r="A492" s="2" t="s">
        <v>845</v>
      </c>
      <c r="B492" s="3" t="s">
        <v>50</v>
      </c>
      <c r="C492" s="3" t="s">
        <v>113</v>
      </c>
      <c r="D492" s="97" t="s">
        <v>114</v>
      </c>
      <c r="E492" s="97"/>
      <c r="F492" s="3" t="s">
        <v>90</v>
      </c>
      <c r="G492" s="30">
        <v>9.2999999999999999E-2</v>
      </c>
      <c r="H492" s="64">
        <v>0</v>
      </c>
    </row>
    <row r="493" spans="1:8" x14ac:dyDescent="0.25">
      <c r="A493" s="66"/>
      <c r="B493" s="67"/>
      <c r="C493" s="67"/>
      <c r="D493" s="68" t="s">
        <v>993</v>
      </c>
      <c r="E493" s="141" t="s">
        <v>50</v>
      </c>
      <c r="F493" s="141"/>
      <c r="G493" s="69">
        <v>0.13800000000000001</v>
      </c>
      <c r="H493" s="70"/>
    </row>
    <row r="495" spans="1:8" x14ac:dyDescent="0.25">
      <c r="A495" s="51" t="s">
        <v>847</v>
      </c>
    </row>
    <row r="496" spans="1:8" ht="12.75" customHeight="1" x14ac:dyDescent="0.25">
      <c r="A496" s="102" t="s">
        <v>50</v>
      </c>
      <c r="B496" s="97"/>
      <c r="C496" s="97"/>
      <c r="D496" s="97"/>
      <c r="E496" s="97"/>
      <c r="F496" s="97"/>
      <c r="G496" s="97"/>
    </row>
  </sheetData>
  <sheetProtection password="C7C0" sheet="1"/>
  <mergeCells count="502">
    <mergeCell ref="A496:G496"/>
    <mergeCell ref="E489:F489"/>
    <mergeCell ref="D490:E490"/>
    <mergeCell ref="E491:F491"/>
    <mergeCell ref="D492:E492"/>
    <mergeCell ref="E493:F493"/>
    <mergeCell ref="D484:E484"/>
    <mergeCell ref="E485:F485"/>
    <mergeCell ref="D486:E486"/>
    <mergeCell ref="E487:F487"/>
    <mergeCell ref="D488:E488"/>
    <mergeCell ref="E479:F479"/>
    <mergeCell ref="D480:E480"/>
    <mergeCell ref="E481:F481"/>
    <mergeCell ref="D482:E482"/>
    <mergeCell ref="E483:F483"/>
    <mergeCell ref="D474:E474"/>
    <mergeCell ref="E475:F475"/>
    <mergeCell ref="D476:E476"/>
    <mergeCell ref="E477:F477"/>
    <mergeCell ref="D478:E478"/>
    <mergeCell ref="D469:E469"/>
    <mergeCell ref="E470:F470"/>
    <mergeCell ref="D471:E471"/>
    <mergeCell ref="D472:E472"/>
    <mergeCell ref="E473:F473"/>
    <mergeCell ref="E464:F464"/>
    <mergeCell ref="D465:E465"/>
    <mergeCell ref="E466:F466"/>
    <mergeCell ref="D467:E467"/>
    <mergeCell ref="E468:F468"/>
    <mergeCell ref="D459:E459"/>
    <mergeCell ref="E460:F460"/>
    <mergeCell ref="D461:E461"/>
    <mergeCell ref="E462:F462"/>
    <mergeCell ref="D463:E463"/>
    <mergeCell ref="E454:F454"/>
    <mergeCell ref="D455:E455"/>
    <mergeCell ref="E456:F456"/>
    <mergeCell ref="D457:E457"/>
    <mergeCell ref="E458:F458"/>
    <mergeCell ref="D449:E449"/>
    <mergeCell ref="E450:F450"/>
    <mergeCell ref="D451:E451"/>
    <mergeCell ref="E452:F452"/>
    <mergeCell ref="D453:E453"/>
    <mergeCell ref="E444:F444"/>
    <mergeCell ref="D445:E445"/>
    <mergeCell ref="E446:F446"/>
    <mergeCell ref="D447:E447"/>
    <mergeCell ref="E448:F448"/>
    <mergeCell ref="D439:E439"/>
    <mergeCell ref="E440:F440"/>
    <mergeCell ref="D441:E441"/>
    <mergeCell ref="E442:F442"/>
    <mergeCell ref="D443:E443"/>
    <mergeCell ref="E434:F434"/>
    <mergeCell ref="D435:E435"/>
    <mergeCell ref="E436:F436"/>
    <mergeCell ref="D437:E437"/>
    <mergeCell ref="E438:F438"/>
    <mergeCell ref="D429:E429"/>
    <mergeCell ref="E430:F430"/>
    <mergeCell ref="D431:E431"/>
    <mergeCell ref="E432:F432"/>
    <mergeCell ref="D433:E433"/>
    <mergeCell ref="E424:F424"/>
    <mergeCell ref="D425:E425"/>
    <mergeCell ref="E426:F426"/>
    <mergeCell ref="D427:E427"/>
    <mergeCell ref="E428:F428"/>
    <mergeCell ref="D419:E419"/>
    <mergeCell ref="E420:F420"/>
    <mergeCell ref="D421:E421"/>
    <mergeCell ref="E422:F422"/>
    <mergeCell ref="D423:E423"/>
    <mergeCell ref="E414:F414"/>
    <mergeCell ref="D415:E415"/>
    <mergeCell ref="E416:F416"/>
    <mergeCell ref="D417:E417"/>
    <mergeCell ref="E418:F418"/>
    <mergeCell ref="D409:E409"/>
    <mergeCell ref="E410:F410"/>
    <mergeCell ref="D411:E411"/>
    <mergeCell ref="E412:F412"/>
    <mergeCell ref="D413:E413"/>
    <mergeCell ref="E404:F404"/>
    <mergeCell ref="D405:E405"/>
    <mergeCell ref="E406:F406"/>
    <mergeCell ref="D407:E407"/>
    <mergeCell ref="E408:F408"/>
    <mergeCell ref="E399:F399"/>
    <mergeCell ref="E400:F400"/>
    <mergeCell ref="D401:E401"/>
    <mergeCell ref="E402:F402"/>
    <mergeCell ref="D403:E403"/>
    <mergeCell ref="E394:F394"/>
    <mergeCell ref="D395:E395"/>
    <mergeCell ref="E396:F396"/>
    <mergeCell ref="E397:F397"/>
    <mergeCell ref="E398:F398"/>
    <mergeCell ref="E389:F389"/>
    <mergeCell ref="E390:F390"/>
    <mergeCell ref="E391:F391"/>
    <mergeCell ref="E392:F392"/>
    <mergeCell ref="E393:F393"/>
    <mergeCell ref="D384:E384"/>
    <mergeCell ref="E385:F385"/>
    <mergeCell ref="D386:E386"/>
    <mergeCell ref="E387:F387"/>
    <mergeCell ref="D388:E388"/>
    <mergeCell ref="E379:F379"/>
    <mergeCell ref="E380:F380"/>
    <mergeCell ref="D381:E381"/>
    <mergeCell ref="E382:F382"/>
    <mergeCell ref="E383:F383"/>
    <mergeCell ref="E374:F374"/>
    <mergeCell ref="D375:E375"/>
    <mergeCell ref="E376:F376"/>
    <mergeCell ref="D377:E377"/>
    <mergeCell ref="D378:E378"/>
    <mergeCell ref="D369:E369"/>
    <mergeCell ref="E370:F370"/>
    <mergeCell ref="D371:E371"/>
    <mergeCell ref="E372:F372"/>
    <mergeCell ref="D373:E373"/>
    <mergeCell ref="D364:E364"/>
    <mergeCell ref="D365:E365"/>
    <mergeCell ref="D366:E366"/>
    <mergeCell ref="E367:F367"/>
    <mergeCell ref="E368:F368"/>
    <mergeCell ref="E359:F359"/>
    <mergeCell ref="D360:E360"/>
    <mergeCell ref="E361:F361"/>
    <mergeCell ref="D362:E362"/>
    <mergeCell ref="E363:F363"/>
    <mergeCell ref="E354:F354"/>
    <mergeCell ref="D355:E355"/>
    <mergeCell ref="E356:F356"/>
    <mergeCell ref="D357:E357"/>
    <mergeCell ref="D358:E358"/>
    <mergeCell ref="D349:E349"/>
    <mergeCell ref="E350:F350"/>
    <mergeCell ref="D351:E351"/>
    <mergeCell ref="E352:F352"/>
    <mergeCell ref="D353:E353"/>
    <mergeCell ref="E344:F344"/>
    <mergeCell ref="D345:E345"/>
    <mergeCell ref="E346:F346"/>
    <mergeCell ref="D347:E347"/>
    <mergeCell ref="E348:F348"/>
    <mergeCell ref="E339:F339"/>
    <mergeCell ref="E340:F340"/>
    <mergeCell ref="D341:E341"/>
    <mergeCell ref="E342:F342"/>
    <mergeCell ref="D343:E343"/>
    <mergeCell ref="E334:F334"/>
    <mergeCell ref="E335:F335"/>
    <mergeCell ref="D336:E336"/>
    <mergeCell ref="E337:F337"/>
    <mergeCell ref="D338:E338"/>
    <mergeCell ref="D329:E329"/>
    <mergeCell ref="E330:F330"/>
    <mergeCell ref="D331:E331"/>
    <mergeCell ref="E332:F332"/>
    <mergeCell ref="D333:E333"/>
    <mergeCell ref="D324:E324"/>
    <mergeCell ref="D325:E325"/>
    <mergeCell ref="E326:F326"/>
    <mergeCell ref="D327:E327"/>
    <mergeCell ref="E328:F328"/>
    <mergeCell ref="D319:E319"/>
    <mergeCell ref="E320:F320"/>
    <mergeCell ref="D321:E321"/>
    <mergeCell ref="E322:F322"/>
    <mergeCell ref="D323:E323"/>
    <mergeCell ref="D314:E314"/>
    <mergeCell ref="E315:F315"/>
    <mergeCell ref="D316:E316"/>
    <mergeCell ref="E317:F317"/>
    <mergeCell ref="D318:E318"/>
    <mergeCell ref="E309:F309"/>
    <mergeCell ref="D310:E310"/>
    <mergeCell ref="E311:F311"/>
    <mergeCell ref="D312:E312"/>
    <mergeCell ref="E313:F313"/>
    <mergeCell ref="E304:F304"/>
    <mergeCell ref="D305:E305"/>
    <mergeCell ref="E306:F306"/>
    <mergeCell ref="D307:E307"/>
    <mergeCell ref="D308:E308"/>
    <mergeCell ref="E299:F299"/>
    <mergeCell ref="D300:E300"/>
    <mergeCell ref="E301:F301"/>
    <mergeCell ref="D302:E302"/>
    <mergeCell ref="D303:E303"/>
    <mergeCell ref="E294:F294"/>
    <mergeCell ref="D295:E295"/>
    <mergeCell ref="E296:F296"/>
    <mergeCell ref="D297:E297"/>
    <mergeCell ref="D298:E298"/>
    <mergeCell ref="D289:E289"/>
    <mergeCell ref="E290:F290"/>
    <mergeCell ref="D291:E291"/>
    <mergeCell ref="E292:F292"/>
    <mergeCell ref="D293:E293"/>
    <mergeCell ref="E284:F284"/>
    <mergeCell ref="D285:E285"/>
    <mergeCell ref="E286:F286"/>
    <mergeCell ref="D287:E287"/>
    <mergeCell ref="E288:F288"/>
    <mergeCell ref="E279:F279"/>
    <mergeCell ref="D280:E280"/>
    <mergeCell ref="E281:F281"/>
    <mergeCell ref="D282:E282"/>
    <mergeCell ref="D283:E283"/>
    <mergeCell ref="D274:E274"/>
    <mergeCell ref="E275:F275"/>
    <mergeCell ref="D276:E276"/>
    <mergeCell ref="E277:F277"/>
    <mergeCell ref="D278:E278"/>
    <mergeCell ref="D269:E269"/>
    <mergeCell ref="D270:E270"/>
    <mergeCell ref="E271:F271"/>
    <mergeCell ref="D272:E272"/>
    <mergeCell ref="E273:F273"/>
    <mergeCell ref="E264:F264"/>
    <mergeCell ref="D265:E265"/>
    <mergeCell ref="E266:F266"/>
    <mergeCell ref="D267:E267"/>
    <mergeCell ref="E268:F268"/>
    <mergeCell ref="D259:E259"/>
    <mergeCell ref="E260:F260"/>
    <mergeCell ref="D261:E261"/>
    <mergeCell ref="E262:F262"/>
    <mergeCell ref="D263:E263"/>
    <mergeCell ref="D254:E254"/>
    <mergeCell ref="D255:E255"/>
    <mergeCell ref="E256:F256"/>
    <mergeCell ref="D257:E257"/>
    <mergeCell ref="E258:F258"/>
    <mergeCell ref="E249:F249"/>
    <mergeCell ref="D250:E250"/>
    <mergeCell ref="E251:F251"/>
    <mergeCell ref="D252:E252"/>
    <mergeCell ref="E253:F253"/>
    <mergeCell ref="D244:E244"/>
    <mergeCell ref="E245:F245"/>
    <mergeCell ref="D246:E246"/>
    <mergeCell ref="E247:F247"/>
    <mergeCell ref="D248:E248"/>
    <mergeCell ref="E239:F239"/>
    <mergeCell ref="D240:E240"/>
    <mergeCell ref="E241:F241"/>
    <mergeCell ref="D242:E242"/>
    <mergeCell ref="E243:F243"/>
    <mergeCell ref="E234:F234"/>
    <mergeCell ref="D235:E235"/>
    <mergeCell ref="E236:F236"/>
    <mergeCell ref="E237:F237"/>
    <mergeCell ref="D238:E238"/>
    <mergeCell ref="E229:F229"/>
    <mergeCell ref="D230:E230"/>
    <mergeCell ref="E231:F231"/>
    <mergeCell ref="D232:E232"/>
    <mergeCell ref="D233:E233"/>
    <mergeCell ref="D224:E224"/>
    <mergeCell ref="E225:F225"/>
    <mergeCell ref="D226:E226"/>
    <mergeCell ref="E227:F227"/>
    <mergeCell ref="D228:E228"/>
    <mergeCell ref="E219:F219"/>
    <mergeCell ref="D220:E220"/>
    <mergeCell ref="E221:F221"/>
    <mergeCell ref="D222:E222"/>
    <mergeCell ref="E223:F223"/>
    <mergeCell ref="D214:E214"/>
    <mergeCell ref="E215:F215"/>
    <mergeCell ref="D216:E216"/>
    <mergeCell ref="E217:F217"/>
    <mergeCell ref="D218:E218"/>
    <mergeCell ref="E209:F209"/>
    <mergeCell ref="D210:E210"/>
    <mergeCell ref="E211:F211"/>
    <mergeCell ref="D212:E212"/>
    <mergeCell ref="E213:F213"/>
    <mergeCell ref="D204:E204"/>
    <mergeCell ref="E205:F205"/>
    <mergeCell ref="D206:E206"/>
    <mergeCell ref="E207:F207"/>
    <mergeCell ref="D208:E208"/>
    <mergeCell ref="E199:F199"/>
    <mergeCell ref="D200:E200"/>
    <mergeCell ref="E201:F201"/>
    <mergeCell ref="D202:E202"/>
    <mergeCell ref="E203:F203"/>
    <mergeCell ref="D194:E194"/>
    <mergeCell ref="E195:F195"/>
    <mergeCell ref="D196:E196"/>
    <mergeCell ref="E197:F197"/>
    <mergeCell ref="D198:E198"/>
    <mergeCell ref="E189:F189"/>
    <mergeCell ref="D190:E190"/>
    <mergeCell ref="E191:F191"/>
    <mergeCell ref="D192:E192"/>
    <mergeCell ref="E193:F193"/>
    <mergeCell ref="D184:E184"/>
    <mergeCell ref="E185:F185"/>
    <mergeCell ref="D186:E186"/>
    <mergeCell ref="E187:F187"/>
    <mergeCell ref="D188:E188"/>
    <mergeCell ref="D179:E179"/>
    <mergeCell ref="E180:F180"/>
    <mergeCell ref="D181:E181"/>
    <mergeCell ref="E182:F182"/>
    <mergeCell ref="E183:F183"/>
    <mergeCell ref="E174:F174"/>
    <mergeCell ref="D175:E175"/>
    <mergeCell ref="E176:F176"/>
    <mergeCell ref="D177:E177"/>
    <mergeCell ref="E178:F178"/>
    <mergeCell ref="E169:F169"/>
    <mergeCell ref="D170:E170"/>
    <mergeCell ref="E171:F171"/>
    <mergeCell ref="D172:E172"/>
    <mergeCell ref="D173:E173"/>
    <mergeCell ref="D164:E164"/>
    <mergeCell ref="E165:F165"/>
    <mergeCell ref="D166:E166"/>
    <mergeCell ref="E167:F167"/>
    <mergeCell ref="D168:E168"/>
    <mergeCell ref="D159:E159"/>
    <mergeCell ref="E160:F160"/>
    <mergeCell ref="D161:E161"/>
    <mergeCell ref="D162:E162"/>
    <mergeCell ref="E163:F163"/>
    <mergeCell ref="E154:F154"/>
    <mergeCell ref="D155:E155"/>
    <mergeCell ref="E156:F156"/>
    <mergeCell ref="D157:E157"/>
    <mergeCell ref="E158:F158"/>
    <mergeCell ref="D149:E149"/>
    <mergeCell ref="E150:F150"/>
    <mergeCell ref="D151:E151"/>
    <mergeCell ref="E152:F152"/>
    <mergeCell ref="D153:E153"/>
    <mergeCell ref="E144:F144"/>
    <mergeCell ref="D145:E145"/>
    <mergeCell ref="E146:F146"/>
    <mergeCell ref="D147:E147"/>
    <mergeCell ref="E148:F148"/>
    <mergeCell ref="E139:F139"/>
    <mergeCell ref="D140:E140"/>
    <mergeCell ref="E141:F141"/>
    <mergeCell ref="E142:F142"/>
    <mergeCell ref="D143:E143"/>
    <mergeCell ref="D134:E134"/>
    <mergeCell ref="E135:F135"/>
    <mergeCell ref="E136:F136"/>
    <mergeCell ref="D137:E137"/>
    <mergeCell ref="E138:F138"/>
    <mergeCell ref="E129:F129"/>
    <mergeCell ref="E130:F130"/>
    <mergeCell ref="D131:E131"/>
    <mergeCell ref="E132:F132"/>
    <mergeCell ref="E133:F133"/>
    <mergeCell ref="E124:F124"/>
    <mergeCell ref="D125:E125"/>
    <mergeCell ref="E126:F126"/>
    <mergeCell ref="E127:F127"/>
    <mergeCell ref="D128:E128"/>
    <mergeCell ref="D119:E119"/>
    <mergeCell ref="E120:F120"/>
    <mergeCell ref="E121:F121"/>
    <mergeCell ref="D122:E122"/>
    <mergeCell ref="E123:F123"/>
    <mergeCell ref="E114:F114"/>
    <mergeCell ref="D115:E115"/>
    <mergeCell ref="D116:E116"/>
    <mergeCell ref="E117:F117"/>
    <mergeCell ref="E118:F118"/>
    <mergeCell ref="D109:E109"/>
    <mergeCell ref="E110:F110"/>
    <mergeCell ref="D111:E111"/>
    <mergeCell ref="E112:F112"/>
    <mergeCell ref="D113:E113"/>
    <mergeCell ref="E104:F104"/>
    <mergeCell ref="D105:E105"/>
    <mergeCell ref="E106:F106"/>
    <mergeCell ref="D107:E107"/>
    <mergeCell ref="E108:F108"/>
    <mergeCell ref="E99:F99"/>
    <mergeCell ref="D100:E100"/>
    <mergeCell ref="D101:E101"/>
    <mergeCell ref="E102:F102"/>
    <mergeCell ref="D103:E103"/>
    <mergeCell ref="D94:E94"/>
    <mergeCell ref="E95:F95"/>
    <mergeCell ref="D96:E96"/>
    <mergeCell ref="E97:F97"/>
    <mergeCell ref="D98:E98"/>
    <mergeCell ref="D89:E89"/>
    <mergeCell ref="E90:F90"/>
    <mergeCell ref="D91:E91"/>
    <mergeCell ref="D92:E92"/>
    <mergeCell ref="E93:F93"/>
    <mergeCell ref="E84:F84"/>
    <mergeCell ref="D85:E85"/>
    <mergeCell ref="E86:F86"/>
    <mergeCell ref="D87:E87"/>
    <mergeCell ref="E88:F88"/>
    <mergeCell ref="E79:F79"/>
    <mergeCell ref="D80:E80"/>
    <mergeCell ref="E81:F81"/>
    <mergeCell ref="E82:F82"/>
    <mergeCell ref="E83:F83"/>
    <mergeCell ref="E74:F74"/>
    <mergeCell ref="E75:F75"/>
    <mergeCell ref="E76:F76"/>
    <mergeCell ref="D77:E77"/>
    <mergeCell ref="E78:F78"/>
    <mergeCell ref="E69:F69"/>
    <mergeCell ref="D70:E70"/>
    <mergeCell ref="E71:F71"/>
    <mergeCell ref="D72:E72"/>
    <mergeCell ref="E73:F73"/>
    <mergeCell ref="E64:F64"/>
    <mergeCell ref="D65:E65"/>
    <mergeCell ref="E66:F66"/>
    <mergeCell ref="E67:F67"/>
    <mergeCell ref="D68:E68"/>
    <mergeCell ref="E59:F59"/>
    <mergeCell ref="E60:F60"/>
    <mergeCell ref="E61:F61"/>
    <mergeCell ref="E62:F62"/>
    <mergeCell ref="D63:E63"/>
    <mergeCell ref="D54:E54"/>
    <mergeCell ref="E55:F55"/>
    <mergeCell ref="E56:F56"/>
    <mergeCell ref="D57:E57"/>
    <mergeCell ref="E58:F58"/>
    <mergeCell ref="E49:F49"/>
    <mergeCell ref="D50:E50"/>
    <mergeCell ref="E51:F51"/>
    <mergeCell ref="D52:E52"/>
    <mergeCell ref="E53:F53"/>
    <mergeCell ref="D44:E44"/>
    <mergeCell ref="E45:F45"/>
    <mergeCell ref="E46:F46"/>
    <mergeCell ref="D47:E47"/>
    <mergeCell ref="D48:E48"/>
    <mergeCell ref="E39:F39"/>
    <mergeCell ref="D40:E40"/>
    <mergeCell ref="D41:E41"/>
    <mergeCell ref="E42:F42"/>
    <mergeCell ref="E43:F43"/>
    <mergeCell ref="D34:E34"/>
    <mergeCell ref="E35:F35"/>
    <mergeCell ref="D36:E36"/>
    <mergeCell ref="E37:F37"/>
    <mergeCell ref="D38:E38"/>
    <mergeCell ref="D29:E29"/>
    <mergeCell ref="D30:E30"/>
    <mergeCell ref="D31:E31"/>
    <mergeCell ref="D32:E32"/>
    <mergeCell ref="E33:F33"/>
    <mergeCell ref="D24:E24"/>
    <mergeCell ref="E25:F25"/>
    <mergeCell ref="E26:F26"/>
    <mergeCell ref="D27:E27"/>
    <mergeCell ref="E28:F28"/>
    <mergeCell ref="E19:F19"/>
    <mergeCell ref="D20:E20"/>
    <mergeCell ref="E21:F21"/>
    <mergeCell ref="D22:E22"/>
    <mergeCell ref="E23:F23"/>
    <mergeCell ref="E14:F14"/>
    <mergeCell ref="D15:E15"/>
    <mergeCell ref="E16:F16"/>
    <mergeCell ref="D17:E17"/>
    <mergeCell ref="E18:F18"/>
    <mergeCell ref="F8:H9"/>
    <mergeCell ref="D10:E10"/>
    <mergeCell ref="D11:E11"/>
    <mergeCell ref="E12:F12"/>
    <mergeCell ref="D13:E13"/>
    <mergeCell ref="A1:H1"/>
    <mergeCell ref="A2:B3"/>
    <mergeCell ref="A4:B5"/>
    <mergeCell ref="A6:B7"/>
    <mergeCell ref="A8:B9"/>
    <mergeCell ref="E2:E3"/>
    <mergeCell ref="E4:E5"/>
    <mergeCell ref="E6:E7"/>
    <mergeCell ref="E8:E9"/>
    <mergeCell ref="C2:D3"/>
    <mergeCell ref="C4:D5"/>
    <mergeCell ref="C6:D7"/>
    <mergeCell ref="C8:D9"/>
    <mergeCell ref="F2:H3"/>
    <mergeCell ref="F4:H5"/>
    <mergeCell ref="F6:H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85C0A-BAA1-4DE1-BD8F-744FF14CE06E}">
  <dimension ref="A1:C25"/>
  <sheetViews>
    <sheetView workbookViewId="0">
      <selection activeCell="A25" sqref="A25:XFD53"/>
    </sheetView>
  </sheetViews>
  <sheetFormatPr defaultRowHeight="15" x14ac:dyDescent="0.25"/>
  <cols>
    <col min="1" max="1" width="53.140625" style="203" customWidth="1"/>
    <col min="2" max="2" width="19.140625" style="203" customWidth="1"/>
    <col min="3" max="3" width="13.140625" style="203" customWidth="1"/>
    <col min="4" max="16384" width="9.140625" style="203"/>
  </cols>
  <sheetData>
    <row r="1" spans="1:3" ht="15.75" thickBot="1" x14ac:dyDescent="0.3">
      <c r="A1" s="200" t="s">
        <v>1052</v>
      </c>
      <c r="B1" s="201"/>
      <c r="C1" s="202"/>
    </row>
    <row r="2" spans="1:3" x14ac:dyDescent="0.25">
      <c r="A2" s="204" t="s">
        <v>1053</v>
      </c>
      <c r="B2" s="205" t="s">
        <v>1054</v>
      </c>
      <c r="C2" s="206" t="s">
        <v>1055</v>
      </c>
    </row>
    <row r="3" spans="1:3" x14ac:dyDescent="0.25">
      <c r="A3" s="207" t="s">
        <v>715</v>
      </c>
      <c r="B3" s="208" t="s">
        <v>1056</v>
      </c>
      <c r="C3" s="209">
        <v>1</v>
      </c>
    </row>
    <row r="4" spans="1:3" x14ac:dyDescent="0.25">
      <c r="A4" s="207" t="s">
        <v>1057</v>
      </c>
      <c r="B4" s="208" t="s">
        <v>1058</v>
      </c>
      <c r="C4" s="209">
        <v>1</v>
      </c>
    </row>
    <row r="5" spans="1:3" x14ac:dyDescent="0.25">
      <c r="A5" s="207" t="s">
        <v>727</v>
      </c>
      <c r="B5" s="208" t="s">
        <v>1059</v>
      </c>
      <c r="C5" s="209">
        <v>1</v>
      </c>
    </row>
    <row r="6" spans="1:3" x14ac:dyDescent="0.25">
      <c r="A6" s="207" t="s">
        <v>733</v>
      </c>
      <c r="B6" s="208" t="s">
        <v>1060</v>
      </c>
      <c r="C6" s="209">
        <v>2</v>
      </c>
    </row>
    <row r="7" spans="1:3" x14ac:dyDescent="0.25">
      <c r="A7" s="207" t="s">
        <v>736</v>
      </c>
      <c r="B7" s="208" t="s">
        <v>1061</v>
      </c>
      <c r="C7" s="209">
        <v>1</v>
      </c>
    </row>
    <row r="8" spans="1:3" x14ac:dyDescent="0.25">
      <c r="A8" s="207" t="s">
        <v>739</v>
      </c>
      <c r="B8" s="208" t="s">
        <v>1062</v>
      </c>
      <c r="C8" s="209">
        <v>6</v>
      </c>
    </row>
    <row r="9" spans="1:3" x14ac:dyDescent="0.25">
      <c r="A9" s="207" t="s">
        <v>1063</v>
      </c>
      <c r="B9" s="208" t="s">
        <v>1064</v>
      </c>
      <c r="C9" s="209">
        <v>1</v>
      </c>
    </row>
    <row r="10" spans="1:3" x14ac:dyDescent="0.25">
      <c r="A10" s="207" t="s">
        <v>1065</v>
      </c>
      <c r="B10" s="208" t="s">
        <v>1066</v>
      </c>
      <c r="C10" s="209">
        <v>21</v>
      </c>
    </row>
    <row r="11" spans="1:3" x14ac:dyDescent="0.25">
      <c r="A11" s="207" t="s">
        <v>1067</v>
      </c>
      <c r="B11" s="208" t="s">
        <v>1068</v>
      </c>
      <c r="C11" s="209">
        <v>3</v>
      </c>
    </row>
    <row r="12" spans="1:3" x14ac:dyDescent="0.25">
      <c r="A12" s="207" t="s">
        <v>1069</v>
      </c>
      <c r="B12" s="208" t="s">
        <v>1070</v>
      </c>
      <c r="C12" s="209">
        <v>2</v>
      </c>
    </row>
    <row r="13" spans="1:3" x14ac:dyDescent="0.25">
      <c r="A13" s="207" t="s">
        <v>1071</v>
      </c>
      <c r="B13" s="208" t="s">
        <v>1072</v>
      </c>
      <c r="C13" s="209">
        <v>1</v>
      </c>
    </row>
    <row r="14" spans="1:3" x14ac:dyDescent="0.25">
      <c r="A14" s="207" t="s">
        <v>1073</v>
      </c>
      <c r="B14" s="208" t="s">
        <v>1074</v>
      </c>
      <c r="C14" s="209">
        <v>1</v>
      </c>
    </row>
    <row r="15" spans="1:3" x14ac:dyDescent="0.25">
      <c r="A15" s="207" t="s">
        <v>1075</v>
      </c>
      <c r="B15" s="208" t="s">
        <v>1076</v>
      </c>
      <c r="C15" s="209">
        <v>2</v>
      </c>
    </row>
    <row r="16" spans="1:3" x14ac:dyDescent="0.25">
      <c r="A16" s="207" t="s">
        <v>1077</v>
      </c>
      <c r="B16" s="208" t="s">
        <v>1078</v>
      </c>
      <c r="C16" s="209">
        <v>1</v>
      </c>
    </row>
    <row r="17" spans="1:3" x14ac:dyDescent="0.25">
      <c r="A17" s="207" t="s">
        <v>1079</v>
      </c>
      <c r="B17" s="208" t="s">
        <v>1080</v>
      </c>
      <c r="C17" s="209">
        <v>1</v>
      </c>
    </row>
    <row r="18" spans="1:3" x14ac:dyDescent="0.25">
      <c r="A18" s="207" t="s">
        <v>1081</v>
      </c>
      <c r="B18" s="208" t="s">
        <v>1082</v>
      </c>
      <c r="C18" s="209">
        <v>15</v>
      </c>
    </row>
    <row r="19" spans="1:3" x14ac:dyDescent="0.25">
      <c r="A19" s="207" t="s">
        <v>1083</v>
      </c>
      <c r="B19" s="208" t="s">
        <v>1084</v>
      </c>
      <c r="C19" s="209">
        <v>4</v>
      </c>
    </row>
    <row r="20" spans="1:3" x14ac:dyDescent="0.25">
      <c r="A20" s="207" t="s">
        <v>1085</v>
      </c>
      <c r="B20" s="208" t="s">
        <v>1086</v>
      </c>
      <c r="C20" s="209">
        <v>1</v>
      </c>
    </row>
    <row r="21" spans="1:3" x14ac:dyDescent="0.25">
      <c r="A21" s="207" t="s">
        <v>1087</v>
      </c>
      <c r="B21" s="208" t="s">
        <v>1088</v>
      </c>
      <c r="C21" s="209">
        <v>1</v>
      </c>
    </row>
    <row r="22" spans="1:3" x14ac:dyDescent="0.25">
      <c r="A22" s="207" t="s">
        <v>1089</v>
      </c>
      <c r="B22" s="208" t="s">
        <v>1090</v>
      </c>
      <c r="C22" s="209">
        <v>1</v>
      </c>
    </row>
    <row r="23" spans="1:3" x14ac:dyDescent="0.25">
      <c r="A23" s="207" t="s">
        <v>1091</v>
      </c>
      <c r="B23" s="208" t="s">
        <v>1092</v>
      </c>
      <c r="C23" s="209">
        <v>1</v>
      </c>
    </row>
    <row r="24" spans="1:3" ht="27.95" customHeight="1" thickBot="1" x14ac:dyDescent="0.3">
      <c r="A24" s="210" t="s">
        <v>1093</v>
      </c>
      <c r="B24" s="211"/>
      <c r="C24" s="212">
        <v>1</v>
      </c>
    </row>
    <row r="25" spans="1:3" x14ac:dyDescent="0.25">
      <c r="B25" s="208"/>
      <c r="C25" s="208"/>
    </row>
  </sheetData>
  <mergeCells count="1">
    <mergeCell ref="A1:C1"/>
  </mergeCells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6"/>
  <sheetViews>
    <sheetView workbookViewId="0">
      <selection activeCell="A36" sqref="A36:E36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42" t="s">
        <v>1040</v>
      </c>
      <c r="B1" s="93"/>
      <c r="C1" s="93"/>
      <c r="D1" s="93"/>
      <c r="E1" s="93"/>
      <c r="F1" s="93"/>
      <c r="G1" s="93"/>
      <c r="H1" s="93"/>
      <c r="I1" s="93"/>
    </row>
    <row r="2" spans="1:9" x14ac:dyDescent="0.25">
      <c r="A2" s="94" t="s">
        <v>1</v>
      </c>
      <c r="B2" s="95"/>
      <c r="C2" s="103" t="str">
        <f>'Stavební rozpočet'!C2</f>
        <v>Revitalizace městských bytů v Šumperku - BJ č.3</v>
      </c>
      <c r="D2" s="104"/>
      <c r="E2" s="101" t="s">
        <v>5</v>
      </c>
      <c r="F2" s="101" t="str">
        <f>'Stavební rozpočet'!I2</f>
        <v>Město Šumperk, nám. Míru 1, 787 01 Šumperk</v>
      </c>
      <c r="G2" s="95"/>
      <c r="H2" s="101" t="s">
        <v>995</v>
      </c>
      <c r="I2" s="109" t="s">
        <v>996</v>
      </c>
    </row>
    <row r="3" spans="1:9" ht="15" customHeight="1" x14ac:dyDescent="0.25">
      <c r="A3" s="96"/>
      <c r="B3" s="97"/>
      <c r="C3" s="105"/>
      <c r="D3" s="105"/>
      <c r="E3" s="97"/>
      <c r="F3" s="97"/>
      <c r="G3" s="97"/>
      <c r="H3" s="97"/>
      <c r="I3" s="110"/>
    </row>
    <row r="4" spans="1:9" x14ac:dyDescent="0.25">
      <c r="A4" s="98" t="s">
        <v>7</v>
      </c>
      <c r="B4" s="97"/>
      <c r="C4" s="102" t="str">
        <f>'Stavební rozpočet'!C4</f>
        <v>Bytový dům</v>
      </c>
      <c r="D4" s="97"/>
      <c r="E4" s="102" t="s">
        <v>10</v>
      </c>
      <c r="F4" s="102" t="str">
        <f>'Stavební rozpočet'!I4</f>
        <v>Ing. Petr Doleček</v>
      </c>
      <c r="G4" s="97"/>
      <c r="H4" s="102" t="s">
        <v>995</v>
      </c>
      <c r="I4" s="110" t="s">
        <v>997</v>
      </c>
    </row>
    <row r="5" spans="1:9" ht="15" customHeight="1" x14ac:dyDescent="0.25">
      <c r="A5" s="96"/>
      <c r="B5" s="97"/>
      <c r="C5" s="97"/>
      <c r="D5" s="97"/>
      <c r="E5" s="97"/>
      <c r="F5" s="97"/>
      <c r="G5" s="97"/>
      <c r="H5" s="97"/>
      <c r="I5" s="110"/>
    </row>
    <row r="6" spans="1:9" x14ac:dyDescent="0.25">
      <c r="A6" s="98" t="s">
        <v>12</v>
      </c>
      <c r="B6" s="97"/>
      <c r="C6" s="102" t="str">
        <f>'Stavební rozpočet'!C6</f>
        <v>17.listopadu 1247/3 Šumperk</v>
      </c>
      <c r="D6" s="97"/>
      <c r="E6" s="102" t="s">
        <v>15</v>
      </c>
      <c r="F6" s="102" t="str">
        <f>'Stavební rozpočet'!I6</f>
        <v> </v>
      </c>
      <c r="G6" s="97"/>
      <c r="H6" s="102" t="s">
        <v>995</v>
      </c>
      <c r="I6" s="110" t="s">
        <v>50</v>
      </c>
    </row>
    <row r="7" spans="1:9" ht="15" customHeight="1" x14ac:dyDescent="0.25">
      <c r="A7" s="96"/>
      <c r="B7" s="97"/>
      <c r="C7" s="97"/>
      <c r="D7" s="97"/>
      <c r="E7" s="97"/>
      <c r="F7" s="97"/>
      <c r="G7" s="97"/>
      <c r="H7" s="97"/>
      <c r="I7" s="110"/>
    </row>
    <row r="8" spans="1:9" x14ac:dyDescent="0.25">
      <c r="A8" s="98" t="s">
        <v>9</v>
      </c>
      <c r="B8" s="97"/>
      <c r="C8" s="102" t="str">
        <f>'Stavební rozpočet'!G4</f>
        <v xml:space="preserve"> </v>
      </c>
      <c r="D8" s="97"/>
      <c r="E8" s="102" t="s">
        <v>14</v>
      </c>
      <c r="F8" s="102" t="str">
        <f>'Stavební rozpočet'!G6</f>
        <v xml:space="preserve"> </v>
      </c>
      <c r="G8" s="97"/>
      <c r="H8" s="97" t="s">
        <v>998</v>
      </c>
      <c r="I8" s="145">
        <v>233</v>
      </c>
    </row>
    <row r="9" spans="1:9" x14ac:dyDescent="0.25">
      <c r="A9" s="96"/>
      <c r="B9" s="97"/>
      <c r="C9" s="97"/>
      <c r="D9" s="97"/>
      <c r="E9" s="97"/>
      <c r="F9" s="97"/>
      <c r="G9" s="97"/>
      <c r="H9" s="97"/>
      <c r="I9" s="110"/>
    </row>
    <row r="10" spans="1:9" x14ac:dyDescent="0.25">
      <c r="A10" s="98" t="s">
        <v>17</v>
      </c>
      <c r="B10" s="97"/>
      <c r="C10" s="102" t="str">
        <f>'Stavební rozpočet'!C8</f>
        <v xml:space="preserve"> </v>
      </c>
      <c r="D10" s="97"/>
      <c r="E10" s="102" t="s">
        <v>20</v>
      </c>
      <c r="F10" s="102" t="str">
        <f>'Stavební rozpočet'!I8</f>
        <v>Ing. Petr Doleček</v>
      </c>
      <c r="G10" s="97"/>
      <c r="H10" s="97" t="s">
        <v>999</v>
      </c>
      <c r="I10" s="146" t="str">
        <f>'Stavební rozpočet'!G8</f>
        <v>26.06.2024</v>
      </c>
    </row>
    <row r="11" spans="1:9" x14ac:dyDescent="0.25">
      <c r="A11" s="143"/>
      <c r="B11" s="144"/>
      <c r="C11" s="144"/>
      <c r="D11" s="144"/>
      <c r="E11" s="144"/>
      <c r="F11" s="144"/>
      <c r="G11" s="144"/>
      <c r="H11" s="144"/>
      <c r="I11" s="147"/>
    </row>
    <row r="13" spans="1:9" ht="15.75" x14ac:dyDescent="0.25">
      <c r="A13" s="181" t="s">
        <v>1041</v>
      </c>
      <c r="B13" s="181"/>
      <c r="C13" s="181"/>
      <c r="D13" s="181"/>
      <c r="E13" s="181"/>
    </row>
    <row r="14" spans="1:9" x14ac:dyDescent="0.25">
      <c r="A14" s="182" t="s">
        <v>1042</v>
      </c>
      <c r="B14" s="183"/>
      <c r="C14" s="183"/>
      <c r="D14" s="183"/>
      <c r="E14" s="184"/>
      <c r="F14" s="85" t="s">
        <v>1043</v>
      </c>
      <c r="G14" s="85" t="s">
        <v>1044</v>
      </c>
      <c r="H14" s="85" t="s">
        <v>1045</v>
      </c>
      <c r="I14" s="85" t="s">
        <v>1043</v>
      </c>
    </row>
    <row r="15" spans="1:9" x14ac:dyDescent="0.25">
      <c r="A15" s="185" t="s">
        <v>1009</v>
      </c>
      <c r="B15" s="186"/>
      <c r="C15" s="186"/>
      <c r="D15" s="186"/>
      <c r="E15" s="187"/>
      <c r="F15" s="86">
        <v>0</v>
      </c>
      <c r="G15" s="87" t="s">
        <v>50</v>
      </c>
      <c r="H15" s="87" t="s">
        <v>50</v>
      </c>
      <c r="I15" s="86">
        <f>F15</f>
        <v>0</v>
      </c>
    </row>
    <row r="16" spans="1:9" x14ac:dyDescent="0.25">
      <c r="A16" s="185" t="s">
        <v>1011</v>
      </c>
      <c r="B16" s="186"/>
      <c r="C16" s="186"/>
      <c r="D16" s="186"/>
      <c r="E16" s="187"/>
      <c r="F16" s="86">
        <v>0</v>
      </c>
      <c r="G16" s="87" t="s">
        <v>50</v>
      </c>
      <c r="H16" s="87" t="s">
        <v>50</v>
      </c>
      <c r="I16" s="86">
        <f>F16</f>
        <v>0</v>
      </c>
    </row>
    <row r="17" spans="1:9" x14ac:dyDescent="0.25">
      <c r="A17" s="188" t="s">
        <v>1014</v>
      </c>
      <c r="B17" s="189"/>
      <c r="C17" s="189"/>
      <c r="D17" s="189"/>
      <c r="E17" s="190"/>
      <c r="F17" s="88">
        <v>0</v>
      </c>
      <c r="G17" s="89" t="s">
        <v>50</v>
      </c>
      <c r="H17" s="89" t="s">
        <v>50</v>
      </c>
      <c r="I17" s="88">
        <f>F17</f>
        <v>0</v>
      </c>
    </row>
    <row r="18" spans="1:9" x14ac:dyDescent="0.25">
      <c r="A18" s="191" t="s">
        <v>1046</v>
      </c>
      <c r="B18" s="192"/>
      <c r="C18" s="192"/>
      <c r="D18" s="192"/>
      <c r="E18" s="193"/>
      <c r="F18" s="90" t="s">
        <v>50</v>
      </c>
      <c r="G18" s="91" t="s">
        <v>50</v>
      </c>
      <c r="H18" s="91" t="s">
        <v>50</v>
      </c>
      <c r="I18" s="92">
        <f>SUM(I15:I17)</f>
        <v>0</v>
      </c>
    </row>
    <row r="20" spans="1:9" x14ac:dyDescent="0.25">
      <c r="A20" s="182" t="s">
        <v>1006</v>
      </c>
      <c r="B20" s="183"/>
      <c r="C20" s="183"/>
      <c r="D20" s="183"/>
      <c r="E20" s="184"/>
      <c r="F20" s="85" t="s">
        <v>1043</v>
      </c>
      <c r="G20" s="85" t="s">
        <v>1044</v>
      </c>
      <c r="H20" s="85" t="s">
        <v>1045</v>
      </c>
      <c r="I20" s="85" t="s">
        <v>1043</v>
      </c>
    </row>
    <row r="21" spans="1:9" x14ac:dyDescent="0.25">
      <c r="A21" s="185" t="s">
        <v>1010</v>
      </c>
      <c r="B21" s="186"/>
      <c r="C21" s="186"/>
      <c r="D21" s="186"/>
      <c r="E21" s="187"/>
      <c r="F21" s="86">
        <v>0</v>
      </c>
      <c r="G21" s="87" t="s">
        <v>50</v>
      </c>
      <c r="H21" s="87" t="s">
        <v>50</v>
      </c>
      <c r="I21" s="86">
        <f t="shared" ref="I21:I26" si="0">F21</f>
        <v>0</v>
      </c>
    </row>
    <row r="22" spans="1:9" x14ac:dyDescent="0.25">
      <c r="A22" s="185" t="s">
        <v>1012</v>
      </c>
      <c r="B22" s="186"/>
      <c r="C22" s="186"/>
      <c r="D22" s="186"/>
      <c r="E22" s="187"/>
      <c r="F22" s="86">
        <v>0</v>
      </c>
      <c r="G22" s="87" t="s">
        <v>50</v>
      </c>
      <c r="H22" s="87" t="s">
        <v>50</v>
      </c>
      <c r="I22" s="86">
        <f t="shared" si="0"/>
        <v>0</v>
      </c>
    </row>
    <row r="23" spans="1:9" x14ac:dyDescent="0.25">
      <c r="A23" s="185" t="s">
        <v>1015</v>
      </c>
      <c r="B23" s="186"/>
      <c r="C23" s="186"/>
      <c r="D23" s="186"/>
      <c r="E23" s="187"/>
      <c r="F23" s="86">
        <v>0</v>
      </c>
      <c r="G23" s="87" t="s">
        <v>50</v>
      </c>
      <c r="H23" s="87" t="s">
        <v>50</v>
      </c>
      <c r="I23" s="86">
        <f t="shared" si="0"/>
        <v>0</v>
      </c>
    </row>
    <row r="24" spans="1:9" x14ac:dyDescent="0.25">
      <c r="A24" s="185" t="s">
        <v>1016</v>
      </c>
      <c r="B24" s="186"/>
      <c r="C24" s="186"/>
      <c r="D24" s="186"/>
      <c r="E24" s="187"/>
      <c r="F24" s="86">
        <v>0</v>
      </c>
      <c r="G24" s="87" t="s">
        <v>50</v>
      </c>
      <c r="H24" s="87" t="s">
        <v>50</v>
      </c>
      <c r="I24" s="86">
        <f t="shared" si="0"/>
        <v>0</v>
      </c>
    </row>
    <row r="25" spans="1:9" x14ac:dyDescent="0.25">
      <c r="A25" s="185" t="s">
        <v>1018</v>
      </c>
      <c r="B25" s="186"/>
      <c r="C25" s="186"/>
      <c r="D25" s="186"/>
      <c r="E25" s="187"/>
      <c r="F25" s="86">
        <v>0</v>
      </c>
      <c r="G25" s="87" t="s">
        <v>50</v>
      </c>
      <c r="H25" s="87" t="s">
        <v>50</v>
      </c>
      <c r="I25" s="86">
        <f t="shared" si="0"/>
        <v>0</v>
      </c>
    </row>
    <row r="26" spans="1:9" x14ac:dyDescent="0.25">
      <c r="A26" s="188" t="s">
        <v>1019</v>
      </c>
      <c r="B26" s="189"/>
      <c r="C26" s="189"/>
      <c r="D26" s="189"/>
      <c r="E26" s="190"/>
      <c r="F26" s="88">
        <v>0</v>
      </c>
      <c r="G26" s="89" t="s">
        <v>50</v>
      </c>
      <c r="H26" s="89" t="s">
        <v>50</v>
      </c>
      <c r="I26" s="88">
        <f t="shared" si="0"/>
        <v>0</v>
      </c>
    </row>
    <row r="27" spans="1:9" x14ac:dyDescent="0.25">
      <c r="A27" s="191" t="s">
        <v>1047</v>
      </c>
      <c r="B27" s="192"/>
      <c r="C27" s="192"/>
      <c r="D27" s="192"/>
      <c r="E27" s="193"/>
      <c r="F27" s="90" t="s">
        <v>50</v>
      </c>
      <c r="G27" s="92">
        <v>3</v>
      </c>
      <c r="H27" s="92">
        <f>'Krycí list rozpočtu'!C22</f>
        <v>0</v>
      </c>
      <c r="I27" s="92">
        <f>ROUND((G27/100)*H27,2)</f>
        <v>0</v>
      </c>
    </row>
    <row r="29" spans="1:9" ht="15.75" x14ac:dyDescent="0.25">
      <c r="A29" s="194" t="s">
        <v>1048</v>
      </c>
      <c r="B29" s="195"/>
      <c r="C29" s="195"/>
      <c r="D29" s="195"/>
      <c r="E29" s="196"/>
      <c r="F29" s="197">
        <f>I18+I27</f>
        <v>0</v>
      </c>
      <c r="G29" s="198"/>
      <c r="H29" s="198"/>
      <c r="I29" s="199"/>
    </row>
    <row r="33" spans="1:9" ht="15.75" x14ac:dyDescent="0.25">
      <c r="A33" s="181" t="s">
        <v>1049</v>
      </c>
      <c r="B33" s="181"/>
      <c r="C33" s="181"/>
      <c r="D33" s="181"/>
      <c r="E33" s="181"/>
    </row>
    <row r="34" spans="1:9" x14ac:dyDescent="0.25">
      <c r="A34" s="182" t="s">
        <v>1050</v>
      </c>
      <c r="B34" s="183"/>
      <c r="C34" s="183"/>
      <c r="D34" s="183"/>
      <c r="E34" s="184"/>
      <c r="F34" s="85" t="s">
        <v>1043</v>
      </c>
      <c r="G34" s="85" t="s">
        <v>1044</v>
      </c>
      <c r="H34" s="85" t="s">
        <v>1045</v>
      </c>
      <c r="I34" s="85" t="s">
        <v>1043</v>
      </c>
    </row>
    <row r="35" spans="1:9" x14ac:dyDescent="0.25">
      <c r="A35" s="188" t="s">
        <v>50</v>
      </c>
      <c r="B35" s="189"/>
      <c r="C35" s="189"/>
      <c r="D35" s="189"/>
      <c r="E35" s="190"/>
      <c r="F35" s="88">
        <v>0</v>
      </c>
      <c r="G35" s="89" t="s">
        <v>50</v>
      </c>
      <c r="H35" s="89" t="s">
        <v>50</v>
      </c>
      <c r="I35" s="88">
        <f>F35</f>
        <v>0</v>
      </c>
    </row>
    <row r="36" spans="1:9" x14ac:dyDescent="0.25">
      <c r="A36" s="191" t="s">
        <v>1051</v>
      </c>
      <c r="B36" s="192"/>
      <c r="C36" s="192"/>
      <c r="D36" s="192"/>
      <c r="E36" s="193"/>
      <c r="F36" s="90" t="s">
        <v>50</v>
      </c>
      <c r="G36" s="91" t="s">
        <v>50</v>
      </c>
      <c r="H36" s="91" t="s">
        <v>50</v>
      </c>
      <c r="I36" s="92">
        <f>SUM(I35:I35)</f>
        <v>0</v>
      </c>
    </row>
  </sheetData>
  <sheetProtection password="C7C0" sheet="1"/>
  <mergeCells count="51">
    <mergeCell ref="A36:E36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F10:G11"/>
    <mergeCell ref="A10:B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Krycí list rozpočtu</vt:lpstr>
      <vt:lpstr>Stavební rozpočet</vt:lpstr>
      <vt:lpstr>Výkaz výměr</vt:lpstr>
      <vt:lpstr>Výpis materiálu elektro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Salcburgerová Lenka, Ing.</cp:lastModifiedBy>
  <dcterms:created xsi:type="dcterms:W3CDTF">2021-06-10T20:06:38Z</dcterms:created>
  <dcterms:modified xsi:type="dcterms:W3CDTF">2024-12-09T13:18:49Z</dcterms:modified>
</cp:coreProperties>
</file>